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24226"/>
  <bookViews>
    <workbookView xWindow="240" yWindow="105" windowWidth="14805" windowHeight="8010" tabRatio="828" activeTab="2"/>
  </bookViews>
  <sheets>
    <sheet name="Výsledok programu" sheetId="1" r:id="rId1"/>
    <sheet name="Výstup programu" sheetId="2" r:id="rId2"/>
    <sheet name="Výkonnostný rámec 12-2017" sheetId="4" r:id="rId3"/>
    <sheet name="Vystup programu 12-2017" sheetId="27" r:id="rId4"/>
    <sheet name="Výstup projektov 12-2017" sheetId="3" r:id="rId5"/>
    <sheet name="Vystup programu 06-2017" sheetId="26" r:id="rId6"/>
    <sheet name="1.1.1" sheetId="5" r:id="rId7"/>
    <sheet name="1.2.1+1.2.2" sheetId="6" r:id="rId8"/>
    <sheet name="1.2.3" sheetId="7" r:id="rId9"/>
    <sheet name="1.4.1" sheetId="8" r:id="rId10"/>
    <sheet name="1.4.2" sheetId="10" r:id="rId11"/>
    <sheet name="3.1.1" sheetId="14" r:id="rId12"/>
    <sheet name="3.1.3" sheetId="15" r:id="rId13"/>
    <sheet name="4.1.1" sheetId="16" r:id="rId14"/>
    <sheet name="4.1.2" sheetId="17" r:id="rId15"/>
    <sheet name="4.2.1" sheetId="18" r:id="rId16"/>
    <sheet name="4.3.1" sheetId="19" r:id="rId17"/>
    <sheet name="4.4.1" sheetId="20" r:id="rId18"/>
    <sheet name="4.5.1" sheetId="21" r:id="rId19"/>
    <sheet name="5.1.1 - MRR" sheetId="22" r:id="rId20"/>
    <sheet name="5.1.1 - VRR" sheetId="23" r:id="rId21"/>
    <sheet name="5.1.2 - MRR" sheetId="24" r:id="rId22"/>
    <sheet name="5.1.2 - VRR" sheetId="25" r:id="rId23"/>
    <sheet name="Hárok1" sheetId="11" r:id="rId24"/>
    <sheet name="výročné správy 2016" sheetId="12" r:id="rId25"/>
    <sheet name="sumár" sheetId="13" r:id="rId26"/>
  </sheets>
  <externalReferences>
    <externalReference r:id="rId27"/>
    <externalReference r:id="rId28"/>
  </externalReferences>
  <definedNames>
    <definedName name="_xlnm._FilterDatabase" localSheetId="6" hidden="1">'1.1.1'!$A$4:$BQ$178</definedName>
    <definedName name="_xlnm._FilterDatabase" localSheetId="7" hidden="1">'1.2.1+1.2.2'!$A$4:$AG$41</definedName>
    <definedName name="_xlnm._FilterDatabase" localSheetId="2" hidden="1">'Výkonnostný rámec 12-2017'!$A$1:$P$17</definedName>
    <definedName name="_xlnm._FilterDatabase" localSheetId="24" hidden="1">'výročné správy 2016'!$A$1:$W$75</definedName>
    <definedName name="_xlnm._FilterDatabase" localSheetId="0" hidden="1">'Výsledok programu'!$A$1:$K$26</definedName>
    <definedName name="_xlnm._FilterDatabase" localSheetId="1" hidden="1">'Výstup programu'!$A$1:$K$86</definedName>
    <definedName name="_xlnm._FilterDatabase" localSheetId="4" hidden="1">'Výstup projektov 12-2017'!$B$1:$N$415</definedName>
  </definedNames>
  <calcPr calcId="152511"/>
  <pivotCaches>
    <pivotCache cacheId="0" r:id="rId29"/>
  </pivotCaches>
</workbook>
</file>

<file path=xl/calcChain.xml><?xml version="1.0" encoding="utf-8"?>
<calcChain xmlns="http://schemas.openxmlformats.org/spreadsheetml/2006/main">
  <c r="N6" i="4" l="1"/>
  <c r="N8" i="4"/>
  <c r="N12" i="4"/>
  <c r="N16" i="4"/>
  <c r="N17" i="4"/>
  <c r="K6" i="4"/>
  <c r="K8" i="4"/>
  <c r="K12" i="4"/>
  <c r="K16" i="4"/>
  <c r="K17" i="4"/>
  <c r="I6" i="4"/>
  <c r="I8" i="4"/>
  <c r="I12" i="4"/>
  <c r="I16" i="4"/>
  <c r="I17" i="4"/>
  <c r="M15" i="4"/>
  <c r="M14" i="4"/>
  <c r="M13" i="4"/>
  <c r="M11" i="4"/>
  <c r="M10" i="4"/>
  <c r="M9" i="4"/>
  <c r="M7" i="4"/>
  <c r="M5" i="4"/>
  <c r="M4" i="4"/>
  <c r="M3" i="4"/>
  <c r="M2" i="4"/>
  <c r="J15" i="4"/>
  <c r="J14" i="4"/>
  <c r="J13" i="4"/>
  <c r="J11" i="4"/>
  <c r="J10" i="4"/>
  <c r="J9" i="4"/>
  <c r="J7" i="4"/>
  <c r="J5" i="4"/>
  <c r="J4" i="4"/>
  <c r="J3" i="4"/>
  <c r="J2" i="4"/>
  <c r="K2" i="4" l="1"/>
  <c r="K3" i="4"/>
  <c r="K4" i="4"/>
  <c r="K5" i="4"/>
  <c r="K7" i="4"/>
  <c r="K9" i="4"/>
  <c r="K10" i="4"/>
  <c r="K11" i="4"/>
  <c r="K13" i="4"/>
  <c r="K14" i="4"/>
  <c r="K15" i="4"/>
  <c r="N2" i="4"/>
  <c r="N3" i="4"/>
  <c r="N4" i="4"/>
  <c r="N5" i="4"/>
  <c r="N7" i="4"/>
  <c r="N9" i="4"/>
  <c r="N10" i="4"/>
  <c r="N11" i="4"/>
  <c r="N13" i="4"/>
  <c r="N14" i="4"/>
  <c r="N15" i="4"/>
  <c r="H15" i="4"/>
  <c r="H14" i="4"/>
  <c r="H13" i="4"/>
  <c r="H11" i="4"/>
  <c r="H10" i="4"/>
  <c r="H9" i="4"/>
  <c r="H5" i="4"/>
  <c r="H7" i="4"/>
  <c r="H4" i="4"/>
  <c r="H3" i="4"/>
  <c r="H2" i="4"/>
  <c r="I2" i="4" l="1"/>
  <c r="I3" i="4"/>
  <c r="I4" i="4"/>
  <c r="I7" i="4"/>
  <c r="I5" i="4"/>
  <c r="I9" i="4"/>
  <c r="I10" i="4"/>
  <c r="I11" i="4"/>
  <c r="I13" i="4"/>
  <c r="I14" i="4"/>
  <c r="I15" i="4"/>
  <c r="AE5" i="10"/>
  <c r="V10" i="5"/>
  <c r="V5" i="5"/>
  <c r="J5" i="5"/>
  <c r="AE6" i="10"/>
  <c r="AH5" i="10"/>
  <c r="AH6" i="10"/>
  <c r="AB6" i="10"/>
  <c r="AB5" i="10"/>
  <c r="Y6" i="10"/>
  <c r="Y5" i="10"/>
  <c r="V6" i="10"/>
  <c r="V5" i="10"/>
  <c r="S6" i="10"/>
  <c r="S5" i="10"/>
  <c r="P6" i="10"/>
  <c r="P5" i="10"/>
  <c r="M6" i="10"/>
  <c r="M5" i="10"/>
  <c r="J6" i="10"/>
  <c r="J5" i="10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L6" i="8"/>
  <c r="BL5" i="8"/>
  <c r="BI22" i="8"/>
  <c r="BI21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F6" i="8"/>
  <c r="BF5" i="8"/>
  <c r="BC22" i="8"/>
  <c r="BC21" i="8"/>
  <c r="BC20" i="8"/>
  <c r="BC19" i="8"/>
  <c r="BC18" i="8"/>
  <c r="BC17" i="8"/>
  <c r="BC16" i="8"/>
  <c r="BC15" i="8"/>
  <c r="BC14" i="8"/>
  <c r="BC13" i="8"/>
  <c r="BC12" i="8"/>
  <c r="BC11" i="8"/>
  <c r="BC10" i="8"/>
  <c r="BC9" i="8"/>
  <c r="BC8" i="8"/>
  <c r="BC7" i="8"/>
  <c r="BC6" i="8"/>
  <c r="BC5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Z5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W5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Q6" i="8"/>
  <c r="AQ5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AN9" i="8"/>
  <c r="AN8" i="8"/>
  <c r="AN7" i="8"/>
  <c r="AN6" i="8"/>
  <c r="AN5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5" i="8"/>
  <c r="BF8" i="7"/>
  <c r="BF7" i="7"/>
  <c r="BF6" i="7"/>
  <c r="BF5" i="7"/>
  <c r="BC8" i="7"/>
  <c r="BC7" i="7"/>
  <c r="BC6" i="7"/>
  <c r="BC5" i="7"/>
  <c r="AZ8" i="7"/>
  <c r="AZ7" i="7"/>
  <c r="AZ6" i="7"/>
  <c r="AZ5" i="7"/>
  <c r="AW8" i="7"/>
  <c r="AW7" i="7"/>
  <c r="AW6" i="7"/>
  <c r="AW5" i="7"/>
  <c r="AT8" i="7"/>
  <c r="AT7" i="7"/>
  <c r="AT6" i="7"/>
  <c r="AT5" i="7"/>
  <c r="AQ8" i="7"/>
  <c r="AQ7" i="7"/>
  <c r="AQ6" i="7"/>
  <c r="AQ5" i="7"/>
  <c r="AN8" i="7"/>
  <c r="AN7" i="7"/>
  <c r="AN6" i="7"/>
  <c r="AN5" i="7"/>
  <c r="AK8" i="7"/>
  <c r="AK7" i="7"/>
  <c r="AK6" i="7"/>
  <c r="AK5" i="7"/>
  <c r="AH8" i="7"/>
  <c r="AH7" i="7"/>
  <c r="AH6" i="7"/>
  <c r="AH5" i="7"/>
  <c r="AE8" i="7"/>
  <c r="AE7" i="7"/>
  <c r="AE6" i="7"/>
  <c r="AE5" i="7"/>
  <c r="AB8" i="7"/>
  <c r="AB7" i="7"/>
  <c r="AB6" i="7"/>
  <c r="AB5" i="7"/>
  <c r="Y8" i="7"/>
  <c r="Y7" i="7"/>
  <c r="Y6" i="7"/>
  <c r="Y5" i="7"/>
  <c r="V8" i="7"/>
  <c r="V7" i="7"/>
  <c r="V6" i="7"/>
  <c r="V5" i="7"/>
  <c r="S8" i="7"/>
  <c r="S7" i="7"/>
  <c r="S6" i="7"/>
  <c r="S5" i="7"/>
  <c r="P8" i="7"/>
  <c r="P7" i="7"/>
  <c r="P6" i="7"/>
  <c r="P5" i="7"/>
  <c r="M8" i="7"/>
  <c r="M7" i="7"/>
  <c r="M6" i="7"/>
  <c r="M5" i="7"/>
  <c r="J6" i="7"/>
  <c r="J7" i="7"/>
  <c r="J8" i="7"/>
  <c r="J5" i="7"/>
  <c r="AH55" i="6"/>
  <c r="AH54" i="6"/>
  <c r="AH53" i="6"/>
  <c r="AH52" i="6"/>
  <c r="AH51" i="6"/>
  <c r="AH50" i="6"/>
  <c r="AE55" i="6"/>
  <c r="AE54" i="6"/>
  <c r="AE53" i="6"/>
  <c r="AE52" i="6"/>
  <c r="AE51" i="6"/>
  <c r="AE50" i="6"/>
  <c r="AB55" i="6"/>
  <c r="AB54" i="6"/>
  <c r="AB53" i="6"/>
  <c r="AB52" i="6"/>
  <c r="AB51" i="6"/>
  <c r="AB50" i="6"/>
  <c r="Y55" i="6"/>
  <c r="Y54" i="6"/>
  <c r="Y53" i="6"/>
  <c r="Y52" i="6"/>
  <c r="Y51" i="6"/>
  <c r="Y50" i="6"/>
  <c r="V55" i="6"/>
  <c r="V54" i="6"/>
  <c r="V53" i="6"/>
  <c r="V52" i="6"/>
  <c r="V51" i="6"/>
  <c r="V50" i="6"/>
  <c r="S55" i="6"/>
  <c r="S54" i="6"/>
  <c r="S53" i="6"/>
  <c r="S52" i="6"/>
  <c r="S51" i="6"/>
  <c r="S50" i="6"/>
  <c r="P55" i="6"/>
  <c r="P54" i="6"/>
  <c r="P53" i="6"/>
  <c r="P52" i="6"/>
  <c r="P51" i="6"/>
  <c r="P50" i="6"/>
  <c r="M55" i="6"/>
  <c r="M54" i="6"/>
  <c r="M53" i="6"/>
  <c r="M52" i="6"/>
  <c r="M51" i="6"/>
  <c r="M50" i="6"/>
  <c r="J51" i="6"/>
  <c r="J52" i="6"/>
  <c r="J53" i="6"/>
  <c r="J54" i="6"/>
  <c r="J55" i="6"/>
  <c r="J50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AH5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5" i="6"/>
  <c r="BF304" i="19"/>
  <c r="BF303" i="19"/>
  <c r="BC304" i="19"/>
  <c r="BC303" i="19"/>
  <c r="AZ304" i="19"/>
  <c r="AZ303" i="19"/>
  <c r="AW304" i="19"/>
  <c r="AW303" i="19"/>
  <c r="AT304" i="19"/>
  <c r="AT303" i="19"/>
  <c r="AQ304" i="19"/>
  <c r="AQ303" i="19"/>
  <c r="AN304" i="19"/>
  <c r="AN303" i="19"/>
  <c r="AK304" i="19"/>
  <c r="AK303" i="19"/>
  <c r="AH304" i="19"/>
  <c r="AH303" i="19"/>
  <c r="AE304" i="19"/>
  <c r="AE303" i="19"/>
  <c r="AB304" i="19"/>
  <c r="AB303" i="19"/>
  <c r="Y304" i="19"/>
  <c r="Y303" i="19"/>
  <c r="V304" i="19"/>
  <c r="V303" i="19"/>
  <c r="S304" i="19"/>
  <c r="S303" i="19"/>
  <c r="P304" i="19"/>
  <c r="P303" i="19"/>
  <c r="M304" i="19"/>
  <c r="M303" i="19"/>
  <c r="J304" i="19"/>
  <c r="J303" i="19"/>
  <c r="AB8" i="21"/>
  <c r="AB7" i="21"/>
  <c r="AB6" i="21"/>
  <c r="AB5" i="21"/>
  <c r="Y8" i="21"/>
  <c r="Y7" i="21"/>
  <c r="Y6" i="21"/>
  <c r="Y5" i="21"/>
  <c r="V8" i="21"/>
  <c r="V7" i="21"/>
  <c r="V6" i="21"/>
  <c r="V5" i="21"/>
  <c r="S8" i="21"/>
  <c r="S7" i="21"/>
  <c r="S6" i="21"/>
  <c r="S5" i="21"/>
  <c r="P8" i="21"/>
  <c r="P7" i="21"/>
  <c r="P6" i="21"/>
  <c r="P5" i="21"/>
  <c r="M8" i="21"/>
  <c r="M7" i="21"/>
  <c r="M6" i="21"/>
  <c r="M5" i="21"/>
  <c r="J8" i="21"/>
  <c r="J7" i="21"/>
  <c r="J6" i="21"/>
  <c r="J5" i="21"/>
  <c r="BF5" i="20"/>
  <c r="BC5" i="20"/>
  <c r="AZ5" i="20"/>
  <c r="AW5" i="20"/>
  <c r="AT5" i="20"/>
  <c r="AQ5" i="20"/>
  <c r="AN5" i="20"/>
  <c r="AK5" i="20"/>
  <c r="AH5" i="20"/>
  <c r="AE5" i="20"/>
  <c r="AB5" i="20"/>
  <c r="Y5" i="20"/>
  <c r="V5" i="20"/>
  <c r="S5" i="20"/>
  <c r="P5" i="20"/>
  <c r="M5" i="20"/>
  <c r="J5" i="20"/>
  <c r="BF298" i="19"/>
  <c r="BF297" i="19"/>
  <c r="BF296" i="19"/>
  <c r="BF295" i="19"/>
  <c r="BF294" i="19"/>
  <c r="BF293" i="19"/>
  <c r="BF292" i="19"/>
  <c r="BF291" i="19"/>
  <c r="BF290" i="19"/>
  <c r="BF289" i="19"/>
  <c r="BF288" i="19"/>
  <c r="BF287" i="19"/>
  <c r="BF286" i="19"/>
  <c r="BF285" i="19"/>
  <c r="BF284" i="19"/>
  <c r="BF283" i="19"/>
  <c r="BF282" i="19"/>
  <c r="BF281" i="19"/>
  <c r="BF280" i="19"/>
  <c r="BF279" i="19"/>
  <c r="BF278" i="19"/>
  <c r="BF277" i="19"/>
  <c r="BF276" i="19"/>
  <c r="BF275" i="19"/>
  <c r="BF274" i="19"/>
  <c r="BF273" i="19"/>
  <c r="BF272" i="19"/>
  <c r="BF271" i="19"/>
  <c r="BF270" i="19"/>
  <c r="BF269" i="19"/>
  <c r="BF268" i="19"/>
  <c r="BF267" i="19"/>
  <c r="BF266" i="19"/>
  <c r="BF265" i="19"/>
  <c r="BF264" i="19"/>
  <c r="BF263" i="19"/>
  <c r="BF262" i="19"/>
  <c r="BF261" i="19"/>
  <c r="BF260" i="19"/>
  <c r="BF259" i="19"/>
  <c r="BF258" i="19"/>
  <c r="BF257" i="19"/>
  <c r="BF256" i="19"/>
  <c r="BF255" i="19"/>
  <c r="BF254" i="19"/>
  <c r="BF253" i="19"/>
  <c r="BF252" i="19"/>
  <c r="BF251" i="19"/>
  <c r="BF250" i="19"/>
  <c r="BF249" i="19"/>
  <c r="BF248" i="19"/>
  <c r="BF247" i="19"/>
  <c r="BF246" i="19"/>
  <c r="BF245" i="19"/>
  <c r="BF244" i="19"/>
  <c r="BF243" i="19"/>
  <c r="BF242" i="19"/>
  <c r="BF241" i="19"/>
  <c r="BF240" i="19"/>
  <c r="BF239" i="19"/>
  <c r="BF238" i="19"/>
  <c r="BF237" i="19"/>
  <c r="BF236" i="19"/>
  <c r="BF235" i="19"/>
  <c r="BF234" i="19"/>
  <c r="BF233" i="19"/>
  <c r="BF232" i="19"/>
  <c r="BF231" i="19"/>
  <c r="BF230" i="19"/>
  <c r="BF229" i="19"/>
  <c r="BF228" i="19"/>
  <c r="BF227" i="19"/>
  <c r="BF226" i="19"/>
  <c r="BF225" i="19"/>
  <c r="BF224" i="19"/>
  <c r="BF223" i="19"/>
  <c r="BF222" i="19"/>
  <c r="BF221" i="19"/>
  <c r="BF220" i="19"/>
  <c r="BF219" i="19"/>
  <c r="BF218" i="19"/>
  <c r="BF217" i="19"/>
  <c r="BF216" i="19"/>
  <c r="BF215" i="19"/>
  <c r="BF214" i="19"/>
  <c r="BF213" i="19"/>
  <c r="BF212" i="19"/>
  <c r="BF211" i="19"/>
  <c r="BF210" i="19"/>
  <c r="BF209" i="19"/>
  <c r="BF208" i="19"/>
  <c r="BF207" i="19"/>
  <c r="BF206" i="19"/>
  <c r="BF205" i="19"/>
  <c r="BF204" i="19"/>
  <c r="BF203" i="19"/>
  <c r="BF202" i="19"/>
  <c r="BF201" i="19"/>
  <c r="BF200" i="19"/>
  <c r="BF199" i="19"/>
  <c r="BF198" i="19"/>
  <c r="BF197" i="19"/>
  <c r="BF196" i="19"/>
  <c r="BF195" i="19"/>
  <c r="BF194" i="19"/>
  <c r="BF193" i="19"/>
  <c r="BF192" i="19"/>
  <c r="BF191" i="19"/>
  <c r="BF190" i="19"/>
  <c r="BF189" i="19"/>
  <c r="BF188" i="19"/>
  <c r="BF187" i="19"/>
  <c r="BF186" i="19"/>
  <c r="BF185" i="19"/>
  <c r="BF184" i="19"/>
  <c r="BF183" i="19"/>
  <c r="BF182" i="19"/>
  <c r="BF181" i="19"/>
  <c r="BF180" i="19"/>
  <c r="BF179" i="19"/>
  <c r="BF178" i="19"/>
  <c r="BF177" i="19"/>
  <c r="BF176" i="19"/>
  <c r="BF175" i="19"/>
  <c r="BF174" i="19"/>
  <c r="BF173" i="19"/>
  <c r="BF172" i="19"/>
  <c r="BF171" i="19"/>
  <c r="BF170" i="19"/>
  <c r="BF169" i="19"/>
  <c r="BF168" i="19"/>
  <c r="BF167" i="19"/>
  <c r="BF166" i="19"/>
  <c r="BF165" i="19"/>
  <c r="BF164" i="19"/>
  <c r="BF163" i="19"/>
  <c r="BF162" i="19"/>
  <c r="BF161" i="19"/>
  <c r="BF160" i="19"/>
  <c r="BF159" i="19"/>
  <c r="BF158" i="19"/>
  <c r="BF157" i="19"/>
  <c r="BF156" i="19"/>
  <c r="BF155" i="19"/>
  <c r="BF154" i="19"/>
  <c r="BF153" i="19"/>
  <c r="BF152" i="19"/>
  <c r="BF151" i="19"/>
  <c r="BF150" i="19"/>
  <c r="BF149" i="19"/>
  <c r="BF148" i="19"/>
  <c r="BF147" i="19"/>
  <c r="BF146" i="19"/>
  <c r="BF145" i="19"/>
  <c r="BF144" i="19"/>
  <c r="BF143" i="19"/>
  <c r="BF142" i="19"/>
  <c r="BF141" i="19"/>
  <c r="BF140" i="19"/>
  <c r="BF139" i="19"/>
  <c r="BF138" i="19"/>
  <c r="BF137" i="19"/>
  <c r="BF136" i="19"/>
  <c r="BF135" i="19"/>
  <c r="BF134" i="19"/>
  <c r="BF133" i="19"/>
  <c r="BF132" i="19"/>
  <c r="BF131" i="19"/>
  <c r="BF130" i="19"/>
  <c r="BF129" i="19"/>
  <c r="BF128" i="19"/>
  <c r="BF127" i="19"/>
  <c r="BF126" i="19"/>
  <c r="BF125" i="19"/>
  <c r="BF124" i="19"/>
  <c r="BF123" i="19"/>
  <c r="BF122" i="19"/>
  <c r="BF121" i="19"/>
  <c r="BF120" i="19"/>
  <c r="BF119" i="19"/>
  <c r="BF118" i="19"/>
  <c r="BF117" i="19"/>
  <c r="BF116" i="19"/>
  <c r="BF115" i="19"/>
  <c r="BF114" i="19"/>
  <c r="BF113" i="19"/>
  <c r="BF112" i="19"/>
  <c r="BF111" i="19"/>
  <c r="BF110" i="19"/>
  <c r="BF109" i="19"/>
  <c r="BF108" i="19"/>
  <c r="BF107" i="19"/>
  <c r="BF106" i="19"/>
  <c r="BF105" i="19"/>
  <c r="BF104" i="19"/>
  <c r="BF103" i="19"/>
  <c r="BF102" i="19"/>
  <c r="BF101" i="19"/>
  <c r="BF100" i="19"/>
  <c r="BF99" i="19"/>
  <c r="BF98" i="19"/>
  <c r="BF97" i="19"/>
  <c r="BF96" i="19"/>
  <c r="BF95" i="19"/>
  <c r="BF94" i="19"/>
  <c r="BF93" i="19"/>
  <c r="BF92" i="19"/>
  <c r="BF91" i="19"/>
  <c r="BF90" i="19"/>
  <c r="BF89" i="19"/>
  <c r="BF88" i="19"/>
  <c r="BF87" i="19"/>
  <c r="BF86" i="19"/>
  <c r="BF85" i="19"/>
  <c r="BF84" i="19"/>
  <c r="BF83" i="19"/>
  <c r="BF82" i="19"/>
  <c r="BF81" i="19"/>
  <c r="BF80" i="19"/>
  <c r="BF79" i="19"/>
  <c r="BF78" i="19"/>
  <c r="BF77" i="19"/>
  <c r="BF76" i="19"/>
  <c r="BF75" i="19"/>
  <c r="BF74" i="19"/>
  <c r="BF73" i="19"/>
  <c r="BF72" i="19"/>
  <c r="BF71" i="19"/>
  <c r="BF70" i="19"/>
  <c r="BF69" i="19"/>
  <c r="BF68" i="19"/>
  <c r="BF67" i="19"/>
  <c r="BF66" i="19"/>
  <c r="BF65" i="19"/>
  <c r="BF64" i="19"/>
  <c r="BF63" i="19"/>
  <c r="BF62" i="19"/>
  <c r="BF61" i="19"/>
  <c r="BF60" i="19"/>
  <c r="BF59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F45" i="19"/>
  <c r="BF44" i="19"/>
  <c r="BF43" i="19"/>
  <c r="BF42" i="19"/>
  <c r="BF41" i="19"/>
  <c r="BF40" i="19"/>
  <c r="BF39" i="19"/>
  <c r="BF38" i="19"/>
  <c r="BF37" i="19"/>
  <c r="BF36" i="19"/>
  <c r="BF35" i="19"/>
  <c r="BF34" i="19"/>
  <c r="BF33" i="19"/>
  <c r="BF32" i="19"/>
  <c r="BF31" i="19"/>
  <c r="BF30" i="19"/>
  <c r="BF29" i="19"/>
  <c r="BF28" i="19"/>
  <c r="BF27" i="19"/>
  <c r="BF26" i="19"/>
  <c r="BF25" i="19"/>
  <c r="BF24" i="19"/>
  <c r="BF23" i="19"/>
  <c r="BF22" i="19"/>
  <c r="BF21" i="19"/>
  <c r="BF20" i="19"/>
  <c r="BF19" i="19"/>
  <c r="BF18" i="19"/>
  <c r="BF17" i="19"/>
  <c r="BF16" i="19"/>
  <c r="BF15" i="19"/>
  <c r="BF14" i="19"/>
  <c r="BF13" i="19"/>
  <c r="BF12" i="19"/>
  <c r="BF11" i="19"/>
  <c r="BF10" i="19"/>
  <c r="BF9" i="19"/>
  <c r="BF8" i="19"/>
  <c r="BF7" i="19"/>
  <c r="BF6" i="19"/>
  <c r="BF5" i="19"/>
  <c r="BC298" i="19"/>
  <c r="BC297" i="19"/>
  <c r="BC296" i="19"/>
  <c r="BC295" i="19"/>
  <c r="BC294" i="19"/>
  <c r="BC293" i="19"/>
  <c r="BC292" i="19"/>
  <c r="BC291" i="19"/>
  <c r="BC290" i="19"/>
  <c r="BC289" i="19"/>
  <c r="BC288" i="19"/>
  <c r="BC287" i="19"/>
  <c r="BC286" i="19"/>
  <c r="BC285" i="19"/>
  <c r="BC284" i="19"/>
  <c r="BC283" i="19"/>
  <c r="BC282" i="19"/>
  <c r="BC281" i="19"/>
  <c r="BC280" i="19"/>
  <c r="BC279" i="19"/>
  <c r="BC278" i="19"/>
  <c r="BC277" i="19"/>
  <c r="BC276" i="19"/>
  <c r="BC275" i="19"/>
  <c r="BC274" i="19"/>
  <c r="BC273" i="19"/>
  <c r="BC272" i="19"/>
  <c r="BC271" i="19"/>
  <c r="BC270" i="19"/>
  <c r="BC269" i="19"/>
  <c r="BC268" i="19"/>
  <c r="BC267" i="19"/>
  <c r="BC266" i="19"/>
  <c r="BC265" i="19"/>
  <c r="BC264" i="19"/>
  <c r="BC263" i="19"/>
  <c r="BC262" i="19"/>
  <c r="BC261" i="19"/>
  <c r="BC260" i="19"/>
  <c r="BC259" i="19"/>
  <c r="BC258" i="19"/>
  <c r="BC257" i="19"/>
  <c r="BC256" i="19"/>
  <c r="BC255" i="19"/>
  <c r="BC254" i="19"/>
  <c r="BC253" i="19"/>
  <c r="BC252" i="19"/>
  <c r="BC251" i="19"/>
  <c r="BC250" i="19"/>
  <c r="BC249" i="19"/>
  <c r="BC248" i="19"/>
  <c r="BC247" i="19"/>
  <c r="BC246" i="19"/>
  <c r="BC245" i="19"/>
  <c r="BC244" i="19"/>
  <c r="BC243" i="19"/>
  <c r="BC242" i="19"/>
  <c r="BC241" i="19"/>
  <c r="BC240" i="19"/>
  <c r="BC239" i="19"/>
  <c r="BC238" i="19"/>
  <c r="BC237" i="19"/>
  <c r="BC236" i="19"/>
  <c r="BC235" i="19"/>
  <c r="BC234" i="19"/>
  <c r="BC233" i="19"/>
  <c r="BC232" i="19"/>
  <c r="BC231" i="19"/>
  <c r="BC230" i="19"/>
  <c r="BC229" i="19"/>
  <c r="BC228" i="19"/>
  <c r="BC227" i="19"/>
  <c r="BC226" i="19"/>
  <c r="BC225" i="19"/>
  <c r="BC224" i="19"/>
  <c r="BC223" i="19"/>
  <c r="BC222" i="19"/>
  <c r="BC221" i="19"/>
  <c r="BC220" i="19"/>
  <c r="BC219" i="19"/>
  <c r="BC218" i="19"/>
  <c r="BC217" i="19"/>
  <c r="BC216" i="19"/>
  <c r="BC215" i="19"/>
  <c r="BC214" i="19"/>
  <c r="BC213" i="19"/>
  <c r="BC212" i="19"/>
  <c r="BC211" i="19"/>
  <c r="BC210" i="19"/>
  <c r="BC209" i="19"/>
  <c r="BC208" i="19"/>
  <c r="BC207" i="19"/>
  <c r="BC206" i="19"/>
  <c r="BC205" i="19"/>
  <c r="BC204" i="19"/>
  <c r="BC203" i="19"/>
  <c r="BC202" i="19"/>
  <c r="BC201" i="19"/>
  <c r="BC200" i="19"/>
  <c r="BC199" i="19"/>
  <c r="BC198" i="19"/>
  <c r="BC197" i="19"/>
  <c r="BC196" i="19"/>
  <c r="BC195" i="19"/>
  <c r="BC194" i="19"/>
  <c r="BC193" i="19"/>
  <c r="BC192" i="19"/>
  <c r="BC191" i="19"/>
  <c r="BC190" i="19"/>
  <c r="BC189" i="19"/>
  <c r="BC188" i="19"/>
  <c r="BC187" i="19"/>
  <c r="BC186" i="19"/>
  <c r="BC185" i="19"/>
  <c r="BC184" i="19"/>
  <c r="BC183" i="19"/>
  <c r="BC182" i="19"/>
  <c r="BC181" i="19"/>
  <c r="BC180" i="19"/>
  <c r="BC179" i="19"/>
  <c r="BC178" i="19"/>
  <c r="BC177" i="19"/>
  <c r="BC176" i="19"/>
  <c r="BC175" i="19"/>
  <c r="BC174" i="19"/>
  <c r="BC173" i="19"/>
  <c r="BC172" i="19"/>
  <c r="BC171" i="19"/>
  <c r="BC170" i="19"/>
  <c r="BC169" i="19"/>
  <c r="BC168" i="19"/>
  <c r="BC167" i="19"/>
  <c r="BC166" i="19"/>
  <c r="BC165" i="19"/>
  <c r="BC164" i="19"/>
  <c r="BC163" i="19"/>
  <c r="BC162" i="19"/>
  <c r="BC161" i="19"/>
  <c r="BC160" i="19"/>
  <c r="BC159" i="19"/>
  <c r="BC158" i="19"/>
  <c r="BC157" i="19"/>
  <c r="BC156" i="19"/>
  <c r="BC155" i="19"/>
  <c r="BC154" i="19"/>
  <c r="BC153" i="19"/>
  <c r="BC152" i="19"/>
  <c r="BC151" i="19"/>
  <c r="BC150" i="19"/>
  <c r="BC149" i="19"/>
  <c r="BC148" i="19"/>
  <c r="BC147" i="19"/>
  <c r="BC146" i="19"/>
  <c r="BC145" i="19"/>
  <c r="BC144" i="19"/>
  <c r="BC143" i="19"/>
  <c r="BC142" i="19"/>
  <c r="BC141" i="19"/>
  <c r="BC140" i="19"/>
  <c r="BC139" i="19"/>
  <c r="BC138" i="19"/>
  <c r="BC137" i="19"/>
  <c r="BC136" i="19"/>
  <c r="BC135" i="19"/>
  <c r="BC134" i="19"/>
  <c r="BC133" i="19"/>
  <c r="BC132" i="19"/>
  <c r="BC131" i="19"/>
  <c r="BC130" i="19"/>
  <c r="BC129" i="19"/>
  <c r="BC128" i="19"/>
  <c r="BC127" i="19"/>
  <c r="BC126" i="19"/>
  <c r="BC125" i="19"/>
  <c r="BC124" i="19"/>
  <c r="BC123" i="19"/>
  <c r="BC122" i="19"/>
  <c r="BC121" i="19"/>
  <c r="BC120" i="19"/>
  <c r="BC119" i="19"/>
  <c r="BC118" i="19"/>
  <c r="BC117" i="19"/>
  <c r="BC116" i="19"/>
  <c r="BC115" i="19"/>
  <c r="BC114" i="19"/>
  <c r="BC113" i="19"/>
  <c r="BC112" i="19"/>
  <c r="BC111" i="19"/>
  <c r="BC110" i="19"/>
  <c r="BC109" i="19"/>
  <c r="BC108" i="19"/>
  <c r="BC107" i="19"/>
  <c r="BC106" i="19"/>
  <c r="BC105" i="19"/>
  <c r="BC104" i="19"/>
  <c r="BC103" i="19"/>
  <c r="BC102" i="19"/>
  <c r="BC101" i="19"/>
  <c r="BC100" i="19"/>
  <c r="BC99" i="19"/>
  <c r="BC98" i="19"/>
  <c r="BC97" i="19"/>
  <c r="BC96" i="19"/>
  <c r="BC95" i="19"/>
  <c r="BC94" i="19"/>
  <c r="BC93" i="19"/>
  <c r="BC92" i="19"/>
  <c r="BC91" i="19"/>
  <c r="BC90" i="19"/>
  <c r="BC89" i="19"/>
  <c r="BC88" i="19"/>
  <c r="BC87" i="19"/>
  <c r="BC86" i="19"/>
  <c r="BC85" i="19"/>
  <c r="BC84" i="19"/>
  <c r="BC83" i="19"/>
  <c r="BC82" i="19"/>
  <c r="BC81" i="19"/>
  <c r="BC80" i="19"/>
  <c r="BC79" i="19"/>
  <c r="BC78" i="19"/>
  <c r="BC77" i="19"/>
  <c r="BC76" i="19"/>
  <c r="BC75" i="19"/>
  <c r="BC74" i="19"/>
  <c r="BC73" i="19"/>
  <c r="BC72" i="19"/>
  <c r="BC71" i="19"/>
  <c r="BC70" i="19"/>
  <c r="BC69" i="19"/>
  <c r="BC68" i="19"/>
  <c r="BC67" i="19"/>
  <c r="BC66" i="19"/>
  <c r="BC65" i="19"/>
  <c r="BC64" i="19"/>
  <c r="BC63" i="19"/>
  <c r="BC62" i="19"/>
  <c r="BC61" i="19"/>
  <c r="BC60" i="19"/>
  <c r="BC59" i="19"/>
  <c r="BC58" i="19"/>
  <c r="BC57" i="19"/>
  <c r="BC56" i="19"/>
  <c r="BC55" i="19"/>
  <c r="BC54" i="19"/>
  <c r="BC53" i="19"/>
  <c r="BC52" i="19"/>
  <c r="BC51" i="19"/>
  <c r="BC50" i="19"/>
  <c r="BC49" i="19"/>
  <c r="BC48" i="19"/>
  <c r="BC47" i="19"/>
  <c r="BC46" i="19"/>
  <c r="BC45" i="19"/>
  <c r="BC44" i="19"/>
  <c r="BC43" i="19"/>
  <c r="BC42" i="19"/>
  <c r="BC41" i="19"/>
  <c r="BC40" i="19"/>
  <c r="BC39" i="19"/>
  <c r="BC38" i="19"/>
  <c r="BC37" i="19"/>
  <c r="BC36" i="19"/>
  <c r="BC35" i="19"/>
  <c r="BC34" i="19"/>
  <c r="BC33" i="19"/>
  <c r="BC32" i="19"/>
  <c r="BC31" i="19"/>
  <c r="BC30" i="19"/>
  <c r="BC29" i="19"/>
  <c r="BC28" i="19"/>
  <c r="BC27" i="19"/>
  <c r="BC26" i="19"/>
  <c r="BC25" i="19"/>
  <c r="BC24" i="19"/>
  <c r="BC23" i="19"/>
  <c r="BC22" i="19"/>
  <c r="BC21" i="19"/>
  <c r="BC20" i="19"/>
  <c r="BC19" i="19"/>
  <c r="BC18" i="19"/>
  <c r="BC17" i="19"/>
  <c r="BC16" i="19"/>
  <c r="BC15" i="19"/>
  <c r="BC14" i="19"/>
  <c r="BC13" i="19"/>
  <c r="BC12" i="19"/>
  <c r="BC11" i="19"/>
  <c r="BC10" i="19"/>
  <c r="BC9" i="19"/>
  <c r="BC8" i="19"/>
  <c r="BC7" i="19"/>
  <c r="BC6" i="19"/>
  <c r="BC5" i="19"/>
  <c r="AZ298" i="19"/>
  <c r="AZ297" i="19"/>
  <c r="AZ296" i="19"/>
  <c r="AZ295" i="19"/>
  <c r="AZ294" i="19"/>
  <c r="AZ293" i="19"/>
  <c r="AZ292" i="19"/>
  <c r="AZ291" i="19"/>
  <c r="AZ290" i="19"/>
  <c r="AZ289" i="19"/>
  <c r="AZ288" i="19"/>
  <c r="AZ287" i="19"/>
  <c r="AZ286" i="19"/>
  <c r="AZ285" i="19"/>
  <c r="AZ284" i="19"/>
  <c r="AZ283" i="19"/>
  <c r="AZ282" i="19"/>
  <c r="AZ281" i="19"/>
  <c r="AZ280" i="19"/>
  <c r="AZ279" i="19"/>
  <c r="AZ278" i="19"/>
  <c r="AZ277" i="19"/>
  <c r="AZ276" i="19"/>
  <c r="AZ275" i="19"/>
  <c r="AZ274" i="19"/>
  <c r="AZ273" i="19"/>
  <c r="AZ272" i="19"/>
  <c r="AZ271" i="19"/>
  <c r="AZ270" i="19"/>
  <c r="AZ269" i="19"/>
  <c r="AZ268" i="19"/>
  <c r="AZ267" i="19"/>
  <c r="AZ266" i="19"/>
  <c r="AZ265" i="19"/>
  <c r="AZ264" i="19"/>
  <c r="AZ263" i="19"/>
  <c r="AZ262" i="19"/>
  <c r="AZ261" i="19"/>
  <c r="AZ260" i="19"/>
  <c r="AZ259" i="19"/>
  <c r="AZ258" i="19"/>
  <c r="AZ257" i="19"/>
  <c r="AZ256" i="19"/>
  <c r="AZ255" i="19"/>
  <c r="AZ254" i="19"/>
  <c r="AZ253" i="19"/>
  <c r="AZ252" i="19"/>
  <c r="AZ251" i="19"/>
  <c r="AZ250" i="19"/>
  <c r="AZ249" i="19"/>
  <c r="AZ248" i="19"/>
  <c r="AZ247" i="19"/>
  <c r="AZ246" i="19"/>
  <c r="AZ245" i="19"/>
  <c r="AZ244" i="19"/>
  <c r="AZ243" i="19"/>
  <c r="AZ242" i="19"/>
  <c r="AZ241" i="19"/>
  <c r="AZ240" i="19"/>
  <c r="AZ239" i="19"/>
  <c r="AZ238" i="19"/>
  <c r="AZ237" i="19"/>
  <c r="AZ236" i="19"/>
  <c r="AZ235" i="19"/>
  <c r="AZ234" i="19"/>
  <c r="AZ233" i="19"/>
  <c r="AZ232" i="19"/>
  <c r="AZ231" i="19"/>
  <c r="AZ230" i="19"/>
  <c r="AZ229" i="19"/>
  <c r="AZ228" i="19"/>
  <c r="AZ227" i="19"/>
  <c r="AZ226" i="19"/>
  <c r="AZ225" i="19"/>
  <c r="AZ224" i="19"/>
  <c r="AZ223" i="19"/>
  <c r="AZ222" i="19"/>
  <c r="AZ221" i="19"/>
  <c r="AZ220" i="19"/>
  <c r="AZ219" i="19"/>
  <c r="AZ218" i="19"/>
  <c r="AZ217" i="19"/>
  <c r="AZ216" i="19"/>
  <c r="AZ215" i="19"/>
  <c r="AZ214" i="19"/>
  <c r="AZ213" i="19"/>
  <c r="AZ212" i="19"/>
  <c r="AZ211" i="19"/>
  <c r="AZ210" i="19"/>
  <c r="AZ209" i="19"/>
  <c r="AZ208" i="19"/>
  <c r="AZ207" i="19"/>
  <c r="AZ206" i="19"/>
  <c r="AZ205" i="19"/>
  <c r="AZ204" i="19"/>
  <c r="AZ203" i="19"/>
  <c r="AZ202" i="19"/>
  <c r="AZ201" i="19"/>
  <c r="AZ200" i="19"/>
  <c r="AZ199" i="19"/>
  <c r="AZ198" i="19"/>
  <c r="AZ197" i="19"/>
  <c r="AZ196" i="19"/>
  <c r="AZ195" i="19"/>
  <c r="AZ194" i="19"/>
  <c r="AZ193" i="19"/>
  <c r="AZ192" i="19"/>
  <c r="AZ191" i="19"/>
  <c r="AZ190" i="19"/>
  <c r="AZ189" i="19"/>
  <c r="AZ188" i="19"/>
  <c r="AZ187" i="19"/>
  <c r="AZ186" i="19"/>
  <c r="AZ185" i="19"/>
  <c r="AZ184" i="19"/>
  <c r="AZ183" i="19"/>
  <c r="AZ182" i="19"/>
  <c r="AZ181" i="19"/>
  <c r="AZ180" i="19"/>
  <c r="AZ179" i="19"/>
  <c r="AZ178" i="19"/>
  <c r="AZ177" i="19"/>
  <c r="AZ176" i="19"/>
  <c r="AZ175" i="19"/>
  <c r="AZ174" i="19"/>
  <c r="AZ173" i="19"/>
  <c r="AZ172" i="19"/>
  <c r="AZ171" i="19"/>
  <c r="AZ170" i="19"/>
  <c r="AZ169" i="19"/>
  <c r="AZ168" i="19"/>
  <c r="AZ167" i="19"/>
  <c r="AZ166" i="19"/>
  <c r="AZ165" i="19"/>
  <c r="AZ164" i="19"/>
  <c r="AZ163" i="19"/>
  <c r="AZ162" i="19"/>
  <c r="AZ161" i="19"/>
  <c r="AZ160" i="19"/>
  <c r="AZ159" i="19"/>
  <c r="AZ158" i="19"/>
  <c r="AZ157" i="19"/>
  <c r="AZ156" i="19"/>
  <c r="AZ155" i="19"/>
  <c r="AZ154" i="19"/>
  <c r="AZ153" i="19"/>
  <c r="AZ152" i="19"/>
  <c r="AZ151" i="19"/>
  <c r="AZ150" i="19"/>
  <c r="AZ149" i="19"/>
  <c r="AZ148" i="19"/>
  <c r="AZ147" i="19"/>
  <c r="AZ146" i="19"/>
  <c r="AZ145" i="19"/>
  <c r="AZ144" i="19"/>
  <c r="AZ143" i="19"/>
  <c r="AZ142" i="19"/>
  <c r="AZ141" i="19"/>
  <c r="AZ140" i="19"/>
  <c r="AZ139" i="19"/>
  <c r="AZ138" i="19"/>
  <c r="AZ137" i="19"/>
  <c r="AZ136" i="19"/>
  <c r="AZ135" i="19"/>
  <c r="AZ134" i="19"/>
  <c r="AZ133" i="19"/>
  <c r="AZ132" i="19"/>
  <c r="AZ131" i="19"/>
  <c r="AZ130" i="19"/>
  <c r="AZ129" i="19"/>
  <c r="AZ128" i="19"/>
  <c r="AZ127" i="19"/>
  <c r="AZ126" i="19"/>
  <c r="AZ125" i="19"/>
  <c r="AZ124" i="19"/>
  <c r="AZ123" i="19"/>
  <c r="AZ122" i="19"/>
  <c r="AZ121" i="19"/>
  <c r="AZ120" i="19"/>
  <c r="AZ119" i="19"/>
  <c r="AZ118" i="19"/>
  <c r="AZ117" i="19"/>
  <c r="AZ116" i="19"/>
  <c r="AZ115" i="19"/>
  <c r="AZ114" i="19"/>
  <c r="AZ113" i="19"/>
  <c r="AZ112" i="19"/>
  <c r="AZ111" i="19"/>
  <c r="AZ110" i="19"/>
  <c r="AZ109" i="19"/>
  <c r="AZ108" i="19"/>
  <c r="AZ107" i="19"/>
  <c r="AZ106" i="19"/>
  <c r="AZ105" i="19"/>
  <c r="AZ104" i="19"/>
  <c r="AZ103" i="19"/>
  <c r="AZ102" i="19"/>
  <c r="AZ101" i="19"/>
  <c r="AZ100" i="19"/>
  <c r="AZ99" i="19"/>
  <c r="AZ98" i="19"/>
  <c r="AZ97" i="19"/>
  <c r="AZ96" i="19"/>
  <c r="AZ95" i="19"/>
  <c r="AZ94" i="19"/>
  <c r="AZ93" i="19"/>
  <c r="AZ92" i="19"/>
  <c r="AZ91" i="19"/>
  <c r="AZ90" i="19"/>
  <c r="AZ89" i="19"/>
  <c r="AZ88" i="19"/>
  <c r="AZ87" i="19"/>
  <c r="AZ86" i="19"/>
  <c r="AZ85" i="19"/>
  <c r="AZ84" i="19"/>
  <c r="AZ83" i="19"/>
  <c r="AZ82" i="19"/>
  <c r="AZ81" i="19"/>
  <c r="AZ80" i="19"/>
  <c r="AZ79" i="19"/>
  <c r="AZ78" i="19"/>
  <c r="AZ77" i="19"/>
  <c r="AZ76" i="19"/>
  <c r="AZ75" i="19"/>
  <c r="AZ74" i="19"/>
  <c r="AZ73" i="19"/>
  <c r="AZ72" i="19"/>
  <c r="AZ71" i="19"/>
  <c r="AZ70" i="19"/>
  <c r="AZ69" i="19"/>
  <c r="AZ68" i="19"/>
  <c r="AZ67" i="19"/>
  <c r="AZ66" i="19"/>
  <c r="AZ65" i="19"/>
  <c r="AZ64" i="19"/>
  <c r="AZ63" i="19"/>
  <c r="AZ62" i="19"/>
  <c r="AZ61" i="19"/>
  <c r="AZ60" i="19"/>
  <c r="AZ59" i="19"/>
  <c r="AZ58" i="19"/>
  <c r="AZ57" i="19"/>
  <c r="AZ56" i="19"/>
  <c r="AZ55" i="19"/>
  <c r="AZ54" i="19"/>
  <c r="AZ53" i="19"/>
  <c r="AZ52" i="19"/>
  <c r="AZ51" i="19"/>
  <c r="AZ50" i="19"/>
  <c r="AZ49" i="19"/>
  <c r="AZ48" i="19"/>
  <c r="AZ47" i="19"/>
  <c r="AZ46" i="19"/>
  <c r="AZ45" i="19"/>
  <c r="AZ44" i="19"/>
  <c r="AZ43" i="19"/>
  <c r="AZ42" i="19"/>
  <c r="AZ41" i="19"/>
  <c r="AZ40" i="19"/>
  <c r="AZ39" i="19"/>
  <c r="AZ38" i="19"/>
  <c r="AZ37" i="19"/>
  <c r="AZ36" i="19"/>
  <c r="AZ35" i="19"/>
  <c r="AZ34" i="19"/>
  <c r="AZ33" i="19"/>
  <c r="AZ32" i="19"/>
  <c r="AZ31" i="19"/>
  <c r="AZ30" i="19"/>
  <c r="AZ29" i="19"/>
  <c r="AZ28" i="19"/>
  <c r="AZ27" i="19"/>
  <c r="AZ26" i="19"/>
  <c r="AZ25" i="19"/>
  <c r="AZ24" i="19"/>
  <c r="AZ23" i="19"/>
  <c r="AZ22" i="19"/>
  <c r="AZ21" i="19"/>
  <c r="AZ20" i="19"/>
  <c r="AZ19" i="19"/>
  <c r="AZ18" i="19"/>
  <c r="AZ17" i="19"/>
  <c r="AZ16" i="19"/>
  <c r="AZ15" i="19"/>
  <c r="AZ14" i="19"/>
  <c r="AZ13" i="19"/>
  <c r="AZ12" i="19"/>
  <c r="AZ11" i="19"/>
  <c r="AZ10" i="19"/>
  <c r="AZ9" i="19"/>
  <c r="AZ8" i="19"/>
  <c r="AZ7" i="19"/>
  <c r="AZ6" i="19"/>
  <c r="AZ5" i="19"/>
  <c r="AW298" i="19"/>
  <c r="AW297" i="19"/>
  <c r="AW296" i="19"/>
  <c r="AW295" i="19"/>
  <c r="AW294" i="19"/>
  <c r="AW293" i="19"/>
  <c r="AW292" i="19"/>
  <c r="AW291" i="19"/>
  <c r="AW290" i="19"/>
  <c r="AW289" i="19"/>
  <c r="AW288" i="19"/>
  <c r="AW287" i="19"/>
  <c r="AW286" i="19"/>
  <c r="AW285" i="19"/>
  <c r="AW284" i="19"/>
  <c r="AW283" i="19"/>
  <c r="AW282" i="19"/>
  <c r="AW281" i="19"/>
  <c r="AW280" i="19"/>
  <c r="AW279" i="19"/>
  <c r="AW278" i="19"/>
  <c r="AW277" i="19"/>
  <c r="AW276" i="19"/>
  <c r="AW275" i="19"/>
  <c r="AW274" i="19"/>
  <c r="AW273" i="19"/>
  <c r="AW272" i="19"/>
  <c r="AW271" i="19"/>
  <c r="AW270" i="19"/>
  <c r="AW269" i="19"/>
  <c r="AW268" i="19"/>
  <c r="AW267" i="19"/>
  <c r="AW266" i="19"/>
  <c r="AW265" i="19"/>
  <c r="AW264" i="19"/>
  <c r="AW263" i="19"/>
  <c r="AW262" i="19"/>
  <c r="AW261" i="19"/>
  <c r="AW260" i="19"/>
  <c r="AW259" i="19"/>
  <c r="AW258" i="19"/>
  <c r="AW257" i="19"/>
  <c r="AW256" i="19"/>
  <c r="AW255" i="19"/>
  <c r="AW254" i="19"/>
  <c r="AW253" i="19"/>
  <c r="AW252" i="19"/>
  <c r="AW251" i="19"/>
  <c r="AW250" i="19"/>
  <c r="AW249" i="19"/>
  <c r="AW248" i="19"/>
  <c r="AW247" i="19"/>
  <c r="AW246" i="19"/>
  <c r="AW245" i="19"/>
  <c r="AW244" i="19"/>
  <c r="AW243" i="19"/>
  <c r="AW242" i="19"/>
  <c r="AW241" i="19"/>
  <c r="AW240" i="19"/>
  <c r="AW239" i="19"/>
  <c r="AW238" i="19"/>
  <c r="AW237" i="19"/>
  <c r="AW236" i="19"/>
  <c r="AW235" i="19"/>
  <c r="AW234" i="19"/>
  <c r="AW233" i="19"/>
  <c r="AW232" i="19"/>
  <c r="AW231" i="19"/>
  <c r="AW230" i="19"/>
  <c r="AW229" i="19"/>
  <c r="AW228" i="19"/>
  <c r="AW227" i="19"/>
  <c r="AW226" i="19"/>
  <c r="AW225" i="19"/>
  <c r="AW224" i="19"/>
  <c r="AW223" i="19"/>
  <c r="AW222" i="19"/>
  <c r="AW221" i="19"/>
  <c r="AW220" i="19"/>
  <c r="AW219" i="19"/>
  <c r="AW218" i="19"/>
  <c r="AW217" i="19"/>
  <c r="AW216" i="19"/>
  <c r="AW215" i="19"/>
  <c r="AW214" i="19"/>
  <c r="AW213" i="19"/>
  <c r="AW212" i="19"/>
  <c r="AW211" i="19"/>
  <c r="AW210" i="19"/>
  <c r="AW209" i="19"/>
  <c r="AW208" i="19"/>
  <c r="AW207" i="19"/>
  <c r="AW206" i="19"/>
  <c r="AW205" i="19"/>
  <c r="AW204" i="19"/>
  <c r="AW203" i="19"/>
  <c r="AW202" i="19"/>
  <c r="AW201" i="19"/>
  <c r="AW200" i="19"/>
  <c r="AW199" i="19"/>
  <c r="AW198" i="19"/>
  <c r="AW197" i="19"/>
  <c r="AW196" i="19"/>
  <c r="AW195" i="19"/>
  <c r="AW194" i="19"/>
  <c r="AW193" i="19"/>
  <c r="AW192" i="19"/>
  <c r="AW191" i="19"/>
  <c r="AW190" i="19"/>
  <c r="AW189" i="19"/>
  <c r="AW188" i="19"/>
  <c r="AW187" i="19"/>
  <c r="AW186" i="19"/>
  <c r="AW185" i="19"/>
  <c r="AW184" i="19"/>
  <c r="AW183" i="19"/>
  <c r="AW182" i="19"/>
  <c r="AW181" i="19"/>
  <c r="AW180" i="19"/>
  <c r="AW179" i="19"/>
  <c r="AW178" i="19"/>
  <c r="AW177" i="19"/>
  <c r="AW176" i="19"/>
  <c r="AW175" i="19"/>
  <c r="AW174" i="19"/>
  <c r="AW173" i="19"/>
  <c r="AW172" i="19"/>
  <c r="AW171" i="19"/>
  <c r="AW170" i="19"/>
  <c r="AW169" i="19"/>
  <c r="AW168" i="19"/>
  <c r="AW167" i="19"/>
  <c r="AW166" i="19"/>
  <c r="AW165" i="19"/>
  <c r="AW164" i="19"/>
  <c r="AW163" i="19"/>
  <c r="AW162" i="19"/>
  <c r="AW161" i="19"/>
  <c r="AW160" i="19"/>
  <c r="AW159" i="19"/>
  <c r="AW158" i="19"/>
  <c r="AW157" i="19"/>
  <c r="AW156" i="19"/>
  <c r="AW155" i="19"/>
  <c r="AW154" i="19"/>
  <c r="AW153" i="19"/>
  <c r="AW152" i="19"/>
  <c r="AW151" i="19"/>
  <c r="AW150" i="19"/>
  <c r="AW149" i="19"/>
  <c r="AW148" i="19"/>
  <c r="AW147" i="19"/>
  <c r="AW146" i="19"/>
  <c r="AW145" i="19"/>
  <c r="AW144" i="19"/>
  <c r="AW143" i="19"/>
  <c r="AW142" i="19"/>
  <c r="AW141" i="19"/>
  <c r="AW140" i="19"/>
  <c r="AW139" i="19"/>
  <c r="AW138" i="19"/>
  <c r="AW137" i="19"/>
  <c r="AW136" i="19"/>
  <c r="AW135" i="19"/>
  <c r="AW134" i="19"/>
  <c r="AW133" i="19"/>
  <c r="AW132" i="19"/>
  <c r="AW131" i="19"/>
  <c r="AW130" i="19"/>
  <c r="AW129" i="19"/>
  <c r="AW128" i="19"/>
  <c r="AW127" i="19"/>
  <c r="AW126" i="19"/>
  <c r="AW125" i="19"/>
  <c r="AW124" i="19"/>
  <c r="AW123" i="19"/>
  <c r="AW122" i="19"/>
  <c r="AW121" i="19"/>
  <c r="AW120" i="19"/>
  <c r="AW119" i="19"/>
  <c r="AW118" i="19"/>
  <c r="AW117" i="19"/>
  <c r="AW116" i="19"/>
  <c r="AW115" i="19"/>
  <c r="AW114" i="19"/>
  <c r="AW113" i="19"/>
  <c r="AW112" i="19"/>
  <c r="AW111" i="19"/>
  <c r="AW110" i="19"/>
  <c r="AW109" i="19"/>
  <c r="AW108" i="19"/>
  <c r="AW107" i="19"/>
  <c r="AW106" i="19"/>
  <c r="AW105" i="19"/>
  <c r="AW104" i="19"/>
  <c r="AW103" i="19"/>
  <c r="AW102" i="19"/>
  <c r="AW101" i="19"/>
  <c r="AW100" i="19"/>
  <c r="AW99" i="19"/>
  <c r="AW98" i="19"/>
  <c r="AW97" i="19"/>
  <c r="AW96" i="19"/>
  <c r="AW95" i="19"/>
  <c r="AW94" i="19"/>
  <c r="AW93" i="19"/>
  <c r="AW92" i="19"/>
  <c r="AW91" i="19"/>
  <c r="AW90" i="19"/>
  <c r="AW89" i="19"/>
  <c r="AW88" i="19"/>
  <c r="AW87" i="19"/>
  <c r="AW86" i="19"/>
  <c r="AW85" i="19"/>
  <c r="AW84" i="19"/>
  <c r="AW83" i="19"/>
  <c r="AW82" i="19"/>
  <c r="AW81" i="19"/>
  <c r="AW80" i="19"/>
  <c r="AW79" i="19"/>
  <c r="AW78" i="19"/>
  <c r="AW77" i="19"/>
  <c r="AW76" i="19"/>
  <c r="AW75" i="19"/>
  <c r="AW74" i="19"/>
  <c r="AW73" i="19"/>
  <c r="AW72" i="19"/>
  <c r="AW71" i="19"/>
  <c r="AW70" i="19"/>
  <c r="AW69" i="19"/>
  <c r="AW68" i="19"/>
  <c r="AW67" i="19"/>
  <c r="AW66" i="19"/>
  <c r="AW65" i="19"/>
  <c r="AW64" i="19"/>
  <c r="AW63" i="19"/>
  <c r="AW62" i="19"/>
  <c r="AW61" i="19"/>
  <c r="AW60" i="19"/>
  <c r="AW59" i="19"/>
  <c r="AW58" i="19"/>
  <c r="AW57" i="19"/>
  <c r="AW56" i="19"/>
  <c r="AW55" i="19"/>
  <c r="AW54" i="19"/>
  <c r="AW53" i="19"/>
  <c r="AW52" i="19"/>
  <c r="AW51" i="19"/>
  <c r="AW50" i="19"/>
  <c r="AW49" i="19"/>
  <c r="AW48" i="19"/>
  <c r="AW47" i="19"/>
  <c r="AW46" i="19"/>
  <c r="AW45" i="19"/>
  <c r="AW44" i="19"/>
  <c r="AW43" i="19"/>
  <c r="AW42" i="19"/>
  <c r="AW41" i="19"/>
  <c r="AW40" i="19"/>
  <c r="AW39" i="19"/>
  <c r="AW38" i="19"/>
  <c r="AW37" i="19"/>
  <c r="AW36" i="19"/>
  <c r="AW35" i="19"/>
  <c r="AW34" i="19"/>
  <c r="AW33" i="19"/>
  <c r="AW32" i="19"/>
  <c r="AW31" i="19"/>
  <c r="AW30" i="19"/>
  <c r="AW29" i="19"/>
  <c r="AW28" i="19"/>
  <c r="AW27" i="19"/>
  <c r="AW26" i="19"/>
  <c r="AW25" i="19"/>
  <c r="AW24" i="19"/>
  <c r="AW23" i="19"/>
  <c r="AW22" i="19"/>
  <c r="AW21" i="19"/>
  <c r="AW20" i="19"/>
  <c r="AW19" i="19"/>
  <c r="AW18" i="19"/>
  <c r="AW17" i="19"/>
  <c r="AW16" i="19"/>
  <c r="AW15" i="19"/>
  <c r="AW14" i="19"/>
  <c r="AW13" i="19"/>
  <c r="AW12" i="19"/>
  <c r="AW11" i="19"/>
  <c r="AW10" i="19"/>
  <c r="AW9" i="19"/>
  <c r="AW8" i="19"/>
  <c r="AW7" i="19"/>
  <c r="AW6" i="19"/>
  <c r="AW5" i="19"/>
  <c r="AT298" i="19"/>
  <c r="AT297" i="19"/>
  <c r="AT296" i="19"/>
  <c r="AT295" i="19"/>
  <c r="AT294" i="19"/>
  <c r="AT293" i="19"/>
  <c r="AT292" i="19"/>
  <c r="AT291" i="19"/>
  <c r="AT290" i="19"/>
  <c r="AT289" i="19"/>
  <c r="AT288" i="19"/>
  <c r="AT287" i="19"/>
  <c r="AT286" i="19"/>
  <c r="AT285" i="19"/>
  <c r="AT284" i="19"/>
  <c r="AT283" i="19"/>
  <c r="AT282" i="19"/>
  <c r="AT281" i="19"/>
  <c r="AT280" i="19"/>
  <c r="AT279" i="19"/>
  <c r="AT278" i="19"/>
  <c r="AT277" i="19"/>
  <c r="AT276" i="19"/>
  <c r="AT275" i="19"/>
  <c r="AT274" i="19"/>
  <c r="AT273" i="19"/>
  <c r="AT272" i="19"/>
  <c r="AT271" i="19"/>
  <c r="AT270" i="19"/>
  <c r="AT269" i="19"/>
  <c r="AT268" i="19"/>
  <c r="AT267" i="19"/>
  <c r="AT266" i="19"/>
  <c r="AT265" i="19"/>
  <c r="AT264" i="19"/>
  <c r="AT263" i="19"/>
  <c r="AT262" i="19"/>
  <c r="AT261" i="19"/>
  <c r="AT260" i="19"/>
  <c r="AT259" i="19"/>
  <c r="AT258" i="19"/>
  <c r="AT257" i="19"/>
  <c r="AT256" i="19"/>
  <c r="AT255" i="19"/>
  <c r="AT254" i="19"/>
  <c r="AT253" i="19"/>
  <c r="AT252" i="19"/>
  <c r="AT251" i="19"/>
  <c r="AT250" i="19"/>
  <c r="AT249" i="19"/>
  <c r="AT248" i="19"/>
  <c r="AT247" i="19"/>
  <c r="AT246" i="19"/>
  <c r="AT245" i="19"/>
  <c r="AT244" i="19"/>
  <c r="AT243" i="19"/>
  <c r="AT242" i="19"/>
  <c r="AT241" i="19"/>
  <c r="AT240" i="19"/>
  <c r="AT239" i="19"/>
  <c r="AT238" i="19"/>
  <c r="AT237" i="19"/>
  <c r="AT236" i="19"/>
  <c r="AT235" i="19"/>
  <c r="AT234" i="19"/>
  <c r="AT233" i="19"/>
  <c r="AT232" i="19"/>
  <c r="AT231" i="19"/>
  <c r="AT230" i="19"/>
  <c r="AT229" i="19"/>
  <c r="AT228" i="19"/>
  <c r="AT227" i="19"/>
  <c r="AT226" i="19"/>
  <c r="AT225" i="19"/>
  <c r="AT224" i="19"/>
  <c r="AT223" i="19"/>
  <c r="AT222" i="19"/>
  <c r="AT221" i="19"/>
  <c r="AT220" i="19"/>
  <c r="AT219" i="19"/>
  <c r="AT218" i="19"/>
  <c r="AT217" i="19"/>
  <c r="AT216" i="19"/>
  <c r="AT215" i="19"/>
  <c r="AT214" i="19"/>
  <c r="AT213" i="19"/>
  <c r="AT212" i="19"/>
  <c r="AT211" i="19"/>
  <c r="AT210" i="19"/>
  <c r="AT209" i="19"/>
  <c r="AT208" i="19"/>
  <c r="AT207" i="19"/>
  <c r="AT206" i="19"/>
  <c r="AT205" i="19"/>
  <c r="AT204" i="19"/>
  <c r="AT203" i="19"/>
  <c r="AT202" i="19"/>
  <c r="AT201" i="19"/>
  <c r="AT200" i="19"/>
  <c r="AT199" i="19"/>
  <c r="AT198" i="19"/>
  <c r="AT197" i="19"/>
  <c r="AT196" i="19"/>
  <c r="AT195" i="19"/>
  <c r="AT194" i="19"/>
  <c r="AT193" i="19"/>
  <c r="AT192" i="19"/>
  <c r="AT191" i="19"/>
  <c r="AT190" i="19"/>
  <c r="AT189" i="19"/>
  <c r="AT188" i="19"/>
  <c r="AT187" i="19"/>
  <c r="AT186" i="19"/>
  <c r="AT185" i="19"/>
  <c r="AT184" i="19"/>
  <c r="AT183" i="19"/>
  <c r="AT182" i="19"/>
  <c r="AT181" i="19"/>
  <c r="AT180" i="19"/>
  <c r="AT179" i="19"/>
  <c r="AT178" i="19"/>
  <c r="AT177" i="19"/>
  <c r="AT176" i="19"/>
  <c r="AT175" i="19"/>
  <c r="AT174" i="19"/>
  <c r="AT173" i="19"/>
  <c r="AT172" i="19"/>
  <c r="AT171" i="19"/>
  <c r="AT170" i="19"/>
  <c r="AT169" i="19"/>
  <c r="AT168" i="19"/>
  <c r="AT167" i="19"/>
  <c r="AT166" i="19"/>
  <c r="AT165" i="19"/>
  <c r="AT164" i="19"/>
  <c r="AT163" i="19"/>
  <c r="AT162" i="19"/>
  <c r="AT161" i="19"/>
  <c r="AT160" i="19"/>
  <c r="AT159" i="19"/>
  <c r="AT158" i="19"/>
  <c r="AT157" i="19"/>
  <c r="AT156" i="19"/>
  <c r="AT155" i="19"/>
  <c r="AT154" i="19"/>
  <c r="AT153" i="19"/>
  <c r="AT152" i="19"/>
  <c r="AT151" i="19"/>
  <c r="AT150" i="19"/>
  <c r="AT149" i="19"/>
  <c r="AT148" i="19"/>
  <c r="AT147" i="19"/>
  <c r="AT146" i="19"/>
  <c r="AT145" i="19"/>
  <c r="AT144" i="19"/>
  <c r="AT143" i="19"/>
  <c r="AT142" i="19"/>
  <c r="AT141" i="19"/>
  <c r="AT140" i="19"/>
  <c r="AT139" i="19"/>
  <c r="AT138" i="19"/>
  <c r="AT137" i="19"/>
  <c r="AT136" i="19"/>
  <c r="AT135" i="19"/>
  <c r="AT134" i="19"/>
  <c r="AT133" i="19"/>
  <c r="AT132" i="19"/>
  <c r="AT131" i="19"/>
  <c r="AT130" i="19"/>
  <c r="AT129" i="19"/>
  <c r="AT128" i="19"/>
  <c r="AT127" i="19"/>
  <c r="AT126" i="19"/>
  <c r="AT125" i="19"/>
  <c r="AT124" i="19"/>
  <c r="AT123" i="19"/>
  <c r="AT122" i="19"/>
  <c r="AT121" i="19"/>
  <c r="AT120" i="19"/>
  <c r="AT119" i="19"/>
  <c r="AT118" i="19"/>
  <c r="AT117" i="19"/>
  <c r="AT116" i="19"/>
  <c r="AT115" i="19"/>
  <c r="AT114" i="19"/>
  <c r="AT113" i="19"/>
  <c r="AT112" i="19"/>
  <c r="AT111" i="19"/>
  <c r="AT110" i="19"/>
  <c r="AT109" i="19"/>
  <c r="AT108" i="19"/>
  <c r="AT107" i="19"/>
  <c r="AT106" i="19"/>
  <c r="AT105" i="19"/>
  <c r="AT104" i="19"/>
  <c r="AT103" i="19"/>
  <c r="AT102" i="19"/>
  <c r="AT101" i="19"/>
  <c r="AT100" i="19"/>
  <c r="AT99" i="19"/>
  <c r="AT98" i="19"/>
  <c r="AT97" i="19"/>
  <c r="AT96" i="19"/>
  <c r="AT95" i="19"/>
  <c r="AT94" i="19"/>
  <c r="AT93" i="19"/>
  <c r="AT92" i="19"/>
  <c r="AT91" i="19"/>
  <c r="AT90" i="19"/>
  <c r="AT89" i="19"/>
  <c r="AT88" i="19"/>
  <c r="AT87" i="19"/>
  <c r="AT86" i="19"/>
  <c r="AT85" i="19"/>
  <c r="AT84" i="19"/>
  <c r="AT83" i="19"/>
  <c r="AT82" i="19"/>
  <c r="AT81" i="19"/>
  <c r="AT80" i="19"/>
  <c r="AT79" i="19"/>
  <c r="AT78" i="19"/>
  <c r="AT77" i="19"/>
  <c r="AT76" i="19"/>
  <c r="AT75" i="19"/>
  <c r="AT74" i="19"/>
  <c r="AT73" i="19"/>
  <c r="AT72" i="19"/>
  <c r="AT71" i="19"/>
  <c r="AT70" i="19"/>
  <c r="AT69" i="19"/>
  <c r="AT68" i="19"/>
  <c r="AT67" i="19"/>
  <c r="AT66" i="19"/>
  <c r="AT65" i="19"/>
  <c r="AT64" i="19"/>
  <c r="AT63" i="19"/>
  <c r="AT62" i="19"/>
  <c r="AT61" i="19"/>
  <c r="AT60" i="19"/>
  <c r="AT59" i="19"/>
  <c r="AT58" i="19"/>
  <c r="AT57" i="19"/>
  <c r="AT56" i="19"/>
  <c r="AT55" i="19"/>
  <c r="AT54" i="19"/>
  <c r="AT53" i="19"/>
  <c r="AT52" i="19"/>
  <c r="AT51" i="19"/>
  <c r="AT50" i="19"/>
  <c r="AT49" i="19"/>
  <c r="AT48" i="19"/>
  <c r="AT47" i="19"/>
  <c r="AT46" i="19"/>
  <c r="AT45" i="19"/>
  <c r="AT44" i="19"/>
  <c r="AT43" i="19"/>
  <c r="AT42" i="19"/>
  <c r="AT41" i="19"/>
  <c r="AT40" i="19"/>
  <c r="AT39" i="19"/>
  <c r="AT38" i="19"/>
  <c r="AT37" i="19"/>
  <c r="AT36" i="19"/>
  <c r="AT35" i="19"/>
  <c r="AT34" i="19"/>
  <c r="AT33" i="19"/>
  <c r="AT32" i="19"/>
  <c r="AT31" i="19"/>
  <c r="AT30" i="19"/>
  <c r="AT29" i="19"/>
  <c r="AT28" i="19"/>
  <c r="AT27" i="19"/>
  <c r="AT26" i="19"/>
  <c r="AT25" i="19"/>
  <c r="AT24" i="19"/>
  <c r="AT23" i="19"/>
  <c r="AT22" i="19"/>
  <c r="AT21" i="19"/>
  <c r="AT20" i="19"/>
  <c r="AT19" i="19"/>
  <c r="AT18" i="19"/>
  <c r="AT17" i="19"/>
  <c r="AT16" i="19"/>
  <c r="AT15" i="19"/>
  <c r="AT14" i="19"/>
  <c r="AT13" i="19"/>
  <c r="AT12" i="19"/>
  <c r="AT11" i="19"/>
  <c r="AT10" i="19"/>
  <c r="AT9" i="19"/>
  <c r="AT8" i="19"/>
  <c r="AT7" i="19"/>
  <c r="AT6" i="19"/>
  <c r="AT5" i="19"/>
  <c r="AQ298" i="19"/>
  <c r="AQ297" i="19"/>
  <c r="AQ296" i="19"/>
  <c r="AQ295" i="19"/>
  <c r="AQ294" i="19"/>
  <c r="AQ293" i="19"/>
  <c r="AQ292" i="19"/>
  <c r="AQ291" i="19"/>
  <c r="AQ290" i="19"/>
  <c r="AQ289" i="19"/>
  <c r="AQ288" i="19"/>
  <c r="AQ287" i="19"/>
  <c r="AQ286" i="19"/>
  <c r="AQ285" i="19"/>
  <c r="AQ284" i="19"/>
  <c r="AQ283" i="19"/>
  <c r="AQ282" i="19"/>
  <c r="AQ281" i="19"/>
  <c r="AQ280" i="19"/>
  <c r="AQ279" i="19"/>
  <c r="AQ278" i="19"/>
  <c r="AQ277" i="19"/>
  <c r="AQ276" i="19"/>
  <c r="AQ275" i="19"/>
  <c r="AQ274" i="19"/>
  <c r="AQ273" i="19"/>
  <c r="AQ272" i="19"/>
  <c r="AQ271" i="19"/>
  <c r="AQ270" i="19"/>
  <c r="AQ269" i="19"/>
  <c r="AQ268" i="19"/>
  <c r="AQ267" i="19"/>
  <c r="AQ266" i="19"/>
  <c r="AQ265" i="19"/>
  <c r="AQ264" i="19"/>
  <c r="AQ263" i="19"/>
  <c r="AQ262" i="19"/>
  <c r="AQ261" i="19"/>
  <c r="AQ260" i="19"/>
  <c r="AQ259" i="19"/>
  <c r="AQ258" i="19"/>
  <c r="AQ257" i="19"/>
  <c r="AQ256" i="19"/>
  <c r="AQ255" i="19"/>
  <c r="AQ254" i="19"/>
  <c r="AQ253" i="19"/>
  <c r="AQ252" i="19"/>
  <c r="AQ251" i="19"/>
  <c r="AQ250" i="19"/>
  <c r="AQ249" i="19"/>
  <c r="AQ248" i="19"/>
  <c r="AQ247" i="19"/>
  <c r="AQ246" i="19"/>
  <c r="AQ245" i="19"/>
  <c r="AQ244" i="19"/>
  <c r="AQ243" i="19"/>
  <c r="AQ242" i="19"/>
  <c r="AQ241" i="19"/>
  <c r="AQ240" i="19"/>
  <c r="AQ239" i="19"/>
  <c r="AQ238" i="19"/>
  <c r="AQ237" i="19"/>
  <c r="AQ236" i="19"/>
  <c r="AQ235" i="19"/>
  <c r="AQ234" i="19"/>
  <c r="AQ233" i="19"/>
  <c r="AQ232" i="19"/>
  <c r="AQ231" i="19"/>
  <c r="AQ230" i="19"/>
  <c r="AQ229" i="19"/>
  <c r="AQ228" i="19"/>
  <c r="AQ227" i="19"/>
  <c r="AQ226" i="19"/>
  <c r="AQ225" i="19"/>
  <c r="AQ224" i="19"/>
  <c r="AQ223" i="19"/>
  <c r="AQ222" i="19"/>
  <c r="AQ221" i="19"/>
  <c r="AQ220" i="19"/>
  <c r="AQ219" i="19"/>
  <c r="AQ218" i="19"/>
  <c r="AQ217" i="19"/>
  <c r="AQ216" i="19"/>
  <c r="AQ215" i="19"/>
  <c r="AQ214" i="19"/>
  <c r="AQ213" i="19"/>
  <c r="AQ212" i="19"/>
  <c r="AQ211" i="19"/>
  <c r="AQ210" i="19"/>
  <c r="AQ209" i="19"/>
  <c r="AQ208" i="19"/>
  <c r="AQ207" i="19"/>
  <c r="AQ206" i="19"/>
  <c r="AQ205" i="19"/>
  <c r="AQ204" i="19"/>
  <c r="AQ203" i="19"/>
  <c r="AQ202" i="19"/>
  <c r="AQ201" i="19"/>
  <c r="AQ200" i="19"/>
  <c r="AQ199" i="19"/>
  <c r="AQ198" i="19"/>
  <c r="AQ197" i="19"/>
  <c r="AQ196" i="19"/>
  <c r="AQ195" i="19"/>
  <c r="AQ194" i="19"/>
  <c r="AQ193" i="19"/>
  <c r="AQ192" i="19"/>
  <c r="AQ191" i="19"/>
  <c r="AQ190" i="19"/>
  <c r="AQ189" i="19"/>
  <c r="AQ188" i="19"/>
  <c r="AQ187" i="19"/>
  <c r="AQ186" i="19"/>
  <c r="AQ185" i="19"/>
  <c r="AQ184" i="19"/>
  <c r="AQ183" i="19"/>
  <c r="AQ182" i="19"/>
  <c r="AQ181" i="19"/>
  <c r="AQ180" i="19"/>
  <c r="AQ179" i="19"/>
  <c r="AQ178" i="19"/>
  <c r="AQ177" i="19"/>
  <c r="AQ176" i="19"/>
  <c r="AQ175" i="19"/>
  <c r="AQ174" i="19"/>
  <c r="AQ173" i="19"/>
  <c r="AQ172" i="19"/>
  <c r="AQ171" i="19"/>
  <c r="AQ170" i="19"/>
  <c r="AQ169" i="19"/>
  <c r="AQ168" i="19"/>
  <c r="AQ167" i="19"/>
  <c r="AQ166" i="19"/>
  <c r="AQ165" i="19"/>
  <c r="AQ164" i="19"/>
  <c r="AQ163" i="19"/>
  <c r="AQ162" i="19"/>
  <c r="AQ161" i="19"/>
  <c r="AQ160" i="19"/>
  <c r="AQ159" i="19"/>
  <c r="AQ158" i="19"/>
  <c r="AQ157" i="19"/>
  <c r="AQ156" i="19"/>
  <c r="AQ155" i="19"/>
  <c r="AQ154" i="19"/>
  <c r="AQ153" i="19"/>
  <c r="AQ152" i="19"/>
  <c r="AQ151" i="19"/>
  <c r="AQ150" i="19"/>
  <c r="AQ149" i="19"/>
  <c r="AQ148" i="19"/>
  <c r="AQ147" i="19"/>
  <c r="AQ146" i="19"/>
  <c r="AQ145" i="19"/>
  <c r="AQ144" i="19"/>
  <c r="AQ143" i="19"/>
  <c r="AQ142" i="19"/>
  <c r="AQ141" i="19"/>
  <c r="AQ140" i="19"/>
  <c r="AQ139" i="19"/>
  <c r="AQ138" i="19"/>
  <c r="AQ137" i="19"/>
  <c r="AQ136" i="19"/>
  <c r="AQ135" i="19"/>
  <c r="AQ134" i="19"/>
  <c r="AQ133" i="19"/>
  <c r="AQ132" i="19"/>
  <c r="AQ131" i="19"/>
  <c r="AQ130" i="19"/>
  <c r="AQ129" i="19"/>
  <c r="AQ128" i="19"/>
  <c r="AQ127" i="19"/>
  <c r="AQ126" i="19"/>
  <c r="AQ125" i="19"/>
  <c r="AQ124" i="19"/>
  <c r="AQ123" i="19"/>
  <c r="AQ122" i="19"/>
  <c r="AQ121" i="19"/>
  <c r="AQ120" i="19"/>
  <c r="AQ119" i="19"/>
  <c r="AQ118" i="19"/>
  <c r="AQ117" i="19"/>
  <c r="AQ116" i="19"/>
  <c r="AQ115" i="19"/>
  <c r="AQ114" i="19"/>
  <c r="AQ113" i="19"/>
  <c r="AQ112" i="19"/>
  <c r="AQ111" i="19"/>
  <c r="AQ110" i="19"/>
  <c r="AQ109" i="19"/>
  <c r="AQ108" i="19"/>
  <c r="AQ107" i="19"/>
  <c r="AQ106" i="19"/>
  <c r="AQ105" i="19"/>
  <c r="AQ104" i="19"/>
  <c r="AQ103" i="19"/>
  <c r="AQ102" i="19"/>
  <c r="AQ101" i="19"/>
  <c r="AQ100" i="19"/>
  <c r="AQ99" i="19"/>
  <c r="AQ98" i="19"/>
  <c r="AQ97" i="19"/>
  <c r="AQ96" i="19"/>
  <c r="AQ95" i="19"/>
  <c r="AQ94" i="19"/>
  <c r="AQ93" i="19"/>
  <c r="AQ92" i="19"/>
  <c r="AQ91" i="19"/>
  <c r="AQ90" i="19"/>
  <c r="AQ89" i="19"/>
  <c r="AQ88" i="19"/>
  <c r="AQ87" i="19"/>
  <c r="AQ86" i="19"/>
  <c r="AQ85" i="19"/>
  <c r="AQ84" i="19"/>
  <c r="AQ83" i="19"/>
  <c r="AQ82" i="19"/>
  <c r="AQ81" i="19"/>
  <c r="AQ80" i="19"/>
  <c r="AQ79" i="19"/>
  <c r="AQ78" i="19"/>
  <c r="AQ77" i="19"/>
  <c r="AQ76" i="19"/>
  <c r="AQ75" i="19"/>
  <c r="AQ74" i="19"/>
  <c r="AQ73" i="19"/>
  <c r="AQ72" i="19"/>
  <c r="AQ71" i="19"/>
  <c r="AQ70" i="19"/>
  <c r="AQ69" i="19"/>
  <c r="AQ68" i="19"/>
  <c r="AQ67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AQ54" i="19"/>
  <c r="AQ53" i="19"/>
  <c r="AQ52" i="19"/>
  <c r="AQ51" i="19"/>
  <c r="AQ50" i="19"/>
  <c r="AQ49" i="19"/>
  <c r="AQ48" i="19"/>
  <c r="AQ47" i="19"/>
  <c r="AQ46" i="19"/>
  <c r="AQ45" i="19"/>
  <c r="AQ44" i="19"/>
  <c r="AQ43" i="19"/>
  <c r="AQ42" i="19"/>
  <c r="AQ41" i="19"/>
  <c r="AQ40" i="19"/>
  <c r="AQ39" i="19"/>
  <c r="AQ38" i="19"/>
  <c r="AQ37" i="19"/>
  <c r="AQ36" i="19"/>
  <c r="AQ35" i="19"/>
  <c r="AQ34" i="19"/>
  <c r="AQ33" i="19"/>
  <c r="AQ32" i="19"/>
  <c r="AQ31" i="19"/>
  <c r="AQ30" i="19"/>
  <c r="AQ29" i="19"/>
  <c r="AQ28" i="19"/>
  <c r="AQ27" i="19"/>
  <c r="AQ26" i="19"/>
  <c r="AQ25" i="19"/>
  <c r="AQ24" i="19"/>
  <c r="AQ23" i="19"/>
  <c r="AQ22" i="19"/>
  <c r="AQ21" i="19"/>
  <c r="AQ20" i="19"/>
  <c r="AQ19" i="19"/>
  <c r="AQ18" i="19"/>
  <c r="AQ17" i="19"/>
  <c r="AQ16" i="19"/>
  <c r="AQ15" i="19"/>
  <c r="AQ14" i="19"/>
  <c r="AQ13" i="19"/>
  <c r="AQ12" i="19"/>
  <c r="AQ11" i="19"/>
  <c r="AQ10" i="19"/>
  <c r="AQ9" i="19"/>
  <c r="AQ8" i="19"/>
  <c r="AQ7" i="19"/>
  <c r="AQ6" i="19"/>
  <c r="AQ5" i="19"/>
  <c r="AN298" i="19"/>
  <c r="AN297" i="19"/>
  <c r="AN296" i="19"/>
  <c r="AN295" i="19"/>
  <c r="AN294" i="19"/>
  <c r="AN293" i="19"/>
  <c r="AN292" i="19"/>
  <c r="AN291" i="19"/>
  <c r="AN290" i="19"/>
  <c r="AN289" i="19"/>
  <c r="AN288" i="19"/>
  <c r="AN287" i="19"/>
  <c r="AN286" i="19"/>
  <c r="AN285" i="19"/>
  <c r="AN284" i="19"/>
  <c r="AN283" i="19"/>
  <c r="AN282" i="19"/>
  <c r="AN281" i="19"/>
  <c r="AN280" i="19"/>
  <c r="AN279" i="19"/>
  <c r="AN278" i="19"/>
  <c r="AN277" i="19"/>
  <c r="AN276" i="19"/>
  <c r="AN275" i="19"/>
  <c r="AN274" i="19"/>
  <c r="AN273" i="19"/>
  <c r="AN272" i="19"/>
  <c r="AN271" i="19"/>
  <c r="AN270" i="19"/>
  <c r="AN269" i="19"/>
  <c r="AN268" i="19"/>
  <c r="AN267" i="19"/>
  <c r="AN266" i="19"/>
  <c r="AN265" i="19"/>
  <c r="AN264" i="19"/>
  <c r="AN263" i="19"/>
  <c r="AN262" i="19"/>
  <c r="AN261" i="19"/>
  <c r="AN260" i="19"/>
  <c r="AN259" i="19"/>
  <c r="AN258" i="19"/>
  <c r="AN257" i="19"/>
  <c r="AN256" i="19"/>
  <c r="AN255" i="19"/>
  <c r="AN254" i="19"/>
  <c r="AN253" i="19"/>
  <c r="AN252" i="19"/>
  <c r="AN251" i="19"/>
  <c r="AN250" i="19"/>
  <c r="AN249" i="19"/>
  <c r="AN248" i="19"/>
  <c r="AN247" i="19"/>
  <c r="AN246" i="19"/>
  <c r="AN245" i="19"/>
  <c r="AN244" i="19"/>
  <c r="AN243" i="19"/>
  <c r="AN242" i="19"/>
  <c r="AN241" i="19"/>
  <c r="AN240" i="19"/>
  <c r="AN239" i="19"/>
  <c r="AN238" i="19"/>
  <c r="AN237" i="19"/>
  <c r="AN236" i="19"/>
  <c r="AN235" i="19"/>
  <c r="AN234" i="19"/>
  <c r="AN233" i="19"/>
  <c r="AN232" i="19"/>
  <c r="AN231" i="19"/>
  <c r="AN230" i="19"/>
  <c r="AN229" i="19"/>
  <c r="AN228" i="19"/>
  <c r="AN227" i="19"/>
  <c r="AN226" i="19"/>
  <c r="AN225" i="19"/>
  <c r="AN224" i="19"/>
  <c r="AN223" i="19"/>
  <c r="AN222" i="19"/>
  <c r="AN221" i="19"/>
  <c r="AN220" i="19"/>
  <c r="AN219" i="19"/>
  <c r="AN218" i="19"/>
  <c r="AN217" i="19"/>
  <c r="AN216" i="19"/>
  <c r="AN215" i="19"/>
  <c r="AN214" i="19"/>
  <c r="AN213" i="19"/>
  <c r="AN212" i="19"/>
  <c r="AN211" i="19"/>
  <c r="AN210" i="19"/>
  <c r="AN209" i="19"/>
  <c r="AN208" i="19"/>
  <c r="AN207" i="19"/>
  <c r="AN206" i="19"/>
  <c r="AN205" i="19"/>
  <c r="AN204" i="19"/>
  <c r="AN203" i="19"/>
  <c r="AN202" i="19"/>
  <c r="AN201" i="19"/>
  <c r="AN200" i="19"/>
  <c r="AN199" i="19"/>
  <c r="AN198" i="19"/>
  <c r="AN197" i="19"/>
  <c r="AN196" i="19"/>
  <c r="AN195" i="19"/>
  <c r="AN194" i="19"/>
  <c r="AN193" i="19"/>
  <c r="AN192" i="19"/>
  <c r="AN191" i="19"/>
  <c r="AN190" i="19"/>
  <c r="AN189" i="19"/>
  <c r="AN188" i="19"/>
  <c r="AN187" i="19"/>
  <c r="AN186" i="19"/>
  <c r="AN185" i="19"/>
  <c r="AN184" i="19"/>
  <c r="AN183" i="19"/>
  <c r="AN182" i="19"/>
  <c r="AN181" i="19"/>
  <c r="AN180" i="19"/>
  <c r="AN179" i="19"/>
  <c r="AN178" i="19"/>
  <c r="AN177" i="19"/>
  <c r="AN176" i="19"/>
  <c r="AN175" i="19"/>
  <c r="AN174" i="19"/>
  <c r="AN173" i="19"/>
  <c r="AN172" i="19"/>
  <c r="AN171" i="19"/>
  <c r="AN170" i="19"/>
  <c r="AN169" i="19"/>
  <c r="AN168" i="19"/>
  <c r="AN167" i="19"/>
  <c r="AN166" i="19"/>
  <c r="AN165" i="19"/>
  <c r="AN164" i="19"/>
  <c r="AN163" i="19"/>
  <c r="AN162" i="19"/>
  <c r="AN161" i="19"/>
  <c r="AN160" i="19"/>
  <c r="AN159" i="19"/>
  <c r="AN158" i="19"/>
  <c r="AN157" i="19"/>
  <c r="AN156" i="19"/>
  <c r="AN155" i="19"/>
  <c r="AN154" i="19"/>
  <c r="AN153" i="19"/>
  <c r="AN152" i="19"/>
  <c r="AN151" i="19"/>
  <c r="AN150" i="19"/>
  <c r="AN149" i="19"/>
  <c r="AN148" i="19"/>
  <c r="AN147" i="19"/>
  <c r="AN146" i="19"/>
  <c r="AN145" i="19"/>
  <c r="AN144" i="19"/>
  <c r="AN143" i="19"/>
  <c r="AN142" i="19"/>
  <c r="AN141" i="19"/>
  <c r="AN140" i="19"/>
  <c r="AN139" i="19"/>
  <c r="AN138" i="19"/>
  <c r="AN137" i="19"/>
  <c r="AN136" i="19"/>
  <c r="AN135" i="19"/>
  <c r="AN134" i="19"/>
  <c r="AN133" i="19"/>
  <c r="AN132" i="19"/>
  <c r="AN131" i="19"/>
  <c r="AN130" i="19"/>
  <c r="AN129" i="19"/>
  <c r="AN128" i="19"/>
  <c r="AN127" i="19"/>
  <c r="AN126" i="19"/>
  <c r="AN125" i="19"/>
  <c r="AN124" i="19"/>
  <c r="AN123" i="19"/>
  <c r="AN122" i="19"/>
  <c r="AN121" i="19"/>
  <c r="AN120" i="19"/>
  <c r="AN119" i="19"/>
  <c r="AN118" i="19"/>
  <c r="AN117" i="19"/>
  <c r="AN116" i="19"/>
  <c r="AN115" i="19"/>
  <c r="AN114" i="19"/>
  <c r="AN113" i="19"/>
  <c r="AN112" i="19"/>
  <c r="AN111" i="19"/>
  <c r="AN110" i="19"/>
  <c r="AN109" i="19"/>
  <c r="AN108" i="19"/>
  <c r="AN107" i="19"/>
  <c r="AN106" i="19"/>
  <c r="AN105" i="19"/>
  <c r="AN104" i="19"/>
  <c r="AN103" i="19"/>
  <c r="AN102" i="19"/>
  <c r="AN101" i="19"/>
  <c r="AN100" i="19"/>
  <c r="AN99" i="19"/>
  <c r="AN98" i="19"/>
  <c r="AN97" i="19"/>
  <c r="AN96" i="19"/>
  <c r="AN95" i="19"/>
  <c r="AN94" i="19"/>
  <c r="AN93" i="19"/>
  <c r="AN92" i="19"/>
  <c r="AN91" i="19"/>
  <c r="AN90" i="19"/>
  <c r="AN89" i="19"/>
  <c r="AN88" i="19"/>
  <c r="AN87" i="19"/>
  <c r="AN86" i="19"/>
  <c r="AN85" i="19"/>
  <c r="AN84" i="19"/>
  <c r="AN83" i="19"/>
  <c r="AN82" i="19"/>
  <c r="AN81" i="19"/>
  <c r="AN80" i="19"/>
  <c r="AN79" i="19"/>
  <c r="AN78" i="19"/>
  <c r="AN77" i="19"/>
  <c r="AN76" i="19"/>
  <c r="AN75" i="19"/>
  <c r="AN74" i="19"/>
  <c r="AN73" i="19"/>
  <c r="AN72" i="19"/>
  <c r="AN71" i="19"/>
  <c r="AN70" i="19"/>
  <c r="AN69" i="19"/>
  <c r="AN68" i="19"/>
  <c r="AN67" i="19"/>
  <c r="AN66" i="19"/>
  <c r="AN65" i="19"/>
  <c r="AN64" i="19"/>
  <c r="AN63" i="19"/>
  <c r="AN62" i="19"/>
  <c r="AN61" i="19"/>
  <c r="AN60" i="19"/>
  <c r="AN59" i="19"/>
  <c r="AN58" i="19"/>
  <c r="AN57" i="19"/>
  <c r="AN56" i="19"/>
  <c r="AN55" i="19"/>
  <c r="AN54" i="19"/>
  <c r="AN53" i="19"/>
  <c r="AN52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9" i="19"/>
  <c r="AN38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K298" i="19"/>
  <c r="AK297" i="19"/>
  <c r="AK296" i="19"/>
  <c r="AK295" i="19"/>
  <c r="AK294" i="19"/>
  <c r="AK293" i="19"/>
  <c r="AK292" i="19"/>
  <c r="AK291" i="19"/>
  <c r="AK290" i="19"/>
  <c r="AK289" i="19"/>
  <c r="AK288" i="19"/>
  <c r="AK287" i="19"/>
  <c r="AK286" i="19"/>
  <c r="AK285" i="19"/>
  <c r="AK284" i="19"/>
  <c r="AK283" i="19"/>
  <c r="AK282" i="19"/>
  <c r="AK281" i="19"/>
  <c r="AK280" i="19"/>
  <c r="AK279" i="19"/>
  <c r="AK278" i="19"/>
  <c r="AK277" i="19"/>
  <c r="AK276" i="19"/>
  <c r="AK275" i="19"/>
  <c r="AK274" i="19"/>
  <c r="AK273" i="19"/>
  <c r="AK272" i="19"/>
  <c r="AK271" i="19"/>
  <c r="AK270" i="19"/>
  <c r="AK269" i="19"/>
  <c r="AK268" i="19"/>
  <c r="AK267" i="19"/>
  <c r="AK266" i="19"/>
  <c r="AK265" i="19"/>
  <c r="AK264" i="19"/>
  <c r="AK263" i="19"/>
  <c r="AK262" i="19"/>
  <c r="AK261" i="19"/>
  <c r="AK260" i="19"/>
  <c r="AK259" i="19"/>
  <c r="AK258" i="19"/>
  <c r="AK257" i="19"/>
  <c r="AK256" i="19"/>
  <c r="AK255" i="19"/>
  <c r="AK254" i="19"/>
  <c r="AK253" i="19"/>
  <c r="AK252" i="19"/>
  <c r="AK251" i="19"/>
  <c r="AK250" i="19"/>
  <c r="AK249" i="19"/>
  <c r="AK248" i="19"/>
  <c r="AK247" i="19"/>
  <c r="AK246" i="19"/>
  <c r="AK245" i="19"/>
  <c r="AK244" i="19"/>
  <c r="AK243" i="19"/>
  <c r="AK242" i="19"/>
  <c r="AK241" i="19"/>
  <c r="AK240" i="19"/>
  <c r="AK239" i="19"/>
  <c r="AK238" i="19"/>
  <c r="AK237" i="19"/>
  <c r="AK236" i="19"/>
  <c r="AK235" i="19"/>
  <c r="AK234" i="19"/>
  <c r="AK233" i="19"/>
  <c r="AK232" i="19"/>
  <c r="AK231" i="19"/>
  <c r="AK230" i="19"/>
  <c r="AK229" i="19"/>
  <c r="AK228" i="19"/>
  <c r="AK227" i="19"/>
  <c r="AK226" i="19"/>
  <c r="AK225" i="19"/>
  <c r="AK224" i="19"/>
  <c r="AK223" i="19"/>
  <c r="AK222" i="19"/>
  <c r="AK221" i="19"/>
  <c r="AK220" i="19"/>
  <c r="AK219" i="19"/>
  <c r="AK218" i="19"/>
  <c r="AK217" i="19"/>
  <c r="AK216" i="19"/>
  <c r="AK215" i="19"/>
  <c r="AK214" i="19"/>
  <c r="AK213" i="19"/>
  <c r="AK212" i="19"/>
  <c r="AK211" i="19"/>
  <c r="AK210" i="19"/>
  <c r="AK209" i="19"/>
  <c r="AK208" i="19"/>
  <c r="AK207" i="19"/>
  <c r="AK206" i="19"/>
  <c r="AK205" i="19"/>
  <c r="AK204" i="19"/>
  <c r="AK203" i="19"/>
  <c r="AK202" i="19"/>
  <c r="AK201" i="19"/>
  <c r="AK200" i="19"/>
  <c r="AK199" i="19"/>
  <c r="AK198" i="19"/>
  <c r="AK197" i="19"/>
  <c r="AK196" i="19"/>
  <c r="AK195" i="19"/>
  <c r="AK194" i="19"/>
  <c r="AK193" i="19"/>
  <c r="AK192" i="19"/>
  <c r="AK191" i="19"/>
  <c r="AK190" i="19"/>
  <c r="AK189" i="19"/>
  <c r="AK188" i="19"/>
  <c r="AK187" i="19"/>
  <c r="AK186" i="19"/>
  <c r="AK185" i="19"/>
  <c r="AK184" i="19"/>
  <c r="AK183" i="19"/>
  <c r="AK182" i="19"/>
  <c r="AK181" i="19"/>
  <c r="AK180" i="19"/>
  <c r="AK179" i="19"/>
  <c r="AK178" i="19"/>
  <c r="AK177" i="19"/>
  <c r="AK176" i="19"/>
  <c r="AK175" i="19"/>
  <c r="AK174" i="19"/>
  <c r="AK173" i="19"/>
  <c r="AK172" i="19"/>
  <c r="AK171" i="19"/>
  <c r="AK170" i="19"/>
  <c r="AK169" i="19"/>
  <c r="AK168" i="19"/>
  <c r="AK167" i="19"/>
  <c r="AK166" i="19"/>
  <c r="AK165" i="19"/>
  <c r="AK164" i="19"/>
  <c r="AK163" i="19"/>
  <c r="AK162" i="19"/>
  <c r="AK161" i="19"/>
  <c r="AK160" i="19"/>
  <c r="AK159" i="19"/>
  <c r="AK158" i="19"/>
  <c r="AK157" i="19"/>
  <c r="AK156" i="19"/>
  <c r="AK155" i="19"/>
  <c r="AK154" i="19"/>
  <c r="AK153" i="19"/>
  <c r="AK152" i="19"/>
  <c r="AK151" i="19"/>
  <c r="AK150" i="19"/>
  <c r="AK149" i="19"/>
  <c r="AK148" i="19"/>
  <c r="AK147" i="19"/>
  <c r="AK146" i="19"/>
  <c r="AK145" i="19"/>
  <c r="AK144" i="19"/>
  <c r="AK143" i="19"/>
  <c r="AK142" i="19"/>
  <c r="AK141" i="19"/>
  <c r="AK140" i="19"/>
  <c r="AK139" i="19"/>
  <c r="AK138" i="19"/>
  <c r="AK137" i="19"/>
  <c r="AK136" i="19"/>
  <c r="AK135" i="19"/>
  <c r="AK134" i="19"/>
  <c r="AK133" i="19"/>
  <c r="AK132" i="19"/>
  <c r="AK131" i="19"/>
  <c r="AK130" i="19"/>
  <c r="AK129" i="19"/>
  <c r="AK128" i="19"/>
  <c r="AK127" i="19"/>
  <c r="AK126" i="19"/>
  <c r="AK125" i="19"/>
  <c r="AK124" i="19"/>
  <c r="AK123" i="19"/>
  <c r="AK122" i="19"/>
  <c r="AK121" i="19"/>
  <c r="AK120" i="19"/>
  <c r="AK119" i="19"/>
  <c r="AK118" i="19"/>
  <c r="AK117" i="19"/>
  <c r="AK116" i="19"/>
  <c r="AK115" i="19"/>
  <c r="AK114" i="19"/>
  <c r="AK113" i="19"/>
  <c r="AK112" i="19"/>
  <c r="AK111" i="19"/>
  <c r="AK110" i="19"/>
  <c r="AK109" i="19"/>
  <c r="AK108" i="19"/>
  <c r="AK107" i="19"/>
  <c r="AK106" i="19"/>
  <c r="AK105" i="19"/>
  <c r="AK104" i="19"/>
  <c r="AK103" i="19"/>
  <c r="AK102" i="19"/>
  <c r="AK101" i="19"/>
  <c r="AK100" i="19"/>
  <c r="AK99" i="19"/>
  <c r="AK98" i="19"/>
  <c r="AK97" i="19"/>
  <c r="AK96" i="19"/>
  <c r="AK95" i="19"/>
  <c r="AK94" i="19"/>
  <c r="AK93" i="19"/>
  <c r="AK92" i="19"/>
  <c r="AK91" i="19"/>
  <c r="AK90" i="19"/>
  <c r="AK89" i="19"/>
  <c r="AK88" i="19"/>
  <c r="AK87" i="19"/>
  <c r="AK86" i="19"/>
  <c r="AK85" i="19"/>
  <c r="AK84" i="19"/>
  <c r="AK83" i="19"/>
  <c r="AK82" i="19"/>
  <c r="AK81" i="19"/>
  <c r="AK80" i="19"/>
  <c r="AK79" i="19"/>
  <c r="AK78" i="19"/>
  <c r="AK77" i="19"/>
  <c r="AK76" i="19"/>
  <c r="AK75" i="19"/>
  <c r="AK74" i="19"/>
  <c r="AK73" i="19"/>
  <c r="AK72" i="19"/>
  <c r="AK71" i="19"/>
  <c r="AK70" i="19"/>
  <c r="AK69" i="19"/>
  <c r="AK68" i="19"/>
  <c r="AK67" i="19"/>
  <c r="AK66" i="19"/>
  <c r="AK65" i="19"/>
  <c r="AK64" i="19"/>
  <c r="AK63" i="19"/>
  <c r="AK62" i="19"/>
  <c r="AK61" i="19"/>
  <c r="AK60" i="19"/>
  <c r="AK59" i="19"/>
  <c r="AK58" i="19"/>
  <c r="AK57" i="19"/>
  <c r="AK56" i="19"/>
  <c r="AK55" i="19"/>
  <c r="AK54" i="19"/>
  <c r="AK53" i="19"/>
  <c r="AK52" i="19"/>
  <c r="AK51" i="19"/>
  <c r="AK50" i="19"/>
  <c r="AK49" i="19"/>
  <c r="AK48" i="19"/>
  <c r="AK47" i="19"/>
  <c r="AK46" i="19"/>
  <c r="AK45" i="19"/>
  <c r="AK44" i="19"/>
  <c r="AK43" i="19"/>
  <c r="AK42" i="19"/>
  <c r="AK41" i="19"/>
  <c r="AK40" i="19"/>
  <c r="AK39" i="19"/>
  <c r="AK38" i="19"/>
  <c r="AK37" i="19"/>
  <c r="AK36" i="19"/>
  <c r="AK35" i="19"/>
  <c r="AK34" i="19"/>
  <c r="AK33" i="19"/>
  <c r="AK32" i="19"/>
  <c r="AK31" i="19"/>
  <c r="AK30" i="19"/>
  <c r="AK29" i="19"/>
  <c r="AK28" i="19"/>
  <c r="AK27" i="19"/>
  <c r="AK26" i="19"/>
  <c r="AK25" i="19"/>
  <c r="AK24" i="19"/>
  <c r="AK23" i="19"/>
  <c r="AK22" i="19"/>
  <c r="AK21" i="19"/>
  <c r="AK20" i="19"/>
  <c r="AK19" i="19"/>
  <c r="AK18" i="19"/>
  <c r="AK17" i="19"/>
  <c r="AK16" i="19"/>
  <c r="AK15" i="19"/>
  <c r="AK14" i="19"/>
  <c r="AK13" i="19"/>
  <c r="AK12" i="19"/>
  <c r="AK11" i="19"/>
  <c r="AK10" i="19"/>
  <c r="AK9" i="19"/>
  <c r="AK8" i="19"/>
  <c r="AK7" i="19"/>
  <c r="AK6" i="19"/>
  <c r="AK5" i="19"/>
  <c r="AH298" i="19"/>
  <c r="AH297" i="19"/>
  <c r="AH296" i="19"/>
  <c r="AH295" i="19"/>
  <c r="AH294" i="19"/>
  <c r="AH293" i="19"/>
  <c r="AH292" i="19"/>
  <c r="AH291" i="19"/>
  <c r="AH290" i="19"/>
  <c r="AH289" i="19"/>
  <c r="AH288" i="19"/>
  <c r="AH287" i="19"/>
  <c r="AH286" i="19"/>
  <c r="AH285" i="19"/>
  <c r="AH284" i="19"/>
  <c r="AH283" i="19"/>
  <c r="AH282" i="19"/>
  <c r="AH281" i="19"/>
  <c r="AH280" i="19"/>
  <c r="AH279" i="19"/>
  <c r="AH278" i="19"/>
  <c r="AH277" i="19"/>
  <c r="AH276" i="19"/>
  <c r="AH275" i="19"/>
  <c r="AH274" i="19"/>
  <c r="AH273" i="19"/>
  <c r="AH272" i="19"/>
  <c r="AH271" i="19"/>
  <c r="AH270" i="19"/>
  <c r="AH269" i="19"/>
  <c r="AH268" i="19"/>
  <c r="AH267" i="19"/>
  <c r="AH266" i="19"/>
  <c r="AH265" i="19"/>
  <c r="AH264" i="19"/>
  <c r="AH263" i="19"/>
  <c r="AH262" i="19"/>
  <c r="AH261" i="19"/>
  <c r="AH260" i="19"/>
  <c r="AH259" i="19"/>
  <c r="AH258" i="19"/>
  <c r="AH257" i="19"/>
  <c r="AH256" i="19"/>
  <c r="AH255" i="19"/>
  <c r="AH254" i="19"/>
  <c r="AH253" i="19"/>
  <c r="AH252" i="19"/>
  <c r="AH251" i="19"/>
  <c r="AH250" i="19"/>
  <c r="AH249" i="19"/>
  <c r="AH248" i="19"/>
  <c r="AH247" i="19"/>
  <c r="AH246" i="19"/>
  <c r="AH245" i="19"/>
  <c r="AH244" i="19"/>
  <c r="AH243" i="19"/>
  <c r="AH242" i="19"/>
  <c r="AH241" i="19"/>
  <c r="AH240" i="19"/>
  <c r="AH239" i="19"/>
  <c r="AH238" i="19"/>
  <c r="AH237" i="19"/>
  <c r="AH236" i="19"/>
  <c r="AH235" i="19"/>
  <c r="AH234" i="19"/>
  <c r="AH233" i="19"/>
  <c r="AH232" i="19"/>
  <c r="AH231" i="19"/>
  <c r="AH230" i="19"/>
  <c r="AH229" i="19"/>
  <c r="AH228" i="19"/>
  <c r="AH227" i="19"/>
  <c r="AH226" i="19"/>
  <c r="AH225" i="19"/>
  <c r="AH224" i="19"/>
  <c r="AH223" i="19"/>
  <c r="AH222" i="19"/>
  <c r="AH221" i="19"/>
  <c r="AH220" i="19"/>
  <c r="AH219" i="19"/>
  <c r="AH218" i="19"/>
  <c r="AH217" i="19"/>
  <c r="AH216" i="19"/>
  <c r="AH215" i="19"/>
  <c r="AH214" i="19"/>
  <c r="AH213" i="19"/>
  <c r="AH212" i="19"/>
  <c r="AH211" i="19"/>
  <c r="AH210" i="19"/>
  <c r="AH209" i="19"/>
  <c r="AH208" i="19"/>
  <c r="AH207" i="19"/>
  <c r="AH206" i="19"/>
  <c r="AH205" i="19"/>
  <c r="AH204" i="19"/>
  <c r="AH203" i="19"/>
  <c r="AH202" i="19"/>
  <c r="AH201" i="19"/>
  <c r="AH200" i="19"/>
  <c r="AH199" i="19"/>
  <c r="AH198" i="19"/>
  <c r="AH197" i="19"/>
  <c r="AH196" i="19"/>
  <c r="AH195" i="19"/>
  <c r="AH194" i="19"/>
  <c r="AH193" i="19"/>
  <c r="AH192" i="19"/>
  <c r="AH191" i="19"/>
  <c r="AH190" i="19"/>
  <c r="AH189" i="19"/>
  <c r="AH188" i="19"/>
  <c r="AH187" i="19"/>
  <c r="AH186" i="19"/>
  <c r="AH185" i="19"/>
  <c r="AH184" i="19"/>
  <c r="AH183" i="19"/>
  <c r="AH182" i="19"/>
  <c r="AH181" i="19"/>
  <c r="AH180" i="19"/>
  <c r="AH179" i="19"/>
  <c r="AH178" i="19"/>
  <c r="AH177" i="19"/>
  <c r="AH176" i="19"/>
  <c r="AH175" i="19"/>
  <c r="AH174" i="19"/>
  <c r="AH173" i="19"/>
  <c r="AH172" i="19"/>
  <c r="AH171" i="19"/>
  <c r="AH170" i="19"/>
  <c r="AH169" i="19"/>
  <c r="AH168" i="19"/>
  <c r="AH167" i="19"/>
  <c r="AH166" i="19"/>
  <c r="AH165" i="19"/>
  <c r="AH164" i="19"/>
  <c r="AH163" i="19"/>
  <c r="AH162" i="19"/>
  <c r="AH161" i="19"/>
  <c r="AH160" i="19"/>
  <c r="AH159" i="19"/>
  <c r="AH158" i="19"/>
  <c r="AH157" i="19"/>
  <c r="AH156" i="19"/>
  <c r="AH155" i="19"/>
  <c r="AH154" i="19"/>
  <c r="AH153" i="19"/>
  <c r="AH152" i="19"/>
  <c r="AH151" i="19"/>
  <c r="AH150" i="19"/>
  <c r="AH149" i="19"/>
  <c r="AH148" i="19"/>
  <c r="AH147" i="19"/>
  <c r="AH146" i="19"/>
  <c r="AH145" i="19"/>
  <c r="AH144" i="19"/>
  <c r="AH143" i="19"/>
  <c r="AH142" i="19"/>
  <c r="AH141" i="19"/>
  <c r="AH140" i="19"/>
  <c r="AH139" i="19"/>
  <c r="AH138" i="19"/>
  <c r="AH137" i="19"/>
  <c r="AH136" i="19"/>
  <c r="AH135" i="19"/>
  <c r="AH134" i="19"/>
  <c r="AH133" i="19"/>
  <c r="AH132" i="19"/>
  <c r="AH131" i="19"/>
  <c r="AH130" i="19"/>
  <c r="AH129" i="19"/>
  <c r="AH128" i="19"/>
  <c r="AH127" i="19"/>
  <c r="AH126" i="19"/>
  <c r="AH125" i="19"/>
  <c r="AH124" i="19"/>
  <c r="AH123" i="19"/>
  <c r="AH122" i="19"/>
  <c r="AH121" i="19"/>
  <c r="AH120" i="19"/>
  <c r="AH119" i="19"/>
  <c r="AH118" i="19"/>
  <c r="AH117" i="19"/>
  <c r="AH116" i="19"/>
  <c r="AH115" i="19"/>
  <c r="AH114" i="19"/>
  <c r="AH113" i="19"/>
  <c r="AH112" i="19"/>
  <c r="AH111" i="19"/>
  <c r="AH110" i="19"/>
  <c r="AH109" i="19"/>
  <c r="AH108" i="19"/>
  <c r="AH107" i="19"/>
  <c r="AH106" i="19"/>
  <c r="AH105" i="19"/>
  <c r="AH104" i="19"/>
  <c r="AH103" i="19"/>
  <c r="AH102" i="19"/>
  <c r="AH101" i="19"/>
  <c r="AH100" i="19"/>
  <c r="AH99" i="19"/>
  <c r="AH98" i="19"/>
  <c r="AH97" i="19"/>
  <c r="AH96" i="19"/>
  <c r="AH95" i="19"/>
  <c r="AH94" i="19"/>
  <c r="AH93" i="19"/>
  <c r="AH92" i="19"/>
  <c r="AH91" i="19"/>
  <c r="AH90" i="19"/>
  <c r="AH89" i="19"/>
  <c r="AH88" i="19"/>
  <c r="AH87" i="19"/>
  <c r="AH86" i="19"/>
  <c r="AH85" i="19"/>
  <c r="AH84" i="19"/>
  <c r="AH83" i="19"/>
  <c r="AH82" i="19"/>
  <c r="AH81" i="19"/>
  <c r="AH80" i="19"/>
  <c r="AH79" i="19"/>
  <c r="AH78" i="19"/>
  <c r="AH77" i="19"/>
  <c r="AH76" i="19"/>
  <c r="AH75" i="19"/>
  <c r="AH74" i="19"/>
  <c r="AH73" i="19"/>
  <c r="AH72" i="19"/>
  <c r="AH71" i="19"/>
  <c r="AH70" i="19"/>
  <c r="AH69" i="19"/>
  <c r="AH68" i="19"/>
  <c r="AH67" i="19"/>
  <c r="AH66" i="19"/>
  <c r="AH65" i="19"/>
  <c r="AH64" i="19"/>
  <c r="AH63" i="19"/>
  <c r="AH62" i="19"/>
  <c r="AH61" i="19"/>
  <c r="AH60" i="19"/>
  <c r="AH59" i="19"/>
  <c r="AH58" i="19"/>
  <c r="AH57" i="19"/>
  <c r="AH56" i="19"/>
  <c r="AH55" i="19"/>
  <c r="AH54" i="19"/>
  <c r="AH53" i="19"/>
  <c r="AH52" i="19"/>
  <c r="AH51" i="19"/>
  <c r="AH50" i="19"/>
  <c r="AH49" i="19"/>
  <c r="AH48" i="19"/>
  <c r="AH47" i="19"/>
  <c r="AH46" i="19"/>
  <c r="AH45" i="19"/>
  <c r="AH44" i="19"/>
  <c r="AH43" i="19"/>
  <c r="AH42" i="19"/>
  <c r="AH41" i="19"/>
  <c r="AH40" i="19"/>
  <c r="AH39" i="19"/>
  <c r="AH38" i="19"/>
  <c r="AH37" i="19"/>
  <c r="AH36" i="19"/>
  <c r="AH35" i="19"/>
  <c r="AH34" i="19"/>
  <c r="AH33" i="19"/>
  <c r="AH32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E298" i="19"/>
  <c r="AE297" i="19"/>
  <c r="AE296" i="19"/>
  <c r="AE295" i="19"/>
  <c r="AE294" i="19"/>
  <c r="AE293" i="19"/>
  <c r="AE292" i="19"/>
  <c r="AE291" i="19"/>
  <c r="AE290" i="19"/>
  <c r="AE289" i="19"/>
  <c r="AE288" i="19"/>
  <c r="AE287" i="19"/>
  <c r="AE286" i="19"/>
  <c r="AE285" i="19"/>
  <c r="AE284" i="19"/>
  <c r="AE283" i="19"/>
  <c r="AE282" i="19"/>
  <c r="AE281" i="19"/>
  <c r="AE280" i="19"/>
  <c r="AE279" i="19"/>
  <c r="AE278" i="19"/>
  <c r="AE277" i="19"/>
  <c r="AE276" i="19"/>
  <c r="AE275" i="19"/>
  <c r="AE274" i="19"/>
  <c r="AE273" i="19"/>
  <c r="AE272" i="19"/>
  <c r="AE271" i="19"/>
  <c r="AE270" i="19"/>
  <c r="AE269" i="19"/>
  <c r="AE268" i="19"/>
  <c r="AE267" i="19"/>
  <c r="AE266" i="19"/>
  <c r="AE265" i="19"/>
  <c r="AE264" i="19"/>
  <c r="AE263" i="19"/>
  <c r="AE262" i="19"/>
  <c r="AE261" i="19"/>
  <c r="AE260" i="19"/>
  <c r="AE259" i="19"/>
  <c r="AE258" i="19"/>
  <c r="AE257" i="19"/>
  <c r="AE256" i="19"/>
  <c r="AE255" i="19"/>
  <c r="AE254" i="19"/>
  <c r="AE253" i="19"/>
  <c r="AE252" i="19"/>
  <c r="AE251" i="19"/>
  <c r="AE250" i="19"/>
  <c r="AE249" i="19"/>
  <c r="AE248" i="19"/>
  <c r="AE247" i="19"/>
  <c r="AE246" i="19"/>
  <c r="AE245" i="19"/>
  <c r="AE244" i="19"/>
  <c r="AE243" i="19"/>
  <c r="AE242" i="19"/>
  <c r="AE241" i="19"/>
  <c r="AE240" i="19"/>
  <c r="AE239" i="19"/>
  <c r="AE238" i="19"/>
  <c r="AE237" i="19"/>
  <c r="AE236" i="19"/>
  <c r="AE235" i="19"/>
  <c r="AE234" i="19"/>
  <c r="AE233" i="19"/>
  <c r="AE232" i="19"/>
  <c r="AE231" i="19"/>
  <c r="AE230" i="19"/>
  <c r="AE229" i="19"/>
  <c r="AE228" i="19"/>
  <c r="AE227" i="19"/>
  <c r="AE226" i="19"/>
  <c r="AE225" i="19"/>
  <c r="AE224" i="19"/>
  <c r="AE223" i="19"/>
  <c r="AE222" i="19"/>
  <c r="AE221" i="19"/>
  <c r="AE220" i="19"/>
  <c r="AE219" i="19"/>
  <c r="AE218" i="19"/>
  <c r="AE217" i="19"/>
  <c r="AE216" i="19"/>
  <c r="AE215" i="19"/>
  <c r="AE214" i="19"/>
  <c r="AE213" i="19"/>
  <c r="AE212" i="19"/>
  <c r="AE211" i="19"/>
  <c r="AE210" i="19"/>
  <c r="AE209" i="19"/>
  <c r="AE208" i="19"/>
  <c r="AE207" i="19"/>
  <c r="AE206" i="19"/>
  <c r="AE205" i="19"/>
  <c r="AE204" i="19"/>
  <c r="AE203" i="19"/>
  <c r="AE202" i="19"/>
  <c r="AE201" i="19"/>
  <c r="AE200" i="19"/>
  <c r="AE199" i="19"/>
  <c r="AE198" i="19"/>
  <c r="AE197" i="19"/>
  <c r="AE196" i="19"/>
  <c r="AE195" i="19"/>
  <c r="AE194" i="19"/>
  <c r="AE193" i="19"/>
  <c r="AE192" i="19"/>
  <c r="AE191" i="19"/>
  <c r="AE190" i="19"/>
  <c r="AE189" i="19"/>
  <c r="AE188" i="19"/>
  <c r="AE187" i="19"/>
  <c r="AE186" i="19"/>
  <c r="AE185" i="19"/>
  <c r="AE184" i="19"/>
  <c r="AE183" i="19"/>
  <c r="AE182" i="19"/>
  <c r="AE181" i="19"/>
  <c r="AE180" i="19"/>
  <c r="AE179" i="19"/>
  <c r="AE178" i="19"/>
  <c r="AE177" i="19"/>
  <c r="AE176" i="19"/>
  <c r="AE175" i="19"/>
  <c r="AE174" i="19"/>
  <c r="AE173" i="19"/>
  <c r="AE172" i="19"/>
  <c r="AE171" i="19"/>
  <c r="AE170" i="19"/>
  <c r="AE169" i="19"/>
  <c r="AE168" i="19"/>
  <c r="AE167" i="19"/>
  <c r="AE166" i="19"/>
  <c r="AE165" i="19"/>
  <c r="AE164" i="19"/>
  <c r="AE163" i="19"/>
  <c r="AE162" i="19"/>
  <c r="AE161" i="19"/>
  <c r="AE160" i="19"/>
  <c r="AE159" i="19"/>
  <c r="AE158" i="19"/>
  <c r="AE157" i="19"/>
  <c r="AE156" i="19"/>
  <c r="AE155" i="19"/>
  <c r="AE154" i="19"/>
  <c r="AE153" i="19"/>
  <c r="AE152" i="19"/>
  <c r="AE151" i="19"/>
  <c r="AE150" i="19"/>
  <c r="AE149" i="19"/>
  <c r="AE148" i="19"/>
  <c r="AE147" i="19"/>
  <c r="AE146" i="19"/>
  <c r="AE145" i="19"/>
  <c r="AE144" i="19"/>
  <c r="AE143" i="19"/>
  <c r="AE142" i="19"/>
  <c r="AE141" i="19"/>
  <c r="AE140" i="19"/>
  <c r="AE139" i="19"/>
  <c r="AE138" i="19"/>
  <c r="AE137" i="19"/>
  <c r="AE136" i="19"/>
  <c r="AE135" i="19"/>
  <c r="AE134" i="19"/>
  <c r="AE133" i="19"/>
  <c r="AE132" i="19"/>
  <c r="AE131" i="19"/>
  <c r="AE130" i="19"/>
  <c r="AE129" i="19"/>
  <c r="AE128" i="19"/>
  <c r="AE127" i="19"/>
  <c r="AE126" i="19"/>
  <c r="AE125" i="19"/>
  <c r="AE124" i="19"/>
  <c r="AE123" i="19"/>
  <c r="AE122" i="19"/>
  <c r="AE121" i="19"/>
  <c r="AE120" i="19"/>
  <c r="AE119" i="19"/>
  <c r="AE118" i="19"/>
  <c r="AE117" i="19"/>
  <c r="AE116" i="19"/>
  <c r="AE115" i="19"/>
  <c r="AE114" i="19"/>
  <c r="AE113" i="19"/>
  <c r="AE112" i="19"/>
  <c r="AE111" i="19"/>
  <c r="AE110" i="19"/>
  <c r="AE109" i="19"/>
  <c r="AE108" i="19"/>
  <c r="AE107" i="19"/>
  <c r="AE106" i="19"/>
  <c r="AE105" i="19"/>
  <c r="AE104" i="19"/>
  <c r="AE103" i="19"/>
  <c r="AE102" i="19"/>
  <c r="AE101" i="19"/>
  <c r="AE100" i="19"/>
  <c r="AE99" i="19"/>
  <c r="AE98" i="19"/>
  <c r="AE97" i="19"/>
  <c r="AE96" i="19"/>
  <c r="AE95" i="19"/>
  <c r="AE94" i="19"/>
  <c r="AE93" i="19"/>
  <c r="AE92" i="19"/>
  <c r="AE91" i="19"/>
  <c r="AE90" i="19"/>
  <c r="AE89" i="19"/>
  <c r="AE88" i="19"/>
  <c r="AE87" i="19"/>
  <c r="AE86" i="19"/>
  <c r="AE85" i="19"/>
  <c r="AE84" i="19"/>
  <c r="AE83" i="19"/>
  <c r="AE82" i="19"/>
  <c r="AE81" i="19"/>
  <c r="AE80" i="19"/>
  <c r="AE79" i="19"/>
  <c r="AE78" i="19"/>
  <c r="AE77" i="19"/>
  <c r="AE76" i="19"/>
  <c r="AE75" i="19"/>
  <c r="AE74" i="19"/>
  <c r="AE73" i="19"/>
  <c r="AE72" i="19"/>
  <c r="AE71" i="19"/>
  <c r="AE70" i="19"/>
  <c r="AE69" i="19"/>
  <c r="AE68" i="19"/>
  <c r="AE67" i="19"/>
  <c r="AE66" i="19"/>
  <c r="AE65" i="19"/>
  <c r="AE64" i="19"/>
  <c r="AE63" i="19"/>
  <c r="AE62" i="19"/>
  <c r="AE61" i="19"/>
  <c r="AE60" i="19"/>
  <c r="AE59" i="19"/>
  <c r="AE58" i="19"/>
  <c r="AE57" i="19"/>
  <c r="AE56" i="19"/>
  <c r="AE55" i="19"/>
  <c r="AE54" i="19"/>
  <c r="AE53" i="19"/>
  <c r="AE52" i="19"/>
  <c r="AE51" i="19"/>
  <c r="AE50" i="19"/>
  <c r="AE49" i="19"/>
  <c r="AE48" i="19"/>
  <c r="AE47" i="19"/>
  <c r="AE46" i="19"/>
  <c r="AE45" i="19"/>
  <c r="AE44" i="19"/>
  <c r="AE43" i="19"/>
  <c r="AE42" i="19"/>
  <c r="AE41" i="19"/>
  <c r="AE40" i="19"/>
  <c r="AE39" i="19"/>
  <c r="AE38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E8" i="19"/>
  <c r="AE7" i="19"/>
  <c r="AE6" i="19"/>
  <c r="AE5" i="19"/>
  <c r="AB298" i="19"/>
  <c r="AB297" i="19"/>
  <c r="AB296" i="19"/>
  <c r="AB295" i="19"/>
  <c r="AB294" i="19"/>
  <c r="AB293" i="19"/>
  <c r="AB292" i="19"/>
  <c r="AB291" i="19"/>
  <c r="AB290" i="19"/>
  <c r="AB289" i="19"/>
  <c r="AB288" i="19"/>
  <c r="AB287" i="19"/>
  <c r="AB286" i="19"/>
  <c r="AB285" i="19"/>
  <c r="AB284" i="19"/>
  <c r="AB283" i="19"/>
  <c r="AB282" i="19"/>
  <c r="AB281" i="19"/>
  <c r="AB280" i="19"/>
  <c r="AB279" i="19"/>
  <c r="AB278" i="19"/>
  <c r="AB277" i="19"/>
  <c r="AB276" i="19"/>
  <c r="AB275" i="19"/>
  <c r="AB274" i="19"/>
  <c r="AB273" i="19"/>
  <c r="AB272" i="19"/>
  <c r="AB271" i="19"/>
  <c r="AB270" i="19"/>
  <c r="AB269" i="19"/>
  <c r="AB268" i="19"/>
  <c r="AB267" i="19"/>
  <c r="AB266" i="19"/>
  <c r="AB265" i="19"/>
  <c r="AB264" i="19"/>
  <c r="AB263" i="19"/>
  <c r="AB262" i="19"/>
  <c r="AB261" i="19"/>
  <c r="AB260" i="19"/>
  <c r="AB259" i="19"/>
  <c r="AB258" i="19"/>
  <c r="AB257" i="19"/>
  <c r="AB256" i="19"/>
  <c r="AB255" i="19"/>
  <c r="AB254" i="19"/>
  <c r="AB253" i="19"/>
  <c r="AB252" i="19"/>
  <c r="AB251" i="19"/>
  <c r="AB250" i="19"/>
  <c r="AB249" i="19"/>
  <c r="AB248" i="19"/>
  <c r="AB247" i="19"/>
  <c r="AB246" i="19"/>
  <c r="AB245" i="19"/>
  <c r="AB244" i="19"/>
  <c r="AB243" i="19"/>
  <c r="AB242" i="19"/>
  <c r="AB241" i="19"/>
  <c r="AB240" i="19"/>
  <c r="AB239" i="19"/>
  <c r="AB238" i="19"/>
  <c r="AB237" i="19"/>
  <c r="AB236" i="19"/>
  <c r="AB235" i="19"/>
  <c r="AB234" i="19"/>
  <c r="AB233" i="19"/>
  <c r="AB232" i="19"/>
  <c r="AB231" i="19"/>
  <c r="AB230" i="19"/>
  <c r="AB229" i="19"/>
  <c r="AB228" i="19"/>
  <c r="AB227" i="19"/>
  <c r="AB226" i="19"/>
  <c r="AB225" i="19"/>
  <c r="AB224" i="19"/>
  <c r="AB223" i="19"/>
  <c r="AB222" i="19"/>
  <c r="AB221" i="19"/>
  <c r="AB220" i="19"/>
  <c r="AB219" i="19"/>
  <c r="AB218" i="19"/>
  <c r="AB217" i="19"/>
  <c r="AB216" i="19"/>
  <c r="AB215" i="19"/>
  <c r="AB214" i="19"/>
  <c r="AB213" i="19"/>
  <c r="AB212" i="19"/>
  <c r="AB211" i="19"/>
  <c r="AB210" i="19"/>
  <c r="AB209" i="19"/>
  <c r="AB208" i="19"/>
  <c r="AB207" i="19"/>
  <c r="AB206" i="19"/>
  <c r="AB205" i="19"/>
  <c r="AB204" i="19"/>
  <c r="AB203" i="19"/>
  <c r="AB202" i="19"/>
  <c r="AB201" i="19"/>
  <c r="AB200" i="19"/>
  <c r="AB199" i="19"/>
  <c r="AB198" i="19"/>
  <c r="AB197" i="19"/>
  <c r="AB196" i="19"/>
  <c r="AB195" i="19"/>
  <c r="AB194" i="19"/>
  <c r="AB193" i="19"/>
  <c r="AB192" i="19"/>
  <c r="AB191" i="19"/>
  <c r="AB190" i="19"/>
  <c r="AB189" i="19"/>
  <c r="AB188" i="19"/>
  <c r="AB187" i="19"/>
  <c r="AB186" i="19"/>
  <c r="AB185" i="19"/>
  <c r="AB184" i="19"/>
  <c r="AB183" i="19"/>
  <c r="AB182" i="19"/>
  <c r="AB181" i="19"/>
  <c r="AB180" i="19"/>
  <c r="AB179" i="19"/>
  <c r="AB178" i="19"/>
  <c r="AB177" i="19"/>
  <c r="AB176" i="19"/>
  <c r="AB175" i="19"/>
  <c r="AB174" i="19"/>
  <c r="AB173" i="19"/>
  <c r="AB172" i="19"/>
  <c r="AB171" i="19"/>
  <c r="AB170" i="19"/>
  <c r="AB169" i="19"/>
  <c r="AB168" i="19"/>
  <c r="AB167" i="19"/>
  <c r="AB166" i="19"/>
  <c r="AB165" i="19"/>
  <c r="AB164" i="19"/>
  <c r="AB163" i="19"/>
  <c r="AB162" i="19"/>
  <c r="AB161" i="19"/>
  <c r="AB160" i="19"/>
  <c r="AB159" i="19"/>
  <c r="AB158" i="19"/>
  <c r="AB157" i="19"/>
  <c r="AB156" i="19"/>
  <c r="AB155" i="19"/>
  <c r="AB154" i="19"/>
  <c r="AB153" i="19"/>
  <c r="AB152" i="19"/>
  <c r="AB151" i="19"/>
  <c r="AB150" i="19"/>
  <c r="AB149" i="19"/>
  <c r="AB148" i="19"/>
  <c r="AB147" i="19"/>
  <c r="AB146" i="19"/>
  <c r="AB145" i="19"/>
  <c r="AB144" i="19"/>
  <c r="AB143" i="19"/>
  <c r="AB142" i="19"/>
  <c r="AB141" i="19"/>
  <c r="AB140" i="19"/>
  <c r="AB139" i="19"/>
  <c r="AB138" i="19"/>
  <c r="AB137" i="19"/>
  <c r="AB136" i="19"/>
  <c r="AB135" i="19"/>
  <c r="AB134" i="19"/>
  <c r="AB133" i="19"/>
  <c r="AB132" i="19"/>
  <c r="AB131" i="19"/>
  <c r="AB130" i="19"/>
  <c r="AB129" i="19"/>
  <c r="AB128" i="19"/>
  <c r="AB127" i="19"/>
  <c r="AB126" i="19"/>
  <c r="AB125" i="19"/>
  <c r="AB124" i="19"/>
  <c r="AB123" i="19"/>
  <c r="AB122" i="19"/>
  <c r="AB121" i="19"/>
  <c r="AB120" i="19"/>
  <c r="AB119" i="19"/>
  <c r="AB118" i="19"/>
  <c r="AB117" i="19"/>
  <c r="AB116" i="19"/>
  <c r="AB115" i="19"/>
  <c r="AB114" i="19"/>
  <c r="AB113" i="19"/>
  <c r="AB112" i="19"/>
  <c r="AB111" i="19"/>
  <c r="AB110" i="19"/>
  <c r="AB109" i="19"/>
  <c r="AB108" i="19"/>
  <c r="AB107" i="19"/>
  <c r="AB106" i="19"/>
  <c r="AB105" i="19"/>
  <c r="AB104" i="19"/>
  <c r="AB103" i="19"/>
  <c r="AB102" i="19"/>
  <c r="AB101" i="19"/>
  <c r="AB100" i="19"/>
  <c r="AB99" i="19"/>
  <c r="AB98" i="19"/>
  <c r="AB97" i="19"/>
  <c r="AB96" i="19"/>
  <c r="AB95" i="19"/>
  <c r="AB94" i="19"/>
  <c r="AB93" i="19"/>
  <c r="AB92" i="19"/>
  <c r="AB91" i="19"/>
  <c r="AB90" i="19"/>
  <c r="AB89" i="19"/>
  <c r="AB88" i="19"/>
  <c r="AB87" i="19"/>
  <c r="AB86" i="19"/>
  <c r="AB85" i="19"/>
  <c r="AB84" i="19"/>
  <c r="AB83" i="19"/>
  <c r="AB82" i="19"/>
  <c r="AB81" i="19"/>
  <c r="AB80" i="19"/>
  <c r="AB79" i="19"/>
  <c r="AB78" i="19"/>
  <c r="AB77" i="19"/>
  <c r="AB76" i="19"/>
  <c r="AB75" i="19"/>
  <c r="AB74" i="19"/>
  <c r="AB73" i="19"/>
  <c r="AB72" i="19"/>
  <c r="AB71" i="19"/>
  <c r="AB70" i="19"/>
  <c r="AB69" i="19"/>
  <c r="AB68" i="19"/>
  <c r="AB67" i="19"/>
  <c r="AB66" i="19"/>
  <c r="AB65" i="19"/>
  <c r="AB64" i="19"/>
  <c r="AB63" i="19"/>
  <c r="AB62" i="19"/>
  <c r="AB61" i="19"/>
  <c r="AB60" i="19"/>
  <c r="AB59" i="19"/>
  <c r="AB58" i="19"/>
  <c r="AB57" i="19"/>
  <c r="AB56" i="19"/>
  <c r="AB55" i="19"/>
  <c r="AB54" i="19"/>
  <c r="AB53" i="19"/>
  <c r="AB52" i="19"/>
  <c r="AB51" i="19"/>
  <c r="AB50" i="19"/>
  <c r="AB49" i="19"/>
  <c r="AB48" i="19"/>
  <c r="AB47" i="19"/>
  <c r="AB46" i="19"/>
  <c r="AB45" i="19"/>
  <c r="AB44" i="19"/>
  <c r="AB43" i="19"/>
  <c r="AB42" i="19"/>
  <c r="AB41" i="19"/>
  <c r="AB40" i="19"/>
  <c r="AB39" i="19"/>
  <c r="AB38" i="19"/>
  <c r="AB37" i="19"/>
  <c r="AB36" i="19"/>
  <c r="AB35" i="19"/>
  <c r="AB34" i="19"/>
  <c r="AB33" i="19"/>
  <c r="AB32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B8" i="19"/>
  <c r="AB7" i="19"/>
  <c r="AB6" i="19"/>
  <c r="AB5" i="19"/>
  <c r="Y298" i="19"/>
  <c r="Y297" i="19"/>
  <c r="Y296" i="19"/>
  <c r="Y295" i="19"/>
  <c r="Y294" i="19"/>
  <c r="Y293" i="19"/>
  <c r="Y292" i="19"/>
  <c r="Y291" i="19"/>
  <c r="Y290" i="19"/>
  <c r="Y289" i="19"/>
  <c r="Y288" i="19"/>
  <c r="Y287" i="19"/>
  <c r="Y286" i="19"/>
  <c r="Y285" i="19"/>
  <c r="Y284" i="19"/>
  <c r="Y283" i="19"/>
  <c r="Y282" i="19"/>
  <c r="Y281" i="19"/>
  <c r="Y280" i="19"/>
  <c r="Y279" i="19"/>
  <c r="Y278" i="19"/>
  <c r="Y277" i="19"/>
  <c r="Y276" i="19"/>
  <c r="Y275" i="19"/>
  <c r="Y274" i="19"/>
  <c r="Y273" i="19"/>
  <c r="Y272" i="19"/>
  <c r="Y271" i="19"/>
  <c r="Y270" i="19"/>
  <c r="Y269" i="19"/>
  <c r="Y268" i="19"/>
  <c r="Y267" i="19"/>
  <c r="Y266" i="19"/>
  <c r="Y265" i="19"/>
  <c r="Y264" i="19"/>
  <c r="Y263" i="19"/>
  <c r="Y262" i="19"/>
  <c r="Y261" i="19"/>
  <c r="Y260" i="19"/>
  <c r="Y259" i="19"/>
  <c r="Y258" i="19"/>
  <c r="Y257" i="19"/>
  <c r="Y256" i="19"/>
  <c r="Y255" i="19"/>
  <c r="Y254" i="19"/>
  <c r="Y253" i="19"/>
  <c r="Y252" i="19"/>
  <c r="Y251" i="19"/>
  <c r="Y250" i="19"/>
  <c r="Y249" i="19"/>
  <c r="Y248" i="19"/>
  <c r="Y247" i="19"/>
  <c r="Y246" i="19"/>
  <c r="Y245" i="19"/>
  <c r="Y244" i="19"/>
  <c r="Y243" i="19"/>
  <c r="Y242" i="19"/>
  <c r="Y241" i="19"/>
  <c r="Y240" i="19"/>
  <c r="Y239" i="19"/>
  <c r="Y238" i="19"/>
  <c r="Y237" i="19"/>
  <c r="Y236" i="19"/>
  <c r="Y235" i="19"/>
  <c r="Y234" i="19"/>
  <c r="Y233" i="19"/>
  <c r="Y232" i="19"/>
  <c r="Y231" i="19"/>
  <c r="Y230" i="19"/>
  <c r="Y229" i="19"/>
  <c r="Y228" i="19"/>
  <c r="Y227" i="19"/>
  <c r="Y226" i="19"/>
  <c r="Y225" i="19"/>
  <c r="Y224" i="19"/>
  <c r="Y223" i="19"/>
  <c r="Y222" i="19"/>
  <c r="Y221" i="19"/>
  <c r="Y220" i="19"/>
  <c r="Y219" i="19"/>
  <c r="Y218" i="19"/>
  <c r="Y217" i="19"/>
  <c r="Y216" i="19"/>
  <c r="Y215" i="19"/>
  <c r="Y214" i="19"/>
  <c r="Y213" i="19"/>
  <c r="Y212" i="19"/>
  <c r="Y211" i="19"/>
  <c r="Y210" i="19"/>
  <c r="Y209" i="19"/>
  <c r="Y208" i="19"/>
  <c r="Y207" i="19"/>
  <c r="Y206" i="19"/>
  <c r="Y205" i="19"/>
  <c r="Y204" i="19"/>
  <c r="Y203" i="19"/>
  <c r="Y202" i="19"/>
  <c r="Y201" i="19"/>
  <c r="Y200" i="19"/>
  <c r="Y199" i="19"/>
  <c r="Y198" i="19"/>
  <c r="Y197" i="19"/>
  <c r="Y196" i="19"/>
  <c r="Y195" i="19"/>
  <c r="Y194" i="19"/>
  <c r="Y193" i="19"/>
  <c r="Y192" i="19"/>
  <c r="Y191" i="19"/>
  <c r="Y190" i="19"/>
  <c r="Y189" i="19"/>
  <c r="Y188" i="19"/>
  <c r="Y187" i="19"/>
  <c r="Y186" i="19"/>
  <c r="Y185" i="19"/>
  <c r="Y184" i="19"/>
  <c r="Y183" i="19"/>
  <c r="Y182" i="19"/>
  <c r="Y181" i="19"/>
  <c r="Y180" i="19"/>
  <c r="Y179" i="19"/>
  <c r="Y178" i="19"/>
  <c r="Y177" i="19"/>
  <c r="Y176" i="19"/>
  <c r="Y175" i="19"/>
  <c r="Y174" i="19"/>
  <c r="Y173" i="19"/>
  <c r="Y172" i="19"/>
  <c r="Y171" i="19"/>
  <c r="Y170" i="19"/>
  <c r="Y169" i="19"/>
  <c r="Y168" i="19"/>
  <c r="Y167" i="19"/>
  <c r="Y166" i="19"/>
  <c r="Y165" i="19"/>
  <c r="Y164" i="19"/>
  <c r="Y163" i="19"/>
  <c r="Y162" i="19"/>
  <c r="Y161" i="19"/>
  <c r="Y160" i="19"/>
  <c r="Y159" i="19"/>
  <c r="Y158" i="19"/>
  <c r="Y157" i="19"/>
  <c r="Y156" i="19"/>
  <c r="Y155" i="19"/>
  <c r="Y154" i="19"/>
  <c r="Y153" i="19"/>
  <c r="Y152" i="19"/>
  <c r="Y151" i="19"/>
  <c r="Y150" i="19"/>
  <c r="Y149" i="19"/>
  <c r="Y148" i="19"/>
  <c r="Y147" i="19"/>
  <c r="Y146" i="19"/>
  <c r="Y145" i="19"/>
  <c r="Y144" i="19"/>
  <c r="Y143" i="19"/>
  <c r="Y142" i="19"/>
  <c r="Y141" i="19"/>
  <c r="Y140" i="19"/>
  <c r="Y139" i="19"/>
  <c r="Y138" i="19"/>
  <c r="Y137" i="19"/>
  <c r="Y136" i="19"/>
  <c r="Y135" i="19"/>
  <c r="Y134" i="19"/>
  <c r="Y133" i="19"/>
  <c r="Y132" i="19"/>
  <c r="Y131" i="19"/>
  <c r="Y130" i="19"/>
  <c r="Y129" i="19"/>
  <c r="Y128" i="19"/>
  <c r="Y127" i="19"/>
  <c r="Y126" i="19"/>
  <c r="Y125" i="19"/>
  <c r="Y124" i="19"/>
  <c r="Y123" i="19"/>
  <c r="Y122" i="19"/>
  <c r="Y121" i="19"/>
  <c r="Y120" i="19"/>
  <c r="Y119" i="19"/>
  <c r="Y118" i="19"/>
  <c r="Y117" i="19"/>
  <c r="Y116" i="19"/>
  <c r="Y115" i="19"/>
  <c r="Y114" i="19"/>
  <c r="Y113" i="19"/>
  <c r="Y112" i="19"/>
  <c r="Y111" i="19"/>
  <c r="Y110" i="19"/>
  <c r="Y109" i="19"/>
  <c r="Y108" i="19"/>
  <c r="Y107" i="19"/>
  <c r="Y106" i="19"/>
  <c r="Y105" i="19"/>
  <c r="Y104" i="19"/>
  <c r="Y103" i="19"/>
  <c r="Y102" i="19"/>
  <c r="Y101" i="19"/>
  <c r="Y100" i="19"/>
  <c r="Y99" i="19"/>
  <c r="Y98" i="19"/>
  <c r="Y97" i="19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V298" i="19"/>
  <c r="V297" i="19"/>
  <c r="V296" i="19"/>
  <c r="V295" i="19"/>
  <c r="V294" i="19"/>
  <c r="V293" i="19"/>
  <c r="V292" i="19"/>
  <c r="V291" i="19"/>
  <c r="V290" i="19"/>
  <c r="V289" i="19"/>
  <c r="V288" i="19"/>
  <c r="V287" i="19"/>
  <c r="V286" i="19"/>
  <c r="V285" i="19"/>
  <c r="V284" i="19"/>
  <c r="V283" i="19"/>
  <c r="V282" i="19"/>
  <c r="V281" i="19"/>
  <c r="V280" i="19"/>
  <c r="V279" i="19"/>
  <c r="V278" i="19"/>
  <c r="V277" i="19"/>
  <c r="V276" i="19"/>
  <c r="V275" i="19"/>
  <c r="V274" i="19"/>
  <c r="V273" i="19"/>
  <c r="V272" i="19"/>
  <c r="V271" i="19"/>
  <c r="V270" i="19"/>
  <c r="V269" i="19"/>
  <c r="V268" i="19"/>
  <c r="V267" i="19"/>
  <c r="V266" i="19"/>
  <c r="V265" i="19"/>
  <c r="V264" i="19"/>
  <c r="V263" i="19"/>
  <c r="V262" i="19"/>
  <c r="V261" i="19"/>
  <c r="V260" i="19"/>
  <c r="V259" i="19"/>
  <c r="V258" i="19"/>
  <c r="V257" i="19"/>
  <c r="V256" i="19"/>
  <c r="V255" i="19"/>
  <c r="V254" i="19"/>
  <c r="V253" i="19"/>
  <c r="V252" i="19"/>
  <c r="V251" i="19"/>
  <c r="V250" i="19"/>
  <c r="V249" i="19"/>
  <c r="V248" i="19"/>
  <c r="V247" i="19"/>
  <c r="V246" i="19"/>
  <c r="V245" i="19"/>
  <c r="V244" i="19"/>
  <c r="V243" i="19"/>
  <c r="V242" i="19"/>
  <c r="V241" i="19"/>
  <c r="V240" i="19"/>
  <c r="V239" i="19"/>
  <c r="V238" i="19"/>
  <c r="V237" i="19"/>
  <c r="V236" i="19"/>
  <c r="V235" i="19"/>
  <c r="V234" i="19"/>
  <c r="V233" i="19"/>
  <c r="V232" i="19"/>
  <c r="V231" i="19"/>
  <c r="V230" i="19"/>
  <c r="V229" i="19"/>
  <c r="V228" i="19"/>
  <c r="V227" i="19"/>
  <c r="V226" i="19"/>
  <c r="V225" i="19"/>
  <c r="V224" i="19"/>
  <c r="V223" i="19"/>
  <c r="V222" i="19"/>
  <c r="V221" i="19"/>
  <c r="V220" i="19"/>
  <c r="V219" i="19"/>
  <c r="V218" i="19"/>
  <c r="V217" i="19"/>
  <c r="V216" i="19"/>
  <c r="V215" i="19"/>
  <c r="V214" i="19"/>
  <c r="V213" i="19"/>
  <c r="V212" i="19"/>
  <c r="V211" i="19"/>
  <c r="V210" i="19"/>
  <c r="V209" i="19"/>
  <c r="V208" i="19"/>
  <c r="V207" i="19"/>
  <c r="V206" i="19"/>
  <c r="V205" i="19"/>
  <c r="V204" i="19"/>
  <c r="V203" i="19"/>
  <c r="V202" i="19"/>
  <c r="V201" i="19"/>
  <c r="V200" i="19"/>
  <c r="V199" i="19"/>
  <c r="V198" i="19"/>
  <c r="V197" i="19"/>
  <c r="V196" i="19"/>
  <c r="V195" i="19"/>
  <c r="V194" i="19"/>
  <c r="V193" i="19"/>
  <c r="V192" i="19"/>
  <c r="V191" i="19"/>
  <c r="V190" i="19"/>
  <c r="V189" i="19"/>
  <c r="V188" i="19"/>
  <c r="V187" i="19"/>
  <c r="V186" i="19"/>
  <c r="V185" i="19"/>
  <c r="V184" i="19"/>
  <c r="V183" i="19"/>
  <c r="V182" i="19"/>
  <c r="V181" i="19"/>
  <c r="V180" i="19"/>
  <c r="V179" i="19"/>
  <c r="V178" i="19"/>
  <c r="V177" i="19"/>
  <c r="V176" i="19"/>
  <c r="V175" i="19"/>
  <c r="V174" i="19"/>
  <c r="V173" i="19"/>
  <c r="V172" i="19"/>
  <c r="V171" i="19"/>
  <c r="V170" i="19"/>
  <c r="V169" i="19"/>
  <c r="V168" i="19"/>
  <c r="V167" i="19"/>
  <c r="V166" i="19"/>
  <c r="V165" i="19"/>
  <c r="V164" i="19"/>
  <c r="V163" i="19"/>
  <c r="V162" i="19"/>
  <c r="V161" i="19"/>
  <c r="V160" i="19"/>
  <c r="V159" i="19"/>
  <c r="V158" i="19"/>
  <c r="V157" i="19"/>
  <c r="V156" i="19"/>
  <c r="V155" i="19"/>
  <c r="V154" i="19"/>
  <c r="V153" i="19"/>
  <c r="V152" i="19"/>
  <c r="V151" i="19"/>
  <c r="V150" i="19"/>
  <c r="V149" i="19"/>
  <c r="V148" i="19"/>
  <c r="V147" i="19"/>
  <c r="V146" i="19"/>
  <c r="V145" i="19"/>
  <c r="V144" i="19"/>
  <c r="V143" i="19"/>
  <c r="V142" i="19"/>
  <c r="V141" i="19"/>
  <c r="V140" i="19"/>
  <c r="V139" i="19"/>
  <c r="V138" i="19"/>
  <c r="V137" i="19"/>
  <c r="V136" i="19"/>
  <c r="V135" i="19"/>
  <c r="V134" i="19"/>
  <c r="V133" i="19"/>
  <c r="V132" i="19"/>
  <c r="V131" i="19"/>
  <c r="V130" i="19"/>
  <c r="V129" i="19"/>
  <c r="V128" i="19"/>
  <c r="V127" i="19"/>
  <c r="V126" i="19"/>
  <c r="V125" i="19"/>
  <c r="V124" i="19"/>
  <c r="V123" i="19"/>
  <c r="V122" i="19"/>
  <c r="V121" i="19"/>
  <c r="V120" i="19"/>
  <c r="V119" i="19"/>
  <c r="V118" i="19"/>
  <c r="V117" i="19"/>
  <c r="V116" i="19"/>
  <c r="V115" i="19"/>
  <c r="V114" i="19"/>
  <c r="V113" i="19"/>
  <c r="V112" i="19"/>
  <c r="V111" i="19"/>
  <c r="V110" i="19"/>
  <c r="V109" i="19"/>
  <c r="V108" i="19"/>
  <c r="V107" i="19"/>
  <c r="V106" i="19"/>
  <c r="V105" i="19"/>
  <c r="V104" i="19"/>
  <c r="V103" i="19"/>
  <c r="V102" i="19"/>
  <c r="V101" i="19"/>
  <c r="V100" i="19"/>
  <c r="V99" i="19"/>
  <c r="V98" i="19"/>
  <c r="V97" i="19"/>
  <c r="V96" i="19"/>
  <c r="V95" i="19"/>
  <c r="V94" i="19"/>
  <c r="V93" i="19"/>
  <c r="V92" i="19"/>
  <c r="V91" i="19"/>
  <c r="V90" i="19"/>
  <c r="V89" i="19"/>
  <c r="V88" i="19"/>
  <c r="V87" i="19"/>
  <c r="V86" i="19"/>
  <c r="V85" i="19"/>
  <c r="V84" i="19"/>
  <c r="V83" i="19"/>
  <c r="V82" i="19"/>
  <c r="V81" i="19"/>
  <c r="V80" i="19"/>
  <c r="V79" i="19"/>
  <c r="V78" i="19"/>
  <c r="V77" i="19"/>
  <c r="V76" i="19"/>
  <c r="V75" i="19"/>
  <c r="V74" i="19"/>
  <c r="V73" i="19"/>
  <c r="V72" i="19"/>
  <c r="V71" i="19"/>
  <c r="V70" i="19"/>
  <c r="V69" i="19"/>
  <c r="V68" i="19"/>
  <c r="V67" i="19"/>
  <c r="V66" i="19"/>
  <c r="V65" i="19"/>
  <c r="V64" i="19"/>
  <c r="V63" i="19"/>
  <c r="V62" i="19"/>
  <c r="V61" i="19"/>
  <c r="V60" i="19"/>
  <c r="V59" i="19"/>
  <c r="V58" i="19"/>
  <c r="V57" i="19"/>
  <c r="V56" i="19"/>
  <c r="V55" i="19"/>
  <c r="V54" i="19"/>
  <c r="V53" i="19"/>
  <c r="V52" i="19"/>
  <c r="V51" i="19"/>
  <c r="V50" i="19"/>
  <c r="V49" i="19"/>
  <c r="V48" i="19"/>
  <c r="V47" i="19"/>
  <c r="V46" i="19"/>
  <c r="V45" i="19"/>
  <c r="V44" i="19"/>
  <c r="V43" i="19"/>
  <c r="V42" i="19"/>
  <c r="V41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V9" i="19"/>
  <c r="V8" i="19"/>
  <c r="V7" i="19"/>
  <c r="V6" i="19"/>
  <c r="V5" i="19"/>
  <c r="S298" i="19"/>
  <c r="S297" i="19"/>
  <c r="S296" i="19"/>
  <c r="S295" i="19"/>
  <c r="S294" i="19"/>
  <c r="S293" i="19"/>
  <c r="S292" i="19"/>
  <c r="S291" i="19"/>
  <c r="S290" i="19"/>
  <c r="S289" i="19"/>
  <c r="S288" i="19"/>
  <c r="S287" i="19"/>
  <c r="S286" i="19"/>
  <c r="S285" i="19"/>
  <c r="S284" i="19"/>
  <c r="S283" i="19"/>
  <c r="S282" i="19"/>
  <c r="S281" i="19"/>
  <c r="S280" i="19"/>
  <c r="S279" i="19"/>
  <c r="S278" i="19"/>
  <c r="S277" i="19"/>
  <c r="S276" i="19"/>
  <c r="S275" i="19"/>
  <c r="S274" i="19"/>
  <c r="S273" i="19"/>
  <c r="S272" i="19"/>
  <c r="S271" i="19"/>
  <c r="S270" i="19"/>
  <c r="S269" i="19"/>
  <c r="S268" i="19"/>
  <c r="S267" i="19"/>
  <c r="S266" i="19"/>
  <c r="S265" i="19"/>
  <c r="S264" i="19"/>
  <c r="S263" i="19"/>
  <c r="S262" i="19"/>
  <c r="S261" i="19"/>
  <c r="S260" i="19"/>
  <c r="S259" i="19"/>
  <c r="S258" i="19"/>
  <c r="S257" i="19"/>
  <c r="S256" i="19"/>
  <c r="S255" i="19"/>
  <c r="S254" i="19"/>
  <c r="S253" i="19"/>
  <c r="S252" i="19"/>
  <c r="S251" i="19"/>
  <c r="S250" i="19"/>
  <c r="S249" i="19"/>
  <c r="S248" i="19"/>
  <c r="S247" i="19"/>
  <c r="S246" i="19"/>
  <c r="S245" i="19"/>
  <c r="S244" i="19"/>
  <c r="S243" i="19"/>
  <c r="S242" i="19"/>
  <c r="S241" i="19"/>
  <c r="S240" i="19"/>
  <c r="S239" i="19"/>
  <c r="S238" i="19"/>
  <c r="S237" i="19"/>
  <c r="S236" i="19"/>
  <c r="S235" i="19"/>
  <c r="S234" i="19"/>
  <c r="S233" i="19"/>
  <c r="S232" i="19"/>
  <c r="S231" i="19"/>
  <c r="S230" i="19"/>
  <c r="S229" i="19"/>
  <c r="S228" i="19"/>
  <c r="S227" i="19"/>
  <c r="S226" i="19"/>
  <c r="S225" i="19"/>
  <c r="S224" i="19"/>
  <c r="S223" i="19"/>
  <c r="S222" i="19"/>
  <c r="S221" i="19"/>
  <c r="S220" i="19"/>
  <c r="S219" i="19"/>
  <c r="S218" i="19"/>
  <c r="S217" i="19"/>
  <c r="S216" i="19"/>
  <c r="S215" i="19"/>
  <c r="S214" i="19"/>
  <c r="S213" i="19"/>
  <c r="S212" i="19"/>
  <c r="S211" i="19"/>
  <c r="S210" i="19"/>
  <c r="S209" i="19"/>
  <c r="S208" i="19"/>
  <c r="S207" i="19"/>
  <c r="S206" i="19"/>
  <c r="S205" i="19"/>
  <c r="S204" i="19"/>
  <c r="S203" i="19"/>
  <c r="S202" i="19"/>
  <c r="S201" i="19"/>
  <c r="S200" i="19"/>
  <c r="S199" i="19"/>
  <c r="S198" i="19"/>
  <c r="S197" i="19"/>
  <c r="S196" i="19"/>
  <c r="S195" i="19"/>
  <c r="S194" i="19"/>
  <c r="S193" i="19"/>
  <c r="S192" i="19"/>
  <c r="S191" i="19"/>
  <c r="S190" i="19"/>
  <c r="S189" i="19"/>
  <c r="S188" i="19"/>
  <c r="S187" i="19"/>
  <c r="S186" i="19"/>
  <c r="S185" i="19"/>
  <c r="S184" i="19"/>
  <c r="S183" i="19"/>
  <c r="S182" i="19"/>
  <c r="S181" i="19"/>
  <c r="S180" i="19"/>
  <c r="S179" i="19"/>
  <c r="S178" i="19"/>
  <c r="S177" i="19"/>
  <c r="S176" i="19"/>
  <c r="S175" i="19"/>
  <c r="S174" i="19"/>
  <c r="S173" i="19"/>
  <c r="S172" i="19"/>
  <c r="S171" i="19"/>
  <c r="S170" i="19"/>
  <c r="S169" i="19"/>
  <c r="S168" i="19"/>
  <c r="S167" i="19"/>
  <c r="S166" i="19"/>
  <c r="S165" i="19"/>
  <c r="S164" i="19"/>
  <c r="S163" i="19"/>
  <c r="S162" i="19"/>
  <c r="S161" i="19"/>
  <c r="S160" i="19"/>
  <c r="S159" i="19"/>
  <c r="S158" i="19"/>
  <c r="S157" i="19"/>
  <c r="S156" i="19"/>
  <c r="S155" i="19"/>
  <c r="S154" i="19"/>
  <c r="S153" i="19"/>
  <c r="S152" i="19"/>
  <c r="S151" i="19"/>
  <c r="S150" i="19"/>
  <c r="S149" i="19"/>
  <c r="S148" i="19"/>
  <c r="S147" i="19"/>
  <c r="S146" i="19"/>
  <c r="S145" i="19"/>
  <c r="S144" i="19"/>
  <c r="S143" i="19"/>
  <c r="S142" i="19"/>
  <c r="S141" i="19"/>
  <c r="S140" i="19"/>
  <c r="S139" i="19"/>
  <c r="S138" i="19"/>
  <c r="S137" i="19"/>
  <c r="S136" i="19"/>
  <c r="S135" i="19"/>
  <c r="S134" i="19"/>
  <c r="S133" i="19"/>
  <c r="S132" i="19"/>
  <c r="S131" i="19"/>
  <c r="S130" i="19"/>
  <c r="S129" i="19"/>
  <c r="S128" i="19"/>
  <c r="S127" i="19"/>
  <c r="S126" i="19"/>
  <c r="S125" i="19"/>
  <c r="S124" i="19"/>
  <c r="S123" i="19"/>
  <c r="S122" i="19"/>
  <c r="S121" i="19"/>
  <c r="S120" i="19"/>
  <c r="S119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5" i="19"/>
  <c r="P298" i="19"/>
  <c r="P297" i="19"/>
  <c r="P296" i="19"/>
  <c r="P295" i="19"/>
  <c r="P294" i="19"/>
  <c r="P293" i="19"/>
  <c r="P292" i="19"/>
  <c r="P291" i="19"/>
  <c r="P290" i="19"/>
  <c r="P289" i="19"/>
  <c r="P288" i="19"/>
  <c r="P287" i="19"/>
  <c r="P286" i="19"/>
  <c r="P285" i="19"/>
  <c r="P284" i="19"/>
  <c r="P283" i="19"/>
  <c r="P282" i="19"/>
  <c r="P281" i="19"/>
  <c r="P280" i="19"/>
  <c r="P279" i="19"/>
  <c r="P278" i="19"/>
  <c r="P277" i="19"/>
  <c r="P276" i="19"/>
  <c r="P275" i="19"/>
  <c r="P274" i="19"/>
  <c r="P273" i="19"/>
  <c r="P272" i="19"/>
  <c r="P271" i="19"/>
  <c r="P270" i="19"/>
  <c r="P269" i="19"/>
  <c r="P268" i="19"/>
  <c r="P267" i="19"/>
  <c r="P266" i="19"/>
  <c r="P265" i="19"/>
  <c r="P264" i="19"/>
  <c r="P263" i="19"/>
  <c r="P262" i="19"/>
  <c r="P261" i="19"/>
  <c r="P260" i="19"/>
  <c r="P259" i="19"/>
  <c r="P258" i="19"/>
  <c r="P257" i="19"/>
  <c r="P256" i="19"/>
  <c r="P255" i="19"/>
  <c r="P254" i="19"/>
  <c r="P253" i="19"/>
  <c r="P252" i="19"/>
  <c r="P251" i="19"/>
  <c r="P250" i="19"/>
  <c r="P249" i="19"/>
  <c r="P248" i="19"/>
  <c r="P247" i="19"/>
  <c r="P246" i="19"/>
  <c r="P245" i="19"/>
  <c r="P244" i="19"/>
  <c r="P243" i="19"/>
  <c r="P242" i="19"/>
  <c r="P241" i="19"/>
  <c r="P240" i="19"/>
  <c r="P239" i="19"/>
  <c r="P238" i="19"/>
  <c r="P237" i="19"/>
  <c r="P236" i="19"/>
  <c r="P235" i="19"/>
  <c r="P234" i="19"/>
  <c r="P233" i="19"/>
  <c r="P232" i="19"/>
  <c r="P231" i="19"/>
  <c r="P230" i="19"/>
  <c r="P229" i="19"/>
  <c r="P228" i="19"/>
  <c r="P227" i="19"/>
  <c r="P226" i="19"/>
  <c r="P225" i="19"/>
  <c r="P224" i="19"/>
  <c r="P223" i="19"/>
  <c r="P222" i="19"/>
  <c r="P221" i="19"/>
  <c r="P220" i="19"/>
  <c r="P219" i="19"/>
  <c r="P218" i="19"/>
  <c r="P217" i="19"/>
  <c r="P216" i="19"/>
  <c r="P215" i="19"/>
  <c r="P214" i="19"/>
  <c r="P213" i="19"/>
  <c r="P212" i="19"/>
  <c r="P211" i="19"/>
  <c r="P210" i="19"/>
  <c r="P209" i="19"/>
  <c r="P208" i="19"/>
  <c r="P207" i="19"/>
  <c r="P206" i="19"/>
  <c r="P205" i="19"/>
  <c r="P204" i="19"/>
  <c r="P203" i="19"/>
  <c r="P202" i="19"/>
  <c r="P201" i="19"/>
  <c r="P200" i="19"/>
  <c r="P199" i="19"/>
  <c r="P198" i="19"/>
  <c r="P197" i="19"/>
  <c r="P196" i="19"/>
  <c r="P195" i="19"/>
  <c r="P194" i="19"/>
  <c r="P193" i="19"/>
  <c r="P192" i="19"/>
  <c r="P191" i="19"/>
  <c r="P190" i="19"/>
  <c r="P189" i="19"/>
  <c r="P188" i="19"/>
  <c r="P187" i="19"/>
  <c r="P186" i="19"/>
  <c r="P185" i="19"/>
  <c r="P184" i="19"/>
  <c r="P183" i="19"/>
  <c r="P182" i="19"/>
  <c r="P181" i="19"/>
  <c r="P180" i="19"/>
  <c r="P179" i="19"/>
  <c r="P178" i="19"/>
  <c r="P177" i="19"/>
  <c r="P176" i="19"/>
  <c r="P175" i="19"/>
  <c r="P174" i="19"/>
  <c r="P173" i="19"/>
  <c r="P172" i="19"/>
  <c r="P171" i="19"/>
  <c r="P170" i="19"/>
  <c r="P169" i="19"/>
  <c r="P168" i="19"/>
  <c r="P167" i="19"/>
  <c r="P166" i="19"/>
  <c r="P165" i="19"/>
  <c r="P164" i="19"/>
  <c r="P163" i="19"/>
  <c r="P162" i="19"/>
  <c r="P161" i="19"/>
  <c r="P160" i="19"/>
  <c r="P159" i="19"/>
  <c r="P158" i="19"/>
  <c r="P157" i="19"/>
  <c r="P156" i="19"/>
  <c r="P155" i="19"/>
  <c r="P154" i="19"/>
  <c r="P153" i="19"/>
  <c r="P152" i="19"/>
  <c r="P151" i="19"/>
  <c r="P150" i="19"/>
  <c r="P149" i="19"/>
  <c r="P148" i="19"/>
  <c r="P147" i="19"/>
  <c r="P146" i="19"/>
  <c r="P145" i="19"/>
  <c r="P144" i="19"/>
  <c r="P143" i="19"/>
  <c r="P142" i="19"/>
  <c r="P141" i="19"/>
  <c r="P140" i="19"/>
  <c r="P139" i="19"/>
  <c r="P138" i="19"/>
  <c r="P137" i="19"/>
  <c r="P136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2" i="19"/>
  <c r="P121" i="19"/>
  <c r="P120" i="19"/>
  <c r="P119" i="19"/>
  <c r="P118" i="19"/>
  <c r="P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P102" i="19"/>
  <c r="P101" i="19"/>
  <c r="P100" i="19"/>
  <c r="P99" i="19"/>
  <c r="P98" i="19"/>
  <c r="P97" i="19"/>
  <c r="P96" i="19"/>
  <c r="P95" i="19"/>
  <c r="P94" i="19"/>
  <c r="P93" i="19"/>
  <c r="P92" i="19"/>
  <c r="P91" i="19"/>
  <c r="P90" i="19"/>
  <c r="P89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M298" i="19"/>
  <c r="M297" i="19"/>
  <c r="M296" i="19"/>
  <c r="M295" i="19"/>
  <c r="M294" i="19"/>
  <c r="M293" i="19"/>
  <c r="M292" i="19"/>
  <c r="M291" i="19"/>
  <c r="M290" i="19"/>
  <c r="M289" i="19"/>
  <c r="M288" i="19"/>
  <c r="M287" i="19"/>
  <c r="M286" i="19"/>
  <c r="M285" i="19"/>
  <c r="M284" i="19"/>
  <c r="M283" i="19"/>
  <c r="M282" i="19"/>
  <c r="M281" i="19"/>
  <c r="M280" i="19"/>
  <c r="M279" i="19"/>
  <c r="M278" i="19"/>
  <c r="M277" i="19"/>
  <c r="M276" i="19"/>
  <c r="M275" i="19"/>
  <c r="M274" i="19"/>
  <c r="M273" i="19"/>
  <c r="M272" i="19"/>
  <c r="M271" i="19"/>
  <c r="M270" i="19"/>
  <c r="M269" i="19"/>
  <c r="M268" i="19"/>
  <c r="M267" i="19"/>
  <c r="M266" i="19"/>
  <c r="M265" i="19"/>
  <c r="M264" i="19"/>
  <c r="M263" i="19"/>
  <c r="M262" i="19"/>
  <c r="M261" i="19"/>
  <c r="M260" i="19"/>
  <c r="M259" i="19"/>
  <c r="M258" i="19"/>
  <c r="M257" i="19"/>
  <c r="M256" i="19"/>
  <c r="M255" i="19"/>
  <c r="M254" i="19"/>
  <c r="M253" i="19"/>
  <c r="M252" i="19"/>
  <c r="M251" i="19"/>
  <c r="M250" i="19"/>
  <c r="M249" i="19"/>
  <c r="M248" i="19"/>
  <c r="M247" i="19"/>
  <c r="M246" i="19"/>
  <c r="M245" i="19"/>
  <c r="M244" i="19"/>
  <c r="M243" i="19"/>
  <c r="M242" i="19"/>
  <c r="M241" i="19"/>
  <c r="M240" i="19"/>
  <c r="M239" i="19"/>
  <c r="M238" i="19"/>
  <c r="M237" i="19"/>
  <c r="M236" i="19"/>
  <c r="M235" i="19"/>
  <c r="M234" i="19"/>
  <c r="M233" i="19"/>
  <c r="M232" i="19"/>
  <c r="M231" i="19"/>
  <c r="M230" i="19"/>
  <c r="M229" i="19"/>
  <c r="M228" i="19"/>
  <c r="M227" i="19"/>
  <c r="M226" i="19"/>
  <c r="M225" i="19"/>
  <c r="M224" i="19"/>
  <c r="M223" i="19"/>
  <c r="M222" i="19"/>
  <c r="M221" i="19"/>
  <c r="M220" i="19"/>
  <c r="M219" i="19"/>
  <c r="M218" i="19"/>
  <c r="M217" i="19"/>
  <c r="M216" i="19"/>
  <c r="M215" i="19"/>
  <c r="M214" i="19"/>
  <c r="M213" i="19"/>
  <c r="M212" i="19"/>
  <c r="M211" i="19"/>
  <c r="M210" i="19"/>
  <c r="M209" i="19"/>
  <c r="M208" i="19"/>
  <c r="M207" i="19"/>
  <c r="M206" i="19"/>
  <c r="M205" i="19"/>
  <c r="M204" i="19"/>
  <c r="M203" i="19"/>
  <c r="M202" i="19"/>
  <c r="M201" i="19"/>
  <c r="M200" i="19"/>
  <c r="M199" i="19"/>
  <c r="M198" i="19"/>
  <c r="M197" i="19"/>
  <c r="M196" i="19"/>
  <c r="M195" i="19"/>
  <c r="M194" i="19"/>
  <c r="M193" i="19"/>
  <c r="M192" i="19"/>
  <c r="M191" i="19"/>
  <c r="M190" i="19"/>
  <c r="M189" i="19"/>
  <c r="M188" i="19"/>
  <c r="M187" i="19"/>
  <c r="M186" i="19"/>
  <c r="M185" i="19"/>
  <c r="M184" i="19"/>
  <c r="M183" i="19"/>
  <c r="M182" i="19"/>
  <c r="M181" i="19"/>
  <c r="M180" i="19"/>
  <c r="M179" i="19"/>
  <c r="M178" i="19"/>
  <c r="M177" i="19"/>
  <c r="M176" i="19"/>
  <c r="M175" i="19"/>
  <c r="M174" i="19"/>
  <c r="M173" i="19"/>
  <c r="M172" i="19"/>
  <c r="M171" i="19"/>
  <c r="M170" i="19"/>
  <c r="M169" i="19"/>
  <c r="M168" i="19"/>
  <c r="M167" i="19"/>
  <c r="M166" i="19"/>
  <c r="M165" i="19"/>
  <c r="M164" i="19"/>
  <c r="M163" i="19"/>
  <c r="M162" i="19"/>
  <c r="M161" i="19"/>
  <c r="M160" i="19"/>
  <c r="M159" i="19"/>
  <c r="M158" i="19"/>
  <c r="M157" i="19"/>
  <c r="M156" i="19"/>
  <c r="M155" i="19"/>
  <c r="M154" i="19"/>
  <c r="M153" i="19"/>
  <c r="M152" i="19"/>
  <c r="M151" i="19"/>
  <c r="M150" i="19"/>
  <c r="M149" i="19"/>
  <c r="M148" i="19"/>
  <c r="M147" i="19"/>
  <c r="M146" i="19"/>
  <c r="M145" i="19"/>
  <c r="M144" i="19"/>
  <c r="M143" i="19"/>
  <c r="M142" i="19"/>
  <c r="M141" i="19"/>
  <c r="M140" i="19"/>
  <c r="M139" i="19"/>
  <c r="M138" i="19"/>
  <c r="M137" i="19"/>
  <c r="M136" i="19"/>
  <c r="M135" i="19"/>
  <c r="M134" i="19"/>
  <c r="M133" i="19"/>
  <c r="M132" i="19"/>
  <c r="M131" i="19"/>
  <c r="M130" i="19"/>
  <c r="M129" i="19"/>
  <c r="M128" i="19"/>
  <c r="M127" i="19"/>
  <c r="M126" i="19"/>
  <c r="M125" i="19"/>
  <c r="M124" i="19"/>
  <c r="M123" i="19"/>
  <c r="M122" i="19"/>
  <c r="M121" i="19"/>
  <c r="M120" i="19"/>
  <c r="M119" i="19"/>
  <c r="M118" i="19"/>
  <c r="M117" i="19"/>
  <c r="M116" i="19"/>
  <c r="M115" i="19"/>
  <c r="M114" i="19"/>
  <c r="M113" i="19"/>
  <c r="M112" i="19"/>
  <c r="M111" i="19"/>
  <c r="M110" i="19"/>
  <c r="M109" i="19"/>
  <c r="M108" i="19"/>
  <c r="M107" i="19"/>
  <c r="M106" i="19"/>
  <c r="M105" i="19"/>
  <c r="M104" i="19"/>
  <c r="M103" i="19"/>
  <c r="M102" i="19"/>
  <c r="M101" i="19"/>
  <c r="M100" i="19"/>
  <c r="M99" i="19"/>
  <c r="M98" i="19"/>
  <c r="M97" i="19"/>
  <c r="M96" i="19"/>
  <c r="M95" i="19"/>
  <c r="M94" i="19"/>
  <c r="M93" i="19"/>
  <c r="M92" i="19"/>
  <c r="M91" i="19"/>
  <c r="M90" i="19"/>
  <c r="M89" i="19"/>
  <c r="M88" i="19"/>
  <c r="M87" i="19"/>
  <c r="M86" i="19"/>
  <c r="M85" i="19"/>
  <c r="M84" i="19"/>
  <c r="M83" i="19"/>
  <c r="M82" i="19"/>
  <c r="M81" i="19"/>
  <c r="M80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5" i="19"/>
  <c r="BR189" i="5"/>
  <c r="BR188" i="5"/>
  <c r="BR187" i="5"/>
  <c r="BR186" i="5"/>
  <c r="BO189" i="5"/>
  <c r="BO188" i="5"/>
  <c r="BO187" i="5"/>
  <c r="BO186" i="5"/>
  <c r="BL189" i="5"/>
  <c r="BL188" i="5"/>
  <c r="BL187" i="5"/>
  <c r="BL186" i="5"/>
  <c r="BI189" i="5"/>
  <c r="BI188" i="5"/>
  <c r="BI187" i="5"/>
  <c r="BI186" i="5"/>
  <c r="BF189" i="5"/>
  <c r="BF188" i="5"/>
  <c r="BF187" i="5"/>
  <c r="BF186" i="5"/>
  <c r="BC189" i="5"/>
  <c r="BC188" i="5"/>
  <c r="BC187" i="5"/>
  <c r="BC186" i="5"/>
  <c r="AZ189" i="5"/>
  <c r="AZ188" i="5"/>
  <c r="AZ187" i="5"/>
  <c r="AZ186" i="5"/>
  <c r="AW189" i="5"/>
  <c r="AW188" i="5"/>
  <c r="AW187" i="5"/>
  <c r="AW186" i="5"/>
  <c r="AT189" i="5"/>
  <c r="AT188" i="5"/>
  <c r="AT187" i="5"/>
  <c r="AT186" i="5"/>
  <c r="AQ189" i="5"/>
  <c r="AQ188" i="5"/>
  <c r="AQ187" i="5"/>
  <c r="AQ186" i="5"/>
  <c r="AN189" i="5"/>
  <c r="AN188" i="5"/>
  <c r="AN187" i="5"/>
  <c r="AN186" i="5"/>
  <c r="AK189" i="5"/>
  <c r="AK188" i="5"/>
  <c r="AK187" i="5"/>
  <c r="AK186" i="5"/>
  <c r="AH189" i="5"/>
  <c r="AH188" i="5"/>
  <c r="AH187" i="5"/>
  <c r="AH186" i="5"/>
  <c r="AE189" i="5"/>
  <c r="AE188" i="5"/>
  <c r="AE187" i="5"/>
  <c r="AE186" i="5"/>
  <c r="AB189" i="5"/>
  <c r="AB188" i="5"/>
  <c r="AB187" i="5"/>
  <c r="AB186" i="5"/>
  <c r="Y189" i="5"/>
  <c r="Y188" i="5"/>
  <c r="Y187" i="5"/>
  <c r="Y186" i="5"/>
  <c r="V189" i="5"/>
  <c r="V188" i="5"/>
  <c r="V187" i="5"/>
  <c r="V186" i="5"/>
  <c r="S189" i="5"/>
  <c r="S188" i="5"/>
  <c r="S187" i="5"/>
  <c r="S186" i="5"/>
  <c r="P189" i="5"/>
  <c r="P188" i="5"/>
  <c r="P187" i="5"/>
  <c r="P186" i="5"/>
  <c r="M189" i="5"/>
  <c r="M188" i="5"/>
  <c r="M187" i="5"/>
  <c r="M186" i="5"/>
  <c r="J187" i="5"/>
  <c r="J188" i="5"/>
  <c r="J189" i="5"/>
  <c r="J186" i="5"/>
  <c r="BR176" i="5"/>
  <c r="BR175" i="5"/>
  <c r="BR174" i="5"/>
  <c r="BR173" i="5"/>
  <c r="BR172" i="5"/>
  <c r="BR171" i="5"/>
  <c r="BR170" i="5"/>
  <c r="BR169" i="5"/>
  <c r="BR168" i="5"/>
  <c r="BR167" i="5"/>
  <c r="BR166" i="5"/>
  <c r="BR165" i="5"/>
  <c r="BR164" i="5"/>
  <c r="BR163" i="5"/>
  <c r="BR162" i="5"/>
  <c r="BR161" i="5"/>
  <c r="BR160" i="5"/>
  <c r="BR159" i="5"/>
  <c r="BR158" i="5"/>
  <c r="BR157" i="5"/>
  <c r="BR156" i="5"/>
  <c r="BR155" i="5"/>
  <c r="BR154" i="5"/>
  <c r="BR153" i="5"/>
  <c r="BR152" i="5"/>
  <c r="BR151" i="5"/>
  <c r="BR150" i="5"/>
  <c r="BR149" i="5"/>
  <c r="BR148" i="5"/>
  <c r="BR147" i="5"/>
  <c r="BR146" i="5"/>
  <c r="BR145" i="5"/>
  <c r="BR144" i="5"/>
  <c r="BR143" i="5"/>
  <c r="BR142" i="5"/>
  <c r="BR141" i="5"/>
  <c r="BR140" i="5"/>
  <c r="BR139" i="5"/>
  <c r="BR138" i="5"/>
  <c r="BR137" i="5"/>
  <c r="BR136" i="5"/>
  <c r="BR135" i="5"/>
  <c r="BR134" i="5"/>
  <c r="BR133" i="5"/>
  <c r="BR132" i="5"/>
  <c r="BR131" i="5"/>
  <c r="BR130" i="5"/>
  <c r="BR129" i="5"/>
  <c r="BR128" i="5"/>
  <c r="BR127" i="5"/>
  <c r="BR126" i="5"/>
  <c r="BR125" i="5"/>
  <c r="BR124" i="5"/>
  <c r="BR123" i="5"/>
  <c r="BR122" i="5"/>
  <c r="BR121" i="5"/>
  <c r="BR120" i="5"/>
  <c r="BR119" i="5"/>
  <c r="BR118" i="5"/>
  <c r="BR117" i="5"/>
  <c r="BR116" i="5"/>
  <c r="BR115" i="5"/>
  <c r="BR114" i="5"/>
  <c r="BR113" i="5"/>
  <c r="BR112" i="5"/>
  <c r="BR111" i="5"/>
  <c r="BR110" i="5"/>
  <c r="BR109" i="5"/>
  <c r="BR108" i="5"/>
  <c r="BR107" i="5"/>
  <c r="BR106" i="5"/>
  <c r="BR105" i="5"/>
  <c r="BR104" i="5"/>
  <c r="BR103" i="5"/>
  <c r="BR102" i="5"/>
  <c r="BR101" i="5"/>
  <c r="BR100" i="5"/>
  <c r="BR99" i="5"/>
  <c r="BR98" i="5"/>
  <c r="BR97" i="5"/>
  <c r="BR96" i="5"/>
  <c r="BR95" i="5"/>
  <c r="BR94" i="5"/>
  <c r="BR93" i="5"/>
  <c r="BR92" i="5"/>
  <c r="BR91" i="5"/>
  <c r="BR90" i="5"/>
  <c r="BR89" i="5"/>
  <c r="BR88" i="5"/>
  <c r="BR87" i="5"/>
  <c r="BR86" i="5"/>
  <c r="BR85" i="5"/>
  <c r="BR84" i="5"/>
  <c r="BR83" i="5"/>
  <c r="BR82" i="5"/>
  <c r="BR81" i="5"/>
  <c r="BR80" i="5"/>
  <c r="BR79" i="5"/>
  <c r="BR78" i="5"/>
  <c r="BR77" i="5"/>
  <c r="BR76" i="5"/>
  <c r="BR75" i="5"/>
  <c r="BR74" i="5"/>
  <c r="BR73" i="5"/>
  <c r="BR72" i="5"/>
  <c r="BR71" i="5"/>
  <c r="BR70" i="5"/>
  <c r="BR69" i="5"/>
  <c r="BR68" i="5"/>
  <c r="BR67" i="5"/>
  <c r="BR66" i="5"/>
  <c r="BR65" i="5"/>
  <c r="BR64" i="5"/>
  <c r="BR63" i="5"/>
  <c r="BR62" i="5"/>
  <c r="BR61" i="5"/>
  <c r="BR60" i="5"/>
  <c r="BR59" i="5"/>
  <c r="BR58" i="5"/>
  <c r="BR57" i="5"/>
  <c r="BR56" i="5"/>
  <c r="BR55" i="5"/>
  <c r="BR54" i="5"/>
  <c r="BR53" i="5"/>
  <c r="BR52" i="5"/>
  <c r="BR51" i="5"/>
  <c r="BR50" i="5"/>
  <c r="BR49" i="5"/>
  <c r="BR48" i="5"/>
  <c r="BR47" i="5"/>
  <c r="BR46" i="5"/>
  <c r="BR45" i="5"/>
  <c r="BR44" i="5"/>
  <c r="BR43" i="5"/>
  <c r="BR42" i="5"/>
  <c r="BR41" i="5"/>
  <c r="BR40" i="5"/>
  <c r="BR39" i="5"/>
  <c r="BR38" i="5"/>
  <c r="BR37" i="5"/>
  <c r="BR36" i="5"/>
  <c r="BR35" i="5"/>
  <c r="BR34" i="5"/>
  <c r="BR33" i="5"/>
  <c r="BR32" i="5"/>
  <c r="BR31" i="5"/>
  <c r="BR30" i="5"/>
  <c r="BR29" i="5"/>
  <c r="BR28" i="5"/>
  <c r="BR27" i="5"/>
  <c r="BR26" i="5"/>
  <c r="BR25" i="5"/>
  <c r="BR24" i="5"/>
  <c r="BR23" i="5"/>
  <c r="BR22" i="5"/>
  <c r="BR21" i="5"/>
  <c r="BR20" i="5"/>
  <c r="BR19" i="5"/>
  <c r="BR18" i="5"/>
  <c r="BR17" i="5"/>
  <c r="BR16" i="5"/>
  <c r="BR15" i="5"/>
  <c r="BR14" i="5"/>
  <c r="BR13" i="5"/>
  <c r="BR12" i="5"/>
  <c r="BR11" i="5"/>
  <c r="BR10" i="5"/>
  <c r="BR9" i="5"/>
  <c r="BR8" i="5"/>
  <c r="BR7" i="5"/>
  <c r="BR6" i="5"/>
  <c r="BR5" i="5"/>
  <c r="BO176" i="5"/>
  <c r="BO175" i="5"/>
  <c r="BO174" i="5"/>
  <c r="BO173" i="5"/>
  <c r="BO172" i="5"/>
  <c r="BO171" i="5"/>
  <c r="BO170" i="5"/>
  <c r="BO169" i="5"/>
  <c r="BO168" i="5"/>
  <c r="BO167" i="5"/>
  <c r="BO166" i="5"/>
  <c r="BO165" i="5"/>
  <c r="BO164" i="5"/>
  <c r="BO163" i="5"/>
  <c r="BO162" i="5"/>
  <c r="BO161" i="5"/>
  <c r="BO160" i="5"/>
  <c r="BO159" i="5"/>
  <c r="BO158" i="5"/>
  <c r="BO157" i="5"/>
  <c r="BO156" i="5"/>
  <c r="BO155" i="5"/>
  <c r="BO154" i="5"/>
  <c r="BO153" i="5"/>
  <c r="BO152" i="5"/>
  <c r="BO151" i="5"/>
  <c r="BO150" i="5"/>
  <c r="BO149" i="5"/>
  <c r="BO148" i="5"/>
  <c r="BO147" i="5"/>
  <c r="BO146" i="5"/>
  <c r="BO145" i="5"/>
  <c r="BO144" i="5"/>
  <c r="BO143" i="5"/>
  <c r="BO142" i="5"/>
  <c r="BO141" i="5"/>
  <c r="BO140" i="5"/>
  <c r="BO139" i="5"/>
  <c r="BO138" i="5"/>
  <c r="BO137" i="5"/>
  <c r="BO136" i="5"/>
  <c r="BO135" i="5"/>
  <c r="BO134" i="5"/>
  <c r="BO133" i="5"/>
  <c r="BO132" i="5"/>
  <c r="BO131" i="5"/>
  <c r="BO130" i="5"/>
  <c r="BO129" i="5"/>
  <c r="BO128" i="5"/>
  <c r="BO127" i="5"/>
  <c r="BO126" i="5"/>
  <c r="BO125" i="5"/>
  <c r="BO124" i="5"/>
  <c r="BO123" i="5"/>
  <c r="BO122" i="5"/>
  <c r="BO121" i="5"/>
  <c r="BO120" i="5"/>
  <c r="BO119" i="5"/>
  <c r="BO118" i="5"/>
  <c r="BO117" i="5"/>
  <c r="BO116" i="5"/>
  <c r="BO115" i="5"/>
  <c r="BO114" i="5"/>
  <c r="BO113" i="5"/>
  <c r="BO112" i="5"/>
  <c r="BO111" i="5"/>
  <c r="BO110" i="5"/>
  <c r="BO109" i="5"/>
  <c r="BO108" i="5"/>
  <c r="BO107" i="5"/>
  <c r="BO106" i="5"/>
  <c r="BO105" i="5"/>
  <c r="BO104" i="5"/>
  <c r="BO103" i="5"/>
  <c r="BO102" i="5"/>
  <c r="BO101" i="5"/>
  <c r="BO100" i="5"/>
  <c r="BO99" i="5"/>
  <c r="BO98" i="5"/>
  <c r="BO97" i="5"/>
  <c r="BO96" i="5"/>
  <c r="BO95" i="5"/>
  <c r="BO94" i="5"/>
  <c r="BO93" i="5"/>
  <c r="BO92" i="5"/>
  <c r="BO91" i="5"/>
  <c r="BO90" i="5"/>
  <c r="BO89" i="5"/>
  <c r="BO88" i="5"/>
  <c r="BO87" i="5"/>
  <c r="BO86" i="5"/>
  <c r="BO85" i="5"/>
  <c r="BO84" i="5"/>
  <c r="BO83" i="5"/>
  <c r="BO82" i="5"/>
  <c r="BO81" i="5"/>
  <c r="BO80" i="5"/>
  <c r="BO79" i="5"/>
  <c r="BO78" i="5"/>
  <c r="BO77" i="5"/>
  <c r="BO76" i="5"/>
  <c r="BO75" i="5"/>
  <c r="BO74" i="5"/>
  <c r="BO73" i="5"/>
  <c r="BO72" i="5"/>
  <c r="BO71" i="5"/>
  <c r="BO70" i="5"/>
  <c r="BO69" i="5"/>
  <c r="BO68" i="5"/>
  <c r="BO67" i="5"/>
  <c r="BO66" i="5"/>
  <c r="BO65" i="5"/>
  <c r="BO64" i="5"/>
  <c r="BO63" i="5"/>
  <c r="BO62" i="5"/>
  <c r="BO61" i="5"/>
  <c r="BO60" i="5"/>
  <c r="BO59" i="5"/>
  <c r="BO58" i="5"/>
  <c r="BO57" i="5"/>
  <c r="BO56" i="5"/>
  <c r="BO55" i="5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L176" i="5"/>
  <c r="BL175" i="5"/>
  <c r="BL174" i="5"/>
  <c r="BL173" i="5"/>
  <c r="BL172" i="5"/>
  <c r="BL171" i="5"/>
  <c r="BL170" i="5"/>
  <c r="BL169" i="5"/>
  <c r="BL168" i="5"/>
  <c r="BL167" i="5"/>
  <c r="BL166" i="5"/>
  <c r="BL165" i="5"/>
  <c r="BL164" i="5"/>
  <c r="BL163" i="5"/>
  <c r="BL162" i="5"/>
  <c r="BL161" i="5"/>
  <c r="BL160" i="5"/>
  <c r="BL159" i="5"/>
  <c r="BL158" i="5"/>
  <c r="BL157" i="5"/>
  <c r="BL156" i="5"/>
  <c r="BL155" i="5"/>
  <c r="BL154" i="5"/>
  <c r="BL153" i="5"/>
  <c r="BL152" i="5"/>
  <c r="BL151" i="5"/>
  <c r="BL150" i="5"/>
  <c r="BL149" i="5"/>
  <c r="BL148" i="5"/>
  <c r="BL147" i="5"/>
  <c r="BL146" i="5"/>
  <c r="BL145" i="5"/>
  <c r="BL144" i="5"/>
  <c r="BL143" i="5"/>
  <c r="BL142" i="5"/>
  <c r="BL141" i="5"/>
  <c r="BL140" i="5"/>
  <c r="BL139" i="5"/>
  <c r="BL138" i="5"/>
  <c r="BL137" i="5"/>
  <c r="BL136" i="5"/>
  <c r="BL135" i="5"/>
  <c r="BL134" i="5"/>
  <c r="BL133" i="5"/>
  <c r="BL132" i="5"/>
  <c r="BL131" i="5"/>
  <c r="BL130" i="5"/>
  <c r="BL129" i="5"/>
  <c r="BL128" i="5"/>
  <c r="BL127" i="5"/>
  <c r="BL126" i="5"/>
  <c r="BL125" i="5"/>
  <c r="BL124" i="5"/>
  <c r="BL123" i="5"/>
  <c r="BL122" i="5"/>
  <c r="BL121" i="5"/>
  <c r="BL120" i="5"/>
  <c r="BL119" i="5"/>
  <c r="BL118" i="5"/>
  <c r="BL117" i="5"/>
  <c r="BL116" i="5"/>
  <c r="BL115" i="5"/>
  <c r="BL114" i="5"/>
  <c r="BL113" i="5"/>
  <c r="BL112" i="5"/>
  <c r="BL111" i="5"/>
  <c r="BL110" i="5"/>
  <c r="BL109" i="5"/>
  <c r="BL108" i="5"/>
  <c r="BL107" i="5"/>
  <c r="BL106" i="5"/>
  <c r="BL105" i="5"/>
  <c r="BL104" i="5"/>
  <c r="BL103" i="5"/>
  <c r="BL102" i="5"/>
  <c r="BL101" i="5"/>
  <c r="BL100" i="5"/>
  <c r="BL99" i="5"/>
  <c r="BL98" i="5"/>
  <c r="BL97" i="5"/>
  <c r="BL96" i="5"/>
  <c r="BL95" i="5"/>
  <c r="BL94" i="5"/>
  <c r="BL93" i="5"/>
  <c r="BL92" i="5"/>
  <c r="BL91" i="5"/>
  <c r="BL90" i="5"/>
  <c r="BL89" i="5"/>
  <c r="BL88" i="5"/>
  <c r="BL87" i="5"/>
  <c r="BL86" i="5"/>
  <c r="BL85" i="5"/>
  <c r="BL84" i="5"/>
  <c r="BL83" i="5"/>
  <c r="BL82" i="5"/>
  <c r="BL81" i="5"/>
  <c r="BL80" i="5"/>
  <c r="BL79" i="5"/>
  <c r="BL78" i="5"/>
  <c r="BL77" i="5"/>
  <c r="BL76" i="5"/>
  <c r="BL75" i="5"/>
  <c r="BL74" i="5"/>
  <c r="BL73" i="5"/>
  <c r="BL72" i="5"/>
  <c r="BL71" i="5"/>
  <c r="BL70" i="5"/>
  <c r="BL69" i="5"/>
  <c r="BL68" i="5"/>
  <c r="BL67" i="5"/>
  <c r="BL66" i="5"/>
  <c r="BL65" i="5"/>
  <c r="BL64" i="5"/>
  <c r="BL63" i="5"/>
  <c r="BL62" i="5"/>
  <c r="BL61" i="5"/>
  <c r="BL60" i="5"/>
  <c r="BL59" i="5"/>
  <c r="BL58" i="5"/>
  <c r="BL57" i="5"/>
  <c r="BL56" i="5"/>
  <c r="BL55" i="5"/>
  <c r="BL54" i="5"/>
  <c r="BL53" i="5"/>
  <c r="BL52" i="5"/>
  <c r="BL51" i="5"/>
  <c r="BL50" i="5"/>
  <c r="BL49" i="5"/>
  <c r="BL48" i="5"/>
  <c r="BL47" i="5"/>
  <c r="BL46" i="5"/>
  <c r="BL45" i="5"/>
  <c r="BL44" i="5"/>
  <c r="BL43" i="5"/>
  <c r="BL42" i="5"/>
  <c r="BL41" i="5"/>
  <c r="BL40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L9" i="5"/>
  <c r="BL8" i="5"/>
  <c r="BL7" i="5"/>
  <c r="BL6" i="5"/>
  <c r="BL5" i="5"/>
  <c r="BI176" i="5"/>
  <c r="BI175" i="5"/>
  <c r="BI174" i="5"/>
  <c r="BI173" i="5"/>
  <c r="BI172" i="5"/>
  <c r="BI171" i="5"/>
  <c r="BI170" i="5"/>
  <c r="BI169" i="5"/>
  <c r="BI168" i="5"/>
  <c r="BI167" i="5"/>
  <c r="BI166" i="5"/>
  <c r="BI165" i="5"/>
  <c r="BI164" i="5"/>
  <c r="BI163" i="5"/>
  <c r="BI162" i="5"/>
  <c r="BI161" i="5"/>
  <c r="BI160" i="5"/>
  <c r="BI159" i="5"/>
  <c r="BI158" i="5"/>
  <c r="BI157" i="5"/>
  <c r="BI156" i="5"/>
  <c r="BI155" i="5"/>
  <c r="BI154" i="5"/>
  <c r="BI153" i="5"/>
  <c r="BI152" i="5"/>
  <c r="BI151" i="5"/>
  <c r="BI150" i="5"/>
  <c r="BI149" i="5"/>
  <c r="BI148" i="5"/>
  <c r="BI147" i="5"/>
  <c r="BI146" i="5"/>
  <c r="BI145" i="5"/>
  <c r="BI144" i="5"/>
  <c r="BI143" i="5"/>
  <c r="BI142" i="5"/>
  <c r="BI141" i="5"/>
  <c r="BI140" i="5"/>
  <c r="BI139" i="5"/>
  <c r="BI138" i="5"/>
  <c r="BI137" i="5"/>
  <c r="BI136" i="5"/>
  <c r="BI135" i="5"/>
  <c r="BI134" i="5"/>
  <c r="BI133" i="5"/>
  <c r="BI132" i="5"/>
  <c r="BI131" i="5"/>
  <c r="BI130" i="5"/>
  <c r="BI129" i="5"/>
  <c r="BI128" i="5"/>
  <c r="BI127" i="5"/>
  <c r="BI126" i="5"/>
  <c r="BI125" i="5"/>
  <c r="BI124" i="5"/>
  <c r="BI123" i="5"/>
  <c r="BI122" i="5"/>
  <c r="BI121" i="5"/>
  <c r="BI120" i="5"/>
  <c r="BI119" i="5"/>
  <c r="BI118" i="5"/>
  <c r="BI117" i="5"/>
  <c r="BI116" i="5"/>
  <c r="BI115" i="5"/>
  <c r="BI114" i="5"/>
  <c r="BI113" i="5"/>
  <c r="BI112" i="5"/>
  <c r="BI111" i="5"/>
  <c r="BI110" i="5"/>
  <c r="BI109" i="5"/>
  <c r="BI108" i="5"/>
  <c r="BI107" i="5"/>
  <c r="BI106" i="5"/>
  <c r="BI105" i="5"/>
  <c r="BI104" i="5"/>
  <c r="BI103" i="5"/>
  <c r="BI102" i="5"/>
  <c r="BI101" i="5"/>
  <c r="BI100" i="5"/>
  <c r="BI99" i="5"/>
  <c r="BI98" i="5"/>
  <c r="BI97" i="5"/>
  <c r="BI96" i="5"/>
  <c r="BI95" i="5"/>
  <c r="BI94" i="5"/>
  <c r="BI93" i="5"/>
  <c r="BI92" i="5"/>
  <c r="BI91" i="5"/>
  <c r="BI90" i="5"/>
  <c r="BI89" i="5"/>
  <c r="BI88" i="5"/>
  <c r="BI87" i="5"/>
  <c r="BI86" i="5"/>
  <c r="BI85" i="5"/>
  <c r="BI84" i="5"/>
  <c r="BI83" i="5"/>
  <c r="BI82" i="5"/>
  <c r="BI81" i="5"/>
  <c r="BI80" i="5"/>
  <c r="BI79" i="5"/>
  <c r="BI78" i="5"/>
  <c r="BI77" i="5"/>
  <c r="BI76" i="5"/>
  <c r="BI75" i="5"/>
  <c r="BI74" i="5"/>
  <c r="BI73" i="5"/>
  <c r="BI72" i="5"/>
  <c r="BI71" i="5"/>
  <c r="BI70" i="5"/>
  <c r="BI69" i="5"/>
  <c r="BI68" i="5"/>
  <c r="BI67" i="5"/>
  <c r="BI66" i="5"/>
  <c r="BI65" i="5"/>
  <c r="BI64" i="5"/>
  <c r="BI63" i="5"/>
  <c r="BI62" i="5"/>
  <c r="BI61" i="5"/>
  <c r="BI60" i="5"/>
  <c r="BI59" i="5"/>
  <c r="BI58" i="5"/>
  <c r="BI57" i="5"/>
  <c r="BI56" i="5"/>
  <c r="BI55" i="5"/>
  <c r="BI54" i="5"/>
  <c r="BI53" i="5"/>
  <c r="BI52" i="5"/>
  <c r="BI51" i="5"/>
  <c r="BI50" i="5"/>
  <c r="BI49" i="5"/>
  <c r="BI48" i="5"/>
  <c r="BI47" i="5"/>
  <c r="BI46" i="5"/>
  <c r="BI45" i="5"/>
  <c r="BI44" i="5"/>
  <c r="BI43" i="5"/>
  <c r="BI42" i="5"/>
  <c r="BI41" i="5"/>
  <c r="BI40" i="5"/>
  <c r="BI39" i="5"/>
  <c r="BI38" i="5"/>
  <c r="BI37" i="5"/>
  <c r="BI36" i="5"/>
  <c r="BI35" i="5"/>
  <c r="BI34" i="5"/>
  <c r="BI33" i="5"/>
  <c r="BI32" i="5"/>
  <c r="BI31" i="5"/>
  <c r="BI30" i="5"/>
  <c r="BI29" i="5"/>
  <c r="BI28" i="5"/>
  <c r="BI27" i="5"/>
  <c r="BI26" i="5"/>
  <c r="BI25" i="5"/>
  <c r="BI24" i="5"/>
  <c r="BI23" i="5"/>
  <c r="BI22" i="5"/>
  <c r="BI21" i="5"/>
  <c r="BI20" i="5"/>
  <c r="BI19" i="5"/>
  <c r="BI18" i="5"/>
  <c r="BI17" i="5"/>
  <c r="BI16" i="5"/>
  <c r="BI15" i="5"/>
  <c r="BI14" i="5"/>
  <c r="BI13" i="5"/>
  <c r="BI12" i="5"/>
  <c r="BI11" i="5"/>
  <c r="BI10" i="5"/>
  <c r="BI9" i="5"/>
  <c r="BI8" i="5"/>
  <c r="BI7" i="5"/>
  <c r="BI6" i="5"/>
  <c r="BI5" i="5"/>
  <c r="BF176" i="5"/>
  <c r="BF175" i="5"/>
  <c r="BF174" i="5"/>
  <c r="BF173" i="5"/>
  <c r="BF172" i="5"/>
  <c r="BF171" i="5"/>
  <c r="BF170" i="5"/>
  <c r="BF169" i="5"/>
  <c r="BF168" i="5"/>
  <c r="BF167" i="5"/>
  <c r="BF166" i="5"/>
  <c r="BF165" i="5"/>
  <c r="BF164" i="5"/>
  <c r="BF163" i="5"/>
  <c r="BF162" i="5"/>
  <c r="BF161" i="5"/>
  <c r="BF160" i="5"/>
  <c r="BF159" i="5"/>
  <c r="BF158" i="5"/>
  <c r="BF157" i="5"/>
  <c r="BF156" i="5"/>
  <c r="BF155" i="5"/>
  <c r="BF154" i="5"/>
  <c r="BF153" i="5"/>
  <c r="BF152" i="5"/>
  <c r="BF151" i="5"/>
  <c r="BF150" i="5"/>
  <c r="BF149" i="5"/>
  <c r="BF148" i="5"/>
  <c r="BF147" i="5"/>
  <c r="BF146" i="5"/>
  <c r="BF145" i="5"/>
  <c r="BF144" i="5"/>
  <c r="BF143" i="5"/>
  <c r="BF142" i="5"/>
  <c r="BF141" i="5"/>
  <c r="BF140" i="5"/>
  <c r="BF139" i="5"/>
  <c r="BF138" i="5"/>
  <c r="BF137" i="5"/>
  <c r="BF136" i="5"/>
  <c r="BF135" i="5"/>
  <c r="BF134" i="5"/>
  <c r="BF133" i="5"/>
  <c r="BF132" i="5"/>
  <c r="BF131" i="5"/>
  <c r="BF130" i="5"/>
  <c r="BF129" i="5"/>
  <c r="BF128" i="5"/>
  <c r="BF127" i="5"/>
  <c r="BF126" i="5"/>
  <c r="BF125" i="5"/>
  <c r="BF124" i="5"/>
  <c r="BF123" i="5"/>
  <c r="BF122" i="5"/>
  <c r="BF121" i="5"/>
  <c r="BF120" i="5"/>
  <c r="BF119" i="5"/>
  <c r="BF118" i="5"/>
  <c r="BF117" i="5"/>
  <c r="BF116" i="5"/>
  <c r="BF115" i="5"/>
  <c r="BF114" i="5"/>
  <c r="BF113" i="5"/>
  <c r="BF112" i="5"/>
  <c r="BF111" i="5"/>
  <c r="BF110" i="5"/>
  <c r="BF109" i="5"/>
  <c r="BF108" i="5"/>
  <c r="BF107" i="5"/>
  <c r="BF106" i="5"/>
  <c r="BF105" i="5"/>
  <c r="BF104" i="5"/>
  <c r="BF103" i="5"/>
  <c r="BF102" i="5"/>
  <c r="BF101" i="5"/>
  <c r="BF100" i="5"/>
  <c r="BF99" i="5"/>
  <c r="BF98" i="5"/>
  <c r="BF97" i="5"/>
  <c r="BF96" i="5"/>
  <c r="BF95" i="5"/>
  <c r="BF94" i="5"/>
  <c r="BF93" i="5"/>
  <c r="BF92" i="5"/>
  <c r="BF91" i="5"/>
  <c r="BF90" i="5"/>
  <c r="BF89" i="5"/>
  <c r="BF88" i="5"/>
  <c r="BF87" i="5"/>
  <c r="BF86" i="5"/>
  <c r="BF85" i="5"/>
  <c r="BF84" i="5"/>
  <c r="BF83" i="5"/>
  <c r="BF82" i="5"/>
  <c r="BF81" i="5"/>
  <c r="BF80" i="5"/>
  <c r="BF79" i="5"/>
  <c r="BF78" i="5"/>
  <c r="BF77" i="5"/>
  <c r="BF76" i="5"/>
  <c r="BF75" i="5"/>
  <c r="BF74" i="5"/>
  <c r="BF73" i="5"/>
  <c r="BF72" i="5"/>
  <c r="BF71" i="5"/>
  <c r="BF70" i="5"/>
  <c r="BF69" i="5"/>
  <c r="BF68" i="5"/>
  <c r="BF67" i="5"/>
  <c r="BF66" i="5"/>
  <c r="BF65" i="5"/>
  <c r="BF64" i="5"/>
  <c r="BF63" i="5"/>
  <c r="BF62" i="5"/>
  <c r="BF61" i="5"/>
  <c r="BF60" i="5"/>
  <c r="BF59" i="5"/>
  <c r="BF58" i="5"/>
  <c r="BF57" i="5"/>
  <c r="BF56" i="5"/>
  <c r="BF55" i="5"/>
  <c r="BF54" i="5"/>
  <c r="BF53" i="5"/>
  <c r="BF52" i="5"/>
  <c r="BF51" i="5"/>
  <c r="BF50" i="5"/>
  <c r="BF49" i="5"/>
  <c r="BF48" i="5"/>
  <c r="BF47" i="5"/>
  <c r="BF46" i="5"/>
  <c r="BF45" i="5"/>
  <c r="BF44" i="5"/>
  <c r="BF43" i="5"/>
  <c r="BF42" i="5"/>
  <c r="BF41" i="5"/>
  <c r="BF40" i="5"/>
  <c r="BF39" i="5"/>
  <c r="BF38" i="5"/>
  <c r="BF37" i="5"/>
  <c r="BF36" i="5"/>
  <c r="BF35" i="5"/>
  <c r="BF34" i="5"/>
  <c r="BF33" i="5"/>
  <c r="BF32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C176" i="5"/>
  <c r="BC175" i="5"/>
  <c r="BC174" i="5"/>
  <c r="BC173" i="5"/>
  <c r="BC172" i="5"/>
  <c r="BC171" i="5"/>
  <c r="BC170" i="5"/>
  <c r="BC169" i="5"/>
  <c r="BC168" i="5"/>
  <c r="BC167" i="5"/>
  <c r="BC166" i="5"/>
  <c r="BC165" i="5"/>
  <c r="BC164" i="5"/>
  <c r="BC163" i="5"/>
  <c r="BC162" i="5"/>
  <c r="BC161" i="5"/>
  <c r="BC160" i="5"/>
  <c r="BC159" i="5"/>
  <c r="BC158" i="5"/>
  <c r="BC157" i="5"/>
  <c r="BC156" i="5"/>
  <c r="BC155" i="5"/>
  <c r="BC154" i="5"/>
  <c r="BC153" i="5"/>
  <c r="BC152" i="5"/>
  <c r="BC151" i="5"/>
  <c r="BC150" i="5"/>
  <c r="BC149" i="5"/>
  <c r="BC148" i="5"/>
  <c r="BC147" i="5"/>
  <c r="BC146" i="5"/>
  <c r="BC145" i="5"/>
  <c r="BC144" i="5"/>
  <c r="BC143" i="5"/>
  <c r="BC142" i="5"/>
  <c r="BC141" i="5"/>
  <c r="BC140" i="5"/>
  <c r="BC139" i="5"/>
  <c r="BC138" i="5"/>
  <c r="BC137" i="5"/>
  <c r="BC136" i="5"/>
  <c r="BC135" i="5"/>
  <c r="BC134" i="5"/>
  <c r="BC133" i="5"/>
  <c r="BC132" i="5"/>
  <c r="BC131" i="5"/>
  <c r="BC130" i="5"/>
  <c r="BC129" i="5"/>
  <c r="BC128" i="5"/>
  <c r="BC127" i="5"/>
  <c r="BC126" i="5"/>
  <c r="BC125" i="5"/>
  <c r="BC124" i="5"/>
  <c r="BC123" i="5"/>
  <c r="BC122" i="5"/>
  <c r="BC121" i="5"/>
  <c r="BC120" i="5"/>
  <c r="BC119" i="5"/>
  <c r="BC118" i="5"/>
  <c r="BC117" i="5"/>
  <c r="BC116" i="5"/>
  <c r="BC115" i="5"/>
  <c r="BC114" i="5"/>
  <c r="BC113" i="5"/>
  <c r="BC112" i="5"/>
  <c r="BC111" i="5"/>
  <c r="BC110" i="5"/>
  <c r="BC109" i="5"/>
  <c r="BC108" i="5"/>
  <c r="BC107" i="5"/>
  <c r="BC106" i="5"/>
  <c r="BC105" i="5"/>
  <c r="BC104" i="5"/>
  <c r="BC103" i="5"/>
  <c r="BC102" i="5"/>
  <c r="BC101" i="5"/>
  <c r="BC100" i="5"/>
  <c r="BC99" i="5"/>
  <c r="BC98" i="5"/>
  <c r="BC97" i="5"/>
  <c r="BC96" i="5"/>
  <c r="BC95" i="5"/>
  <c r="BC94" i="5"/>
  <c r="BC93" i="5"/>
  <c r="BC92" i="5"/>
  <c r="BC91" i="5"/>
  <c r="BC90" i="5"/>
  <c r="BC89" i="5"/>
  <c r="BC88" i="5"/>
  <c r="BC87" i="5"/>
  <c r="BC86" i="5"/>
  <c r="BC85" i="5"/>
  <c r="BC84" i="5"/>
  <c r="BC83" i="5"/>
  <c r="BC82" i="5"/>
  <c r="BC81" i="5"/>
  <c r="BC80" i="5"/>
  <c r="BC79" i="5"/>
  <c r="BC78" i="5"/>
  <c r="BC77" i="5"/>
  <c r="BC76" i="5"/>
  <c r="BC75" i="5"/>
  <c r="BC74" i="5"/>
  <c r="BC73" i="5"/>
  <c r="BC72" i="5"/>
  <c r="BC71" i="5"/>
  <c r="BC70" i="5"/>
  <c r="BC69" i="5"/>
  <c r="BC68" i="5"/>
  <c r="BC67" i="5"/>
  <c r="BC66" i="5"/>
  <c r="BC65" i="5"/>
  <c r="BC64" i="5"/>
  <c r="BC63" i="5"/>
  <c r="BC62" i="5"/>
  <c r="BC61" i="5"/>
  <c r="BC60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BC33" i="5"/>
  <c r="BC32" i="5"/>
  <c r="BC31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AZ176" i="5"/>
  <c r="AZ175" i="5"/>
  <c r="AZ174" i="5"/>
  <c r="AZ173" i="5"/>
  <c r="AZ172" i="5"/>
  <c r="AZ171" i="5"/>
  <c r="AZ170" i="5"/>
  <c r="AZ169" i="5"/>
  <c r="AZ168" i="5"/>
  <c r="AZ167" i="5"/>
  <c r="AZ166" i="5"/>
  <c r="AZ165" i="5"/>
  <c r="AZ164" i="5"/>
  <c r="AZ163" i="5"/>
  <c r="AZ162" i="5"/>
  <c r="AZ161" i="5"/>
  <c r="AZ160" i="5"/>
  <c r="AZ159" i="5"/>
  <c r="AZ158" i="5"/>
  <c r="AZ157" i="5"/>
  <c r="AZ156" i="5"/>
  <c r="AZ155" i="5"/>
  <c r="AZ154" i="5"/>
  <c r="AZ153" i="5"/>
  <c r="AZ152" i="5"/>
  <c r="AZ151" i="5"/>
  <c r="AZ150" i="5"/>
  <c r="AZ149" i="5"/>
  <c r="AZ148" i="5"/>
  <c r="AZ147" i="5"/>
  <c r="AZ146" i="5"/>
  <c r="AZ145" i="5"/>
  <c r="AZ144" i="5"/>
  <c r="AZ143" i="5"/>
  <c r="AZ142" i="5"/>
  <c r="AZ141" i="5"/>
  <c r="AZ140" i="5"/>
  <c r="AZ139" i="5"/>
  <c r="AZ138" i="5"/>
  <c r="AZ137" i="5"/>
  <c r="AZ136" i="5"/>
  <c r="AZ135" i="5"/>
  <c r="AZ134" i="5"/>
  <c r="AZ133" i="5"/>
  <c r="AZ132" i="5"/>
  <c r="AZ131" i="5"/>
  <c r="AZ130" i="5"/>
  <c r="AZ129" i="5"/>
  <c r="AZ128" i="5"/>
  <c r="AZ127" i="5"/>
  <c r="AZ126" i="5"/>
  <c r="AZ125" i="5"/>
  <c r="AZ124" i="5"/>
  <c r="AZ123" i="5"/>
  <c r="AZ122" i="5"/>
  <c r="AZ121" i="5"/>
  <c r="AZ120" i="5"/>
  <c r="AZ119" i="5"/>
  <c r="AZ118" i="5"/>
  <c r="AZ117" i="5"/>
  <c r="AZ116" i="5"/>
  <c r="AZ115" i="5"/>
  <c r="AZ114" i="5"/>
  <c r="AZ113" i="5"/>
  <c r="AZ112" i="5"/>
  <c r="AZ111" i="5"/>
  <c r="AZ110" i="5"/>
  <c r="AZ109" i="5"/>
  <c r="AZ108" i="5"/>
  <c r="AZ107" i="5"/>
  <c r="AZ106" i="5"/>
  <c r="AZ105" i="5"/>
  <c r="AZ104" i="5"/>
  <c r="AZ103" i="5"/>
  <c r="AZ102" i="5"/>
  <c r="AZ101" i="5"/>
  <c r="AZ100" i="5"/>
  <c r="AZ99" i="5"/>
  <c r="AZ98" i="5"/>
  <c r="AZ97" i="5"/>
  <c r="AZ96" i="5"/>
  <c r="AZ95" i="5"/>
  <c r="AZ94" i="5"/>
  <c r="AZ93" i="5"/>
  <c r="AZ92" i="5"/>
  <c r="AZ91" i="5"/>
  <c r="AZ90" i="5"/>
  <c r="AZ89" i="5"/>
  <c r="AZ88" i="5"/>
  <c r="AZ87" i="5"/>
  <c r="AZ86" i="5"/>
  <c r="AZ85" i="5"/>
  <c r="AZ84" i="5"/>
  <c r="AZ83" i="5"/>
  <c r="AZ82" i="5"/>
  <c r="AZ81" i="5"/>
  <c r="AZ80" i="5"/>
  <c r="AZ79" i="5"/>
  <c r="AZ78" i="5"/>
  <c r="AZ77" i="5"/>
  <c r="AZ76" i="5"/>
  <c r="AZ75" i="5"/>
  <c r="AZ74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Z6" i="5"/>
  <c r="AZ5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T176" i="5"/>
  <c r="AT175" i="5"/>
  <c r="AT174" i="5"/>
  <c r="AT173" i="5"/>
  <c r="AT172" i="5"/>
  <c r="AT171" i="5"/>
  <c r="AT170" i="5"/>
  <c r="AT169" i="5"/>
  <c r="AT168" i="5"/>
  <c r="AT167" i="5"/>
  <c r="AT166" i="5"/>
  <c r="AT165" i="5"/>
  <c r="AT164" i="5"/>
  <c r="AT163" i="5"/>
  <c r="AT162" i="5"/>
  <c r="AT161" i="5"/>
  <c r="AT160" i="5"/>
  <c r="AT159" i="5"/>
  <c r="AT158" i="5"/>
  <c r="AT157" i="5"/>
  <c r="AT156" i="5"/>
  <c r="AT155" i="5"/>
  <c r="AT154" i="5"/>
  <c r="AT153" i="5"/>
  <c r="AT152" i="5"/>
  <c r="AT151" i="5"/>
  <c r="AT150" i="5"/>
  <c r="AT149" i="5"/>
  <c r="AT148" i="5"/>
  <c r="AT147" i="5"/>
  <c r="AT146" i="5"/>
  <c r="AT145" i="5"/>
  <c r="AT144" i="5"/>
  <c r="AT143" i="5"/>
  <c r="AT142" i="5"/>
  <c r="AT141" i="5"/>
  <c r="AT140" i="5"/>
  <c r="AT139" i="5"/>
  <c r="AT138" i="5"/>
  <c r="AT137" i="5"/>
  <c r="AT136" i="5"/>
  <c r="AT135" i="5"/>
  <c r="AT134" i="5"/>
  <c r="AT133" i="5"/>
  <c r="AT132" i="5"/>
  <c r="AT131" i="5"/>
  <c r="AT130" i="5"/>
  <c r="AT129" i="5"/>
  <c r="AT128" i="5"/>
  <c r="AT127" i="5"/>
  <c r="AT126" i="5"/>
  <c r="AT125" i="5"/>
  <c r="AT124" i="5"/>
  <c r="AT123" i="5"/>
  <c r="AT122" i="5"/>
  <c r="AT121" i="5"/>
  <c r="AT120" i="5"/>
  <c r="AT119" i="5"/>
  <c r="AT118" i="5"/>
  <c r="AT117" i="5"/>
  <c r="AT116" i="5"/>
  <c r="AT115" i="5"/>
  <c r="AT114" i="5"/>
  <c r="AT113" i="5"/>
  <c r="AT112" i="5"/>
  <c r="AT111" i="5"/>
  <c r="AT110" i="5"/>
  <c r="AT109" i="5"/>
  <c r="AT108" i="5"/>
  <c r="AT107" i="5"/>
  <c r="AT106" i="5"/>
  <c r="AT105" i="5"/>
  <c r="AT104" i="5"/>
  <c r="AT103" i="5"/>
  <c r="AT102" i="5"/>
  <c r="AT101" i="5"/>
  <c r="AT100" i="5"/>
  <c r="AT99" i="5"/>
  <c r="AT98" i="5"/>
  <c r="AT97" i="5"/>
  <c r="AT96" i="5"/>
  <c r="AT95" i="5"/>
  <c r="AT94" i="5"/>
  <c r="AT93" i="5"/>
  <c r="AT92" i="5"/>
  <c r="AT91" i="5"/>
  <c r="AT90" i="5"/>
  <c r="AT89" i="5"/>
  <c r="AT88" i="5"/>
  <c r="AT87" i="5"/>
  <c r="AT86" i="5"/>
  <c r="AT85" i="5"/>
  <c r="AT84" i="5"/>
  <c r="AT83" i="5"/>
  <c r="AT82" i="5"/>
  <c r="AT81" i="5"/>
  <c r="AT80" i="5"/>
  <c r="AT79" i="5"/>
  <c r="AT78" i="5"/>
  <c r="AT77" i="5"/>
  <c r="AT76" i="5"/>
  <c r="AT75" i="5"/>
  <c r="AT74" i="5"/>
  <c r="AT73" i="5"/>
  <c r="AT72" i="5"/>
  <c r="AT71" i="5"/>
  <c r="AT70" i="5"/>
  <c r="AT69" i="5"/>
  <c r="AT68" i="5"/>
  <c r="AT67" i="5"/>
  <c r="AT66" i="5"/>
  <c r="AT65" i="5"/>
  <c r="AT64" i="5"/>
  <c r="AT63" i="5"/>
  <c r="AT62" i="5"/>
  <c r="AT61" i="5"/>
  <c r="AT60" i="5"/>
  <c r="AT59" i="5"/>
  <c r="AT58" i="5"/>
  <c r="AT57" i="5"/>
  <c r="AT56" i="5"/>
  <c r="AT55" i="5"/>
  <c r="AT54" i="5"/>
  <c r="AT53" i="5"/>
  <c r="AT52" i="5"/>
  <c r="AT51" i="5"/>
  <c r="AT50" i="5"/>
  <c r="AT49" i="5"/>
  <c r="AT48" i="5"/>
  <c r="AT47" i="5"/>
  <c r="AT46" i="5"/>
  <c r="AT45" i="5"/>
  <c r="AT44" i="5"/>
  <c r="AT43" i="5"/>
  <c r="AT42" i="5"/>
  <c r="AT41" i="5"/>
  <c r="AT40" i="5"/>
  <c r="AT39" i="5"/>
  <c r="AT38" i="5"/>
  <c r="AT37" i="5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Q176" i="5"/>
  <c r="AQ175" i="5"/>
  <c r="AQ174" i="5"/>
  <c r="AQ173" i="5"/>
  <c r="AQ172" i="5"/>
  <c r="AQ171" i="5"/>
  <c r="AQ170" i="5"/>
  <c r="AQ169" i="5"/>
  <c r="AQ168" i="5"/>
  <c r="AQ167" i="5"/>
  <c r="AQ166" i="5"/>
  <c r="AQ165" i="5"/>
  <c r="AQ164" i="5"/>
  <c r="AQ163" i="5"/>
  <c r="AQ162" i="5"/>
  <c r="AQ161" i="5"/>
  <c r="AQ160" i="5"/>
  <c r="AQ159" i="5"/>
  <c r="AQ158" i="5"/>
  <c r="AQ157" i="5"/>
  <c r="AQ156" i="5"/>
  <c r="AQ155" i="5"/>
  <c r="AQ154" i="5"/>
  <c r="AQ153" i="5"/>
  <c r="AQ152" i="5"/>
  <c r="AQ151" i="5"/>
  <c r="AQ150" i="5"/>
  <c r="AQ149" i="5"/>
  <c r="AQ148" i="5"/>
  <c r="AQ147" i="5"/>
  <c r="AQ146" i="5"/>
  <c r="AQ145" i="5"/>
  <c r="AQ144" i="5"/>
  <c r="AQ143" i="5"/>
  <c r="AQ142" i="5"/>
  <c r="AQ141" i="5"/>
  <c r="AQ140" i="5"/>
  <c r="AQ139" i="5"/>
  <c r="AQ138" i="5"/>
  <c r="AQ137" i="5"/>
  <c r="AQ136" i="5"/>
  <c r="AQ135" i="5"/>
  <c r="AQ134" i="5"/>
  <c r="AQ133" i="5"/>
  <c r="AQ132" i="5"/>
  <c r="AQ131" i="5"/>
  <c r="AQ130" i="5"/>
  <c r="AQ129" i="5"/>
  <c r="AQ128" i="5"/>
  <c r="AQ127" i="5"/>
  <c r="AQ126" i="5"/>
  <c r="AQ125" i="5"/>
  <c r="AQ124" i="5"/>
  <c r="AQ123" i="5"/>
  <c r="AQ122" i="5"/>
  <c r="AQ121" i="5"/>
  <c r="AQ120" i="5"/>
  <c r="AQ119" i="5"/>
  <c r="AQ118" i="5"/>
  <c r="AQ117" i="5"/>
  <c r="AQ116" i="5"/>
  <c r="AQ115" i="5"/>
  <c r="AQ114" i="5"/>
  <c r="AQ113" i="5"/>
  <c r="AQ112" i="5"/>
  <c r="AQ111" i="5"/>
  <c r="AQ110" i="5"/>
  <c r="AQ109" i="5"/>
  <c r="AQ108" i="5"/>
  <c r="AQ107" i="5"/>
  <c r="AQ106" i="5"/>
  <c r="AQ105" i="5"/>
  <c r="AQ104" i="5"/>
  <c r="AQ103" i="5"/>
  <c r="AQ102" i="5"/>
  <c r="AQ101" i="5"/>
  <c r="AQ100" i="5"/>
  <c r="AQ99" i="5"/>
  <c r="AQ98" i="5"/>
  <c r="AQ97" i="5"/>
  <c r="AQ96" i="5"/>
  <c r="AQ95" i="5"/>
  <c r="AQ94" i="5"/>
  <c r="AQ93" i="5"/>
  <c r="AQ92" i="5"/>
  <c r="AQ91" i="5"/>
  <c r="AQ90" i="5"/>
  <c r="AQ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Q9" i="5"/>
  <c r="AQ8" i="5"/>
  <c r="AQ7" i="5"/>
  <c r="AQ6" i="5"/>
  <c r="AQ5" i="5"/>
  <c r="AN176" i="5"/>
  <c r="AN175" i="5"/>
  <c r="AN174" i="5"/>
  <c r="AN173" i="5"/>
  <c r="AN172" i="5"/>
  <c r="AN171" i="5"/>
  <c r="AN170" i="5"/>
  <c r="AN169" i="5"/>
  <c r="AN168" i="5"/>
  <c r="AN167" i="5"/>
  <c r="AN166" i="5"/>
  <c r="AN165" i="5"/>
  <c r="AN164" i="5"/>
  <c r="AN163" i="5"/>
  <c r="AN162" i="5"/>
  <c r="AN161" i="5"/>
  <c r="AN160" i="5"/>
  <c r="AN159" i="5"/>
  <c r="AN158" i="5"/>
  <c r="AN157" i="5"/>
  <c r="AN156" i="5"/>
  <c r="AN155" i="5"/>
  <c r="AN154" i="5"/>
  <c r="AN153" i="5"/>
  <c r="AN152" i="5"/>
  <c r="AN151" i="5"/>
  <c r="AN150" i="5"/>
  <c r="AN149" i="5"/>
  <c r="AN148" i="5"/>
  <c r="AN147" i="5"/>
  <c r="AN146" i="5"/>
  <c r="AN145" i="5"/>
  <c r="AN144" i="5"/>
  <c r="AN143" i="5"/>
  <c r="AN142" i="5"/>
  <c r="AN141" i="5"/>
  <c r="AN140" i="5"/>
  <c r="AN139" i="5"/>
  <c r="AN138" i="5"/>
  <c r="AN137" i="5"/>
  <c r="AN136" i="5"/>
  <c r="AN135" i="5"/>
  <c r="AN134" i="5"/>
  <c r="AN133" i="5"/>
  <c r="AN132" i="5"/>
  <c r="AN131" i="5"/>
  <c r="AN130" i="5"/>
  <c r="AN129" i="5"/>
  <c r="AN128" i="5"/>
  <c r="AN127" i="5"/>
  <c r="AN126" i="5"/>
  <c r="AN125" i="5"/>
  <c r="AN124" i="5"/>
  <c r="AN123" i="5"/>
  <c r="AN122" i="5"/>
  <c r="AN121" i="5"/>
  <c r="AN120" i="5"/>
  <c r="AN119" i="5"/>
  <c r="AN118" i="5"/>
  <c r="AN117" i="5"/>
  <c r="AN116" i="5"/>
  <c r="AN115" i="5"/>
  <c r="AN114" i="5"/>
  <c r="AN113" i="5"/>
  <c r="AN112" i="5"/>
  <c r="AN111" i="5"/>
  <c r="AN110" i="5"/>
  <c r="AN109" i="5"/>
  <c r="AN108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6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K176" i="5"/>
  <c r="AK175" i="5"/>
  <c r="AK174" i="5"/>
  <c r="AK173" i="5"/>
  <c r="AK172" i="5"/>
  <c r="AK171" i="5"/>
  <c r="AK170" i="5"/>
  <c r="AK169" i="5"/>
  <c r="AK168" i="5"/>
  <c r="AK167" i="5"/>
  <c r="AK166" i="5"/>
  <c r="AK165" i="5"/>
  <c r="AK164" i="5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K139" i="5"/>
  <c r="AK138" i="5"/>
  <c r="AK137" i="5"/>
  <c r="AK136" i="5"/>
  <c r="AK135" i="5"/>
  <c r="AK134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5" i="5"/>
  <c r="AK114" i="5"/>
  <c r="AK113" i="5"/>
  <c r="AK112" i="5"/>
  <c r="AK111" i="5"/>
  <c r="AK110" i="5"/>
  <c r="AK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7" i="5"/>
  <c r="AK6" i="5"/>
  <c r="AK5" i="5"/>
  <c r="AH176" i="5"/>
  <c r="AH175" i="5"/>
  <c r="AH174" i="5"/>
  <c r="AH173" i="5"/>
  <c r="AH172" i="5"/>
  <c r="AH171" i="5"/>
  <c r="AH170" i="5"/>
  <c r="AH169" i="5"/>
  <c r="AH168" i="5"/>
  <c r="AH167" i="5"/>
  <c r="AH166" i="5"/>
  <c r="AH165" i="5"/>
  <c r="AH164" i="5"/>
  <c r="AH163" i="5"/>
  <c r="AH162" i="5"/>
  <c r="AH161" i="5"/>
  <c r="AH160" i="5"/>
  <c r="AH159" i="5"/>
  <c r="AH158" i="5"/>
  <c r="AH157" i="5"/>
  <c r="AH156" i="5"/>
  <c r="AH155" i="5"/>
  <c r="AH154" i="5"/>
  <c r="AH153" i="5"/>
  <c r="AH152" i="5"/>
  <c r="AH151" i="5"/>
  <c r="AH150" i="5"/>
  <c r="AH149" i="5"/>
  <c r="AH148" i="5"/>
  <c r="AH147" i="5"/>
  <c r="AH146" i="5"/>
  <c r="AH145" i="5"/>
  <c r="AH144" i="5"/>
  <c r="AH143" i="5"/>
  <c r="AH142" i="5"/>
  <c r="AH141" i="5"/>
  <c r="AH140" i="5"/>
  <c r="AH139" i="5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E176" i="5"/>
  <c r="AE175" i="5"/>
  <c r="AE174" i="5"/>
  <c r="AE173" i="5"/>
  <c r="AE172" i="5"/>
  <c r="AE171" i="5"/>
  <c r="AE170" i="5"/>
  <c r="AE169" i="5"/>
  <c r="AE168" i="5"/>
  <c r="AE167" i="5"/>
  <c r="AE166" i="5"/>
  <c r="AE165" i="5"/>
  <c r="AE164" i="5"/>
  <c r="AE163" i="5"/>
  <c r="AE162" i="5"/>
  <c r="AE161" i="5"/>
  <c r="AE160" i="5"/>
  <c r="AE159" i="5"/>
  <c r="AE158" i="5"/>
  <c r="AE157" i="5"/>
  <c r="AE156" i="5"/>
  <c r="AE155" i="5"/>
  <c r="AE154" i="5"/>
  <c r="AE153" i="5"/>
  <c r="AE152" i="5"/>
  <c r="AE151" i="5"/>
  <c r="AE150" i="5"/>
  <c r="AE149" i="5"/>
  <c r="AE148" i="5"/>
  <c r="AE147" i="5"/>
  <c r="AE146" i="5"/>
  <c r="AE145" i="5"/>
  <c r="AE144" i="5"/>
  <c r="AE143" i="5"/>
  <c r="AE142" i="5"/>
  <c r="AE141" i="5"/>
  <c r="AE140" i="5"/>
  <c r="AE139" i="5"/>
  <c r="AE138" i="5"/>
  <c r="AE137" i="5"/>
  <c r="AE136" i="5"/>
  <c r="AE135" i="5"/>
  <c r="AE134" i="5"/>
  <c r="AE133" i="5"/>
  <c r="AE132" i="5"/>
  <c r="AE131" i="5"/>
  <c r="AE130" i="5"/>
  <c r="AE129" i="5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6" i="5"/>
  <c r="AE115" i="5"/>
  <c r="AE114" i="5"/>
  <c r="AE113" i="5"/>
  <c r="AE112" i="5"/>
  <c r="AE111" i="5"/>
  <c r="AE110" i="5"/>
  <c r="AE109" i="5"/>
  <c r="AE108" i="5"/>
  <c r="AE107" i="5"/>
  <c r="AE106" i="5"/>
  <c r="AE105" i="5"/>
  <c r="AE104" i="5"/>
  <c r="AE103" i="5"/>
  <c r="AE102" i="5"/>
  <c r="AE101" i="5"/>
  <c r="AE100" i="5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6" i="5"/>
  <c r="AE85" i="5"/>
  <c r="AE84" i="5"/>
  <c r="AE83" i="5"/>
  <c r="AE82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B176" i="5"/>
  <c r="AB175" i="5"/>
  <c r="AB174" i="5"/>
  <c r="AB173" i="5"/>
  <c r="AB172" i="5"/>
  <c r="AB171" i="5"/>
  <c r="AB170" i="5"/>
  <c r="AB169" i="5"/>
  <c r="AB168" i="5"/>
  <c r="AB167" i="5"/>
  <c r="AB166" i="5"/>
  <c r="AB165" i="5"/>
  <c r="AB164" i="5"/>
  <c r="AB163" i="5"/>
  <c r="AB162" i="5"/>
  <c r="AB161" i="5"/>
  <c r="AB160" i="5"/>
  <c r="AB159" i="5"/>
  <c r="AB158" i="5"/>
  <c r="AB157" i="5"/>
  <c r="AB156" i="5"/>
  <c r="AB155" i="5"/>
  <c r="AB154" i="5"/>
  <c r="AB153" i="5"/>
  <c r="AB152" i="5"/>
  <c r="AB151" i="5"/>
  <c r="AB150" i="5"/>
  <c r="AB149" i="5"/>
  <c r="AB148" i="5"/>
  <c r="AB147" i="5"/>
  <c r="AB146" i="5"/>
  <c r="AB145" i="5"/>
  <c r="AB144" i="5"/>
  <c r="AB143" i="5"/>
  <c r="AB142" i="5"/>
  <c r="AB141" i="5"/>
  <c r="AB140" i="5"/>
  <c r="AB139" i="5"/>
  <c r="AB138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AB121" i="5"/>
  <c r="AB120" i="5"/>
  <c r="AB119" i="5"/>
  <c r="AB118" i="5"/>
  <c r="AB117" i="5"/>
  <c r="AB116" i="5"/>
  <c r="AB115" i="5"/>
  <c r="AB114" i="5"/>
  <c r="AB113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9" i="5"/>
  <c r="V8" i="5"/>
  <c r="V7" i="5"/>
  <c r="V6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Q91" i="26"/>
  <c r="J86" i="27"/>
  <c r="J66" i="27"/>
  <c r="J56" i="27"/>
  <c r="M51" i="27"/>
  <c r="J51" i="27"/>
  <c r="J8" i="27"/>
  <c r="M35" i="27"/>
  <c r="M66" i="27"/>
  <c r="M56" i="27"/>
  <c r="M8" i="27"/>
  <c r="J35" i="27"/>
  <c r="M60" i="27"/>
  <c r="M49" i="27"/>
  <c r="J49" i="27"/>
  <c r="J7" i="27"/>
  <c r="K8" i="27"/>
  <c r="J12" i="27"/>
  <c r="K51" i="27"/>
  <c r="K7" i="27"/>
  <c r="K86" i="27"/>
  <c r="K66" i="27"/>
  <c r="J60" i="27"/>
  <c r="K56" i="27"/>
  <c r="K49" i="27"/>
  <c r="J40" i="27"/>
  <c r="M7" i="27"/>
  <c r="M12" i="27"/>
  <c r="K35" i="27"/>
  <c r="M40" i="27"/>
  <c r="M86" i="27"/>
  <c r="K60" i="27"/>
  <c r="K40" i="27"/>
  <c r="K12" i="27"/>
  <c r="M88" i="27"/>
  <c r="M95" i="27"/>
  <c r="M87" i="27"/>
  <c r="M90" i="27"/>
  <c r="M91" i="27"/>
  <c r="M100" i="27"/>
  <c r="M101" i="27"/>
  <c r="M99" i="27"/>
  <c r="M93" i="27"/>
  <c r="M94" i="27"/>
  <c r="M98" i="27"/>
  <c r="M97" i="27"/>
  <c r="M92" i="27"/>
  <c r="M73" i="27"/>
  <c r="M76" i="27"/>
  <c r="M74" i="27"/>
  <c r="M71" i="27"/>
  <c r="M75" i="27"/>
  <c r="M68" i="27"/>
  <c r="M79" i="27"/>
  <c r="M72" i="27"/>
  <c r="M69" i="27"/>
  <c r="M80" i="27"/>
  <c r="M78" i="27"/>
  <c r="M81" i="27"/>
  <c r="M85" i="27"/>
  <c r="M67" i="27"/>
  <c r="M84" i="27"/>
  <c r="M83" i="27"/>
  <c r="M77" i="27"/>
  <c r="M65" i="27"/>
  <c r="M61" i="27"/>
  <c r="M62" i="27"/>
  <c r="M63" i="27"/>
  <c r="M59" i="27"/>
  <c r="M58" i="27"/>
  <c r="M55" i="27"/>
  <c r="M52" i="27"/>
  <c r="M53" i="27"/>
  <c r="M43" i="27"/>
  <c r="M48" i="27"/>
  <c r="M41" i="27"/>
  <c r="M46" i="27"/>
  <c r="M42" i="27"/>
  <c r="M44" i="27"/>
  <c r="M37" i="27"/>
  <c r="M36" i="27"/>
  <c r="M38" i="27"/>
  <c r="M18" i="27"/>
  <c r="M29" i="27"/>
  <c r="M26" i="27"/>
  <c r="M20" i="27"/>
  <c r="M31" i="27"/>
  <c r="M21" i="27"/>
  <c r="M25" i="27"/>
  <c r="M14" i="27"/>
  <c r="M33" i="27"/>
  <c r="M16" i="27"/>
  <c r="M17" i="27"/>
  <c r="M23" i="27"/>
  <c r="M24" i="27"/>
  <c r="M32" i="27"/>
  <c r="M27" i="27"/>
  <c r="M30" i="27"/>
  <c r="M19" i="27"/>
  <c r="M9" i="27"/>
  <c r="M10" i="27"/>
  <c r="M6" i="27"/>
  <c r="AC102" i="26" l="1"/>
  <c r="AD102" i="26" s="1"/>
  <c r="Y102" i="26"/>
  <c r="U102" i="26"/>
  <c r="Q102" i="26"/>
  <c r="AD101" i="26"/>
  <c r="AB101" i="26"/>
  <c r="Y101" i="26"/>
  <c r="X101" i="26"/>
  <c r="U101" i="26"/>
  <c r="T101" i="26"/>
  <c r="AC101" i="26" s="1"/>
  <c r="Q101" i="26"/>
  <c r="P101" i="26"/>
  <c r="AB100" i="26"/>
  <c r="X100" i="26"/>
  <c r="Y100" i="26" s="1"/>
  <c r="T100" i="26"/>
  <c r="P100" i="26"/>
  <c r="Q100" i="26" s="1"/>
  <c r="AB99" i="26"/>
  <c r="X99" i="26"/>
  <c r="Y99" i="26" s="1"/>
  <c r="T99" i="26"/>
  <c r="P99" i="26"/>
  <c r="Q99" i="26" s="1"/>
  <c r="AD98" i="26"/>
  <c r="AB98" i="26"/>
  <c r="Y98" i="26"/>
  <c r="X98" i="26"/>
  <c r="U98" i="26"/>
  <c r="T98" i="26"/>
  <c r="AC98" i="26" s="1"/>
  <c r="Q98" i="26"/>
  <c r="P98" i="26"/>
  <c r="AD97" i="26"/>
  <c r="AB97" i="26"/>
  <c r="Y97" i="26"/>
  <c r="X97" i="26"/>
  <c r="U97" i="26"/>
  <c r="T97" i="26"/>
  <c r="AC97" i="26" s="1"/>
  <c r="Q97" i="26"/>
  <c r="P97" i="26"/>
  <c r="AB95" i="26"/>
  <c r="AB96" i="26" s="1"/>
  <c r="X95" i="26"/>
  <c r="Y95" i="26" s="1"/>
  <c r="T95" i="26"/>
  <c r="T96" i="26" s="1"/>
  <c r="P95" i="26"/>
  <c r="Q95" i="26" s="1"/>
  <c r="AB94" i="26"/>
  <c r="X94" i="26"/>
  <c r="Y94" i="26" s="1"/>
  <c r="T94" i="26"/>
  <c r="P94" i="26"/>
  <c r="Q94" i="26" s="1"/>
  <c r="AF93" i="26"/>
  <c r="AE93" i="26"/>
  <c r="AB93" i="26"/>
  <c r="X93" i="26"/>
  <c r="Z93" i="26" s="1"/>
  <c r="T93" i="26"/>
  <c r="U93" i="26" s="1"/>
  <c r="R93" i="26"/>
  <c r="Q93" i="26"/>
  <c r="AF92" i="26"/>
  <c r="AE92" i="26"/>
  <c r="AB92" i="26"/>
  <c r="X92" i="26"/>
  <c r="Z92" i="26" s="1"/>
  <c r="T92" i="26"/>
  <c r="R92" i="26"/>
  <c r="Q92" i="26"/>
  <c r="AC91" i="26"/>
  <c r="AD91" i="26" s="1"/>
  <c r="Y91" i="26"/>
  <c r="U91" i="26"/>
  <c r="AC90" i="26"/>
  <c r="AD90" i="26" s="1"/>
  <c r="Y90" i="26"/>
  <c r="U90" i="26"/>
  <c r="Q90" i="26"/>
  <c r="AC89" i="26"/>
  <c r="AD89" i="26" s="1"/>
  <c r="Y89" i="26"/>
  <c r="U89" i="26"/>
  <c r="Q89" i="26"/>
  <c r="AD88" i="26"/>
  <c r="AC88" i="26"/>
  <c r="Y88" i="26"/>
  <c r="U88" i="26"/>
  <c r="Q88" i="26"/>
  <c r="AC87" i="26"/>
  <c r="AD87" i="26" s="1"/>
  <c r="Y87" i="26"/>
  <c r="U87" i="26"/>
  <c r="Q87" i="26"/>
  <c r="AD86" i="26"/>
  <c r="AC86" i="26"/>
  <c r="Y86" i="26"/>
  <c r="U86" i="26"/>
  <c r="Q86" i="26"/>
  <c r="AC85" i="26"/>
  <c r="AD85" i="26" s="1"/>
  <c r="Y85" i="26"/>
  <c r="U85" i="26"/>
  <c r="Q85" i="26"/>
  <c r="AC84" i="26"/>
  <c r="AD84" i="26" s="1"/>
  <c r="Y84" i="26"/>
  <c r="U84" i="26"/>
  <c r="Q84" i="26"/>
  <c r="AC83" i="26"/>
  <c r="AD83" i="26" s="1"/>
  <c r="Y83" i="26"/>
  <c r="U83" i="26"/>
  <c r="Q83" i="26"/>
  <c r="AD82" i="26"/>
  <c r="AC82" i="26"/>
  <c r="Y82" i="26"/>
  <c r="U82" i="26"/>
  <c r="Q82" i="26"/>
  <c r="AC81" i="26"/>
  <c r="AD81" i="26" s="1"/>
  <c r="Y81" i="26"/>
  <c r="U81" i="26"/>
  <c r="Q81" i="26"/>
  <c r="X80" i="26"/>
  <c r="Y80" i="26" s="1"/>
  <c r="T80" i="26"/>
  <c r="AC80" i="26" s="1"/>
  <c r="AD80" i="26" s="1"/>
  <c r="P80" i="26"/>
  <c r="Q80" i="26" s="1"/>
  <c r="X79" i="26"/>
  <c r="Z79" i="26" s="1"/>
  <c r="T79" i="26"/>
  <c r="P79" i="26"/>
  <c r="R79" i="26" s="1"/>
  <c r="AC78" i="26"/>
  <c r="AD78" i="26" s="1"/>
  <c r="X78" i="26"/>
  <c r="Y78" i="26" s="1"/>
  <c r="U78" i="26"/>
  <c r="P78" i="26"/>
  <c r="Q78" i="26" s="1"/>
  <c r="AB77" i="26"/>
  <c r="X77" i="26"/>
  <c r="Y77" i="26" s="1"/>
  <c r="T77" i="26"/>
  <c r="Q77" i="26"/>
  <c r="P77" i="26"/>
  <c r="X76" i="26"/>
  <c r="Y76" i="26" s="1"/>
  <c r="T76" i="26"/>
  <c r="U76" i="26" s="1"/>
  <c r="P76" i="26"/>
  <c r="Q76" i="26" s="1"/>
  <c r="AC75" i="26"/>
  <c r="AD75" i="26" s="1"/>
  <c r="X75" i="26"/>
  <c r="Y75" i="26" s="1"/>
  <c r="U75" i="26"/>
  <c r="P75" i="26"/>
  <c r="Q75" i="26" s="1"/>
  <c r="AF74" i="26"/>
  <c r="AE74" i="26"/>
  <c r="AB74" i="26"/>
  <c r="X74" i="26"/>
  <c r="Y74" i="26" s="1"/>
  <c r="T74" i="26"/>
  <c r="P74" i="26"/>
  <c r="Q74" i="26" s="1"/>
  <c r="AF73" i="26"/>
  <c r="AE73" i="26"/>
  <c r="AB73" i="26"/>
  <c r="X73" i="26"/>
  <c r="Y73" i="26" s="1"/>
  <c r="U73" i="26"/>
  <c r="T73" i="26"/>
  <c r="AC73" i="26" s="1"/>
  <c r="AD73" i="26" s="1"/>
  <c r="P73" i="26"/>
  <c r="Q73" i="26" s="1"/>
  <c r="AF72" i="26"/>
  <c r="AE72" i="26"/>
  <c r="AB72" i="26"/>
  <c r="X72" i="26"/>
  <c r="Y72" i="26" s="1"/>
  <c r="T72" i="26"/>
  <c r="Q72" i="26"/>
  <c r="P72" i="26"/>
  <c r="AF71" i="26"/>
  <c r="AE71" i="26"/>
  <c r="AB71" i="26"/>
  <c r="X71" i="26"/>
  <c r="Y71" i="26" s="1"/>
  <c r="T71" i="26"/>
  <c r="P71" i="26"/>
  <c r="Q71" i="26" s="1"/>
  <c r="AF70" i="26"/>
  <c r="AE70" i="26"/>
  <c r="AB70" i="26"/>
  <c r="X70" i="26"/>
  <c r="Y70" i="26" s="1"/>
  <c r="T70" i="26"/>
  <c r="P70" i="26"/>
  <c r="Q70" i="26" s="1"/>
  <c r="AF69" i="26"/>
  <c r="AE69" i="26"/>
  <c r="AB69" i="26"/>
  <c r="X69" i="26"/>
  <c r="Y69" i="26" s="1"/>
  <c r="T69" i="26"/>
  <c r="U69" i="26" s="1"/>
  <c r="P69" i="26"/>
  <c r="Q69" i="26" s="1"/>
  <c r="AF68" i="26"/>
  <c r="AE68" i="26"/>
  <c r="AB68" i="26"/>
  <c r="X68" i="26"/>
  <c r="Y68" i="26" s="1"/>
  <c r="T68" i="26"/>
  <c r="Q68" i="26"/>
  <c r="P68" i="26"/>
  <c r="AF67" i="26"/>
  <c r="AE67" i="26"/>
  <c r="AB67" i="26"/>
  <c r="X67" i="26"/>
  <c r="Y67" i="26" s="1"/>
  <c r="T67" i="26"/>
  <c r="P67" i="26"/>
  <c r="Q67" i="26" s="1"/>
  <c r="AF66" i="26"/>
  <c r="AE66" i="26"/>
  <c r="AB66" i="26"/>
  <c r="X66" i="26"/>
  <c r="Y66" i="26" s="1"/>
  <c r="T66" i="26"/>
  <c r="P66" i="26"/>
  <c r="Q66" i="26" s="1"/>
  <c r="AF65" i="26"/>
  <c r="AE65" i="26"/>
  <c r="AB65" i="26"/>
  <c r="X65" i="26"/>
  <c r="Y65" i="26" s="1"/>
  <c r="U65" i="26"/>
  <c r="T65" i="26"/>
  <c r="AC65" i="26" s="1"/>
  <c r="AD65" i="26" s="1"/>
  <c r="P65" i="26"/>
  <c r="Q65" i="26" s="1"/>
  <c r="AF64" i="26"/>
  <c r="AE64" i="26"/>
  <c r="AB64" i="26"/>
  <c r="X64" i="26"/>
  <c r="Y64" i="26" s="1"/>
  <c r="T64" i="26"/>
  <c r="Q64" i="26"/>
  <c r="P64" i="26"/>
  <c r="AF63" i="26"/>
  <c r="AE63" i="26"/>
  <c r="AB63" i="26"/>
  <c r="X63" i="26"/>
  <c r="Y63" i="26" s="1"/>
  <c r="U63" i="26"/>
  <c r="T63" i="26"/>
  <c r="P63" i="26"/>
  <c r="Q63" i="26" s="1"/>
  <c r="AF62" i="26"/>
  <c r="AE62" i="26"/>
  <c r="AB62" i="26"/>
  <c r="X62" i="26"/>
  <c r="Y62" i="26" s="1"/>
  <c r="T62" i="26"/>
  <c r="Q62" i="26"/>
  <c r="P62" i="26"/>
  <c r="AF61" i="26"/>
  <c r="AE61" i="26"/>
  <c r="AB61" i="26"/>
  <c r="X61" i="26"/>
  <c r="Y61" i="26" s="1"/>
  <c r="U61" i="26"/>
  <c r="T61" i="26"/>
  <c r="AC61" i="26" s="1"/>
  <c r="AD61" i="26" s="1"/>
  <c r="P61" i="26"/>
  <c r="Q61" i="26" s="1"/>
  <c r="AF60" i="26"/>
  <c r="AE60" i="26"/>
  <c r="AB60" i="26"/>
  <c r="X60" i="26"/>
  <c r="Y60" i="26" s="1"/>
  <c r="T60" i="26"/>
  <c r="Q60" i="26"/>
  <c r="P60" i="26"/>
  <c r="AF59" i="26"/>
  <c r="AE59" i="26"/>
  <c r="AB59" i="26"/>
  <c r="AC59" i="26" s="1"/>
  <c r="AD59" i="26" s="1"/>
  <c r="X59" i="26"/>
  <c r="Y59" i="26" s="1"/>
  <c r="U59" i="26"/>
  <c r="T59" i="26"/>
  <c r="V59" i="26" s="1"/>
  <c r="P59" i="26"/>
  <c r="R59" i="26" s="1"/>
  <c r="AF58" i="26"/>
  <c r="AE58" i="26"/>
  <c r="AB58" i="26"/>
  <c r="X58" i="26"/>
  <c r="Y58" i="26" s="1"/>
  <c r="T58" i="26"/>
  <c r="AC58" i="26" s="1"/>
  <c r="AD58" i="26" s="1"/>
  <c r="P58" i="26"/>
  <c r="Q58" i="26" s="1"/>
  <c r="AF57" i="26"/>
  <c r="AE57" i="26"/>
  <c r="AB57" i="26"/>
  <c r="X57" i="26"/>
  <c r="Y57" i="26" s="1"/>
  <c r="T57" i="26"/>
  <c r="P57" i="26"/>
  <c r="Q57" i="26" s="1"/>
  <c r="AF56" i="26"/>
  <c r="AE56" i="26"/>
  <c r="AB56" i="26"/>
  <c r="X56" i="26"/>
  <c r="Y56" i="26" s="1"/>
  <c r="V56" i="26"/>
  <c r="U56" i="26"/>
  <c r="T56" i="26"/>
  <c r="P56" i="26"/>
  <c r="AF55" i="26"/>
  <c r="AE55" i="26"/>
  <c r="AB55" i="26"/>
  <c r="X55" i="26"/>
  <c r="Y55" i="26" s="1"/>
  <c r="T55" i="26"/>
  <c r="U55" i="26" s="1"/>
  <c r="P55" i="26"/>
  <c r="Q55" i="26" s="1"/>
  <c r="AF54" i="26"/>
  <c r="AE54" i="26"/>
  <c r="AB54" i="26"/>
  <c r="AC54" i="26" s="1"/>
  <c r="AD54" i="26" s="1"/>
  <c r="Y54" i="26"/>
  <c r="X54" i="26"/>
  <c r="U54" i="26"/>
  <c r="P54" i="26"/>
  <c r="Q54" i="26" s="1"/>
  <c r="AF53" i="26"/>
  <c r="AE53" i="26"/>
  <c r="AB53" i="26"/>
  <c r="X53" i="26"/>
  <c r="Y53" i="26" s="1"/>
  <c r="T53" i="26"/>
  <c r="P53" i="26"/>
  <c r="Q53" i="26" s="1"/>
  <c r="AF52" i="26"/>
  <c r="AE52" i="26"/>
  <c r="AB52" i="26"/>
  <c r="X52" i="26"/>
  <c r="U52" i="26"/>
  <c r="T52" i="26"/>
  <c r="V52" i="26" s="1"/>
  <c r="R52" i="26"/>
  <c r="Q52" i="26"/>
  <c r="AF51" i="26"/>
  <c r="AE51" i="26"/>
  <c r="AB51" i="26"/>
  <c r="X51" i="26"/>
  <c r="Z51" i="26" s="1"/>
  <c r="T51" i="26"/>
  <c r="V51" i="26" s="1"/>
  <c r="P51" i="26"/>
  <c r="Q51" i="26" s="1"/>
  <c r="AF50" i="26"/>
  <c r="AE50" i="26"/>
  <c r="AB50" i="26"/>
  <c r="X50" i="26"/>
  <c r="Y50" i="26" s="1"/>
  <c r="T50" i="26"/>
  <c r="P50" i="26"/>
  <c r="Q50" i="26" s="1"/>
  <c r="AF49" i="26"/>
  <c r="AE49" i="26"/>
  <c r="AB49" i="26"/>
  <c r="X49" i="26"/>
  <c r="Y49" i="26" s="1"/>
  <c r="T49" i="26"/>
  <c r="U49" i="26" s="1"/>
  <c r="P49" i="26"/>
  <c r="Q49" i="26" s="1"/>
  <c r="AF48" i="26"/>
  <c r="AE48" i="26"/>
  <c r="AB48" i="26"/>
  <c r="X48" i="26"/>
  <c r="Y48" i="26" s="1"/>
  <c r="T48" i="26"/>
  <c r="P48" i="26"/>
  <c r="Q48" i="26" s="1"/>
  <c r="AF47" i="26"/>
  <c r="AE47" i="26"/>
  <c r="AB47" i="26"/>
  <c r="Z47" i="26"/>
  <c r="X47" i="26"/>
  <c r="Y47" i="26" s="1"/>
  <c r="T47" i="26"/>
  <c r="U47" i="26" s="1"/>
  <c r="P47" i="26"/>
  <c r="R47" i="26" s="1"/>
  <c r="AF46" i="26"/>
  <c r="AE46" i="26"/>
  <c r="AB46" i="26"/>
  <c r="X46" i="26"/>
  <c r="Z46" i="26" s="1"/>
  <c r="T46" i="26"/>
  <c r="U46" i="26" s="1"/>
  <c r="P46" i="26"/>
  <c r="Q46" i="26" s="1"/>
  <c r="AF45" i="26"/>
  <c r="AE45" i="26"/>
  <c r="AB45" i="26"/>
  <c r="X45" i="26"/>
  <c r="Y45" i="26" s="1"/>
  <c r="T45" i="26"/>
  <c r="AC45" i="26" s="1"/>
  <c r="AD45" i="26" s="1"/>
  <c r="P45" i="26"/>
  <c r="Q45" i="26" s="1"/>
  <c r="Z44" i="26"/>
  <c r="Y44" i="26"/>
  <c r="T44" i="26"/>
  <c r="AC44" i="26" s="1"/>
  <c r="AD44" i="26" s="1"/>
  <c r="R44" i="26"/>
  <c r="Q44" i="26"/>
  <c r="AF43" i="26"/>
  <c r="AE43" i="26"/>
  <c r="AB43" i="26"/>
  <c r="Y43" i="26"/>
  <c r="U43" i="26"/>
  <c r="T43" i="26"/>
  <c r="P43" i="26"/>
  <c r="Q43" i="26" s="1"/>
  <c r="AF42" i="26"/>
  <c r="AE42" i="26"/>
  <c r="AB42" i="26"/>
  <c r="Y42" i="26"/>
  <c r="U42" i="26"/>
  <c r="T42" i="26"/>
  <c r="AC42" i="26" s="1"/>
  <c r="AD42" i="26" s="1"/>
  <c r="P42" i="26"/>
  <c r="Q42" i="26" s="1"/>
  <c r="AF41" i="26"/>
  <c r="AE41" i="26"/>
  <c r="AB41" i="26"/>
  <c r="Y41" i="26"/>
  <c r="U41" i="26"/>
  <c r="T41" i="26"/>
  <c r="AC41" i="26" s="1"/>
  <c r="AD41" i="26" s="1"/>
  <c r="P41" i="26"/>
  <c r="Q41" i="26" s="1"/>
  <c r="AF40" i="26"/>
  <c r="AE40" i="26"/>
  <c r="AB40" i="26"/>
  <c r="Y40" i="26"/>
  <c r="U40" i="26"/>
  <c r="T40" i="26"/>
  <c r="AC40" i="26" s="1"/>
  <c r="AD40" i="26" s="1"/>
  <c r="P40" i="26"/>
  <c r="Q40" i="26" s="1"/>
  <c r="AF39" i="26"/>
  <c r="AE39" i="26"/>
  <c r="AB39" i="26"/>
  <c r="Y39" i="26"/>
  <c r="U39" i="26"/>
  <c r="T39" i="26"/>
  <c r="AC39" i="26" s="1"/>
  <c r="AD39" i="26" s="1"/>
  <c r="P39" i="26"/>
  <c r="Q39" i="26" s="1"/>
  <c r="AF38" i="26"/>
  <c r="AE38" i="26"/>
  <c r="AB38" i="26"/>
  <c r="X38" i="26"/>
  <c r="Y38" i="26" s="1"/>
  <c r="W38" i="26"/>
  <c r="U38" i="26"/>
  <c r="T38" i="26"/>
  <c r="S38" i="26"/>
  <c r="P38" i="26"/>
  <c r="Q38" i="26" s="1"/>
  <c r="AF37" i="26"/>
  <c r="AE37" i="26"/>
  <c r="AB37" i="26"/>
  <c r="Z37" i="26"/>
  <c r="Y37" i="26"/>
  <c r="X37" i="26"/>
  <c r="T37" i="26"/>
  <c r="AC37" i="26" s="1"/>
  <c r="AD37" i="26" s="1"/>
  <c r="R37" i="26"/>
  <c r="Q37" i="26"/>
  <c r="AF36" i="26"/>
  <c r="AE36" i="26"/>
  <c r="AB36" i="26"/>
  <c r="Y36" i="26"/>
  <c r="X36" i="26"/>
  <c r="T36" i="26"/>
  <c r="U36" i="26" s="1"/>
  <c r="Q36" i="26"/>
  <c r="P36" i="26"/>
  <c r="AF35" i="26"/>
  <c r="AE35" i="26"/>
  <c r="AB35" i="26"/>
  <c r="X35" i="26"/>
  <c r="Y35" i="26" s="1"/>
  <c r="T35" i="26"/>
  <c r="P35" i="26"/>
  <c r="Q35" i="26" s="1"/>
  <c r="AF34" i="26"/>
  <c r="AE34" i="26"/>
  <c r="AB34" i="26"/>
  <c r="X34" i="26"/>
  <c r="Y34" i="26" s="1"/>
  <c r="V34" i="26"/>
  <c r="U34" i="26"/>
  <c r="T34" i="26"/>
  <c r="P34" i="26"/>
  <c r="R34" i="26" s="1"/>
  <c r="AF33" i="26"/>
  <c r="AE33" i="26"/>
  <c r="AB33" i="26"/>
  <c r="X33" i="26"/>
  <c r="Y33" i="26" s="1"/>
  <c r="U33" i="26"/>
  <c r="T33" i="26"/>
  <c r="AC33" i="26" s="1"/>
  <c r="AD33" i="26" s="1"/>
  <c r="P33" i="26"/>
  <c r="Q33" i="26" s="1"/>
  <c r="AF32" i="26"/>
  <c r="AE32" i="26"/>
  <c r="AB32" i="26"/>
  <c r="X32" i="26"/>
  <c r="Y32" i="26" s="1"/>
  <c r="T32" i="26"/>
  <c r="U32" i="26" s="1"/>
  <c r="P32" i="26"/>
  <c r="Q32" i="26" s="1"/>
  <c r="AF31" i="26"/>
  <c r="AE31" i="26"/>
  <c r="AB31" i="26"/>
  <c r="Y31" i="26"/>
  <c r="X31" i="26"/>
  <c r="T31" i="26"/>
  <c r="P31" i="26"/>
  <c r="Q31" i="26" s="1"/>
  <c r="AF30" i="26"/>
  <c r="AE30" i="26"/>
  <c r="AB30" i="26"/>
  <c r="X30" i="26"/>
  <c r="Y30" i="26" s="1"/>
  <c r="T30" i="26"/>
  <c r="P30" i="26"/>
  <c r="Q30" i="26" s="1"/>
  <c r="AF29" i="26"/>
  <c r="AE29" i="26"/>
  <c r="AB29" i="26"/>
  <c r="X29" i="26"/>
  <c r="Y29" i="26" s="1"/>
  <c r="T29" i="26"/>
  <c r="P29" i="26"/>
  <c r="Q29" i="26" s="1"/>
  <c r="AF28" i="26"/>
  <c r="AE28" i="26"/>
  <c r="AB28" i="26"/>
  <c r="Y28" i="26"/>
  <c r="T28" i="26"/>
  <c r="U28" i="26" s="1"/>
  <c r="P28" i="26"/>
  <c r="Q28" i="26" s="1"/>
  <c r="AF27" i="26"/>
  <c r="AE27" i="26"/>
  <c r="AB27" i="26"/>
  <c r="Y27" i="26"/>
  <c r="T27" i="26"/>
  <c r="U27" i="26" s="1"/>
  <c r="Q27" i="26"/>
  <c r="P27" i="26"/>
  <c r="AF26" i="26"/>
  <c r="AE26" i="26"/>
  <c r="AB26" i="26"/>
  <c r="Y26" i="26"/>
  <c r="T26" i="26"/>
  <c r="U26" i="26" s="1"/>
  <c r="P26" i="26"/>
  <c r="Q26" i="26" s="1"/>
  <c r="AF25" i="26"/>
  <c r="AE25" i="26"/>
  <c r="AB25" i="26"/>
  <c r="Y25" i="26"/>
  <c r="U25" i="26"/>
  <c r="T25" i="26"/>
  <c r="P25" i="26"/>
  <c r="Q25" i="26" s="1"/>
  <c r="AF24" i="26"/>
  <c r="AE24" i="26"/>
  <c r="AB24" i="26"/>
  <c r="X24" i="26"/>
  <c r="Y24" i="26" s="1"/>
  <c r="T24" i="26"/>
  <c r="P24" i="26"/>
  <c r="Q24" i="26" s="1"/>
  <c r="AF23" i="26"/>
  <c r="AE23" i="26"/>
  <c r="AB23" i="26"/>
  <c r="Y23" i="26"/>
  <c r="X23" i="26"/>
  <c r="T23" i="26"/>
  <c r="U23" i="26" s="1"/>
  <c r="P23" i="26"/>
  <c r="Q23" i="26" s="1"/>
  <c r="AF22" i="26"/>
  <c r="AE22" i="26"/>
  <c r="AB22" i="26"/>
  <c r="X22" i="26"/>
  <c r="Y22" i="26" s="1"/>
  <c r="T22" i="26"/>
  <c r="P22" i="26"/>
  <c r="Q22" i="26" s="1"/>
  <c r="AF21" i="26"/>
  <c r="AE21" i="26"/>
  <c r="AB21" i="26"/>
  <c r="X21" i="26"/>
  <c r="Y21" i="26" s="1"/>
  <c r="T21" i="26"/>
  <c r="AC21" i="26" s="1"/>
  <c r="AD21" i="26" s="1"/>
  <c r="P21" i="26"/>
  <c r="Q21" i="26" s="1"/>
  <c r="AF20" i="26"/>
  <c r="AE20" i="26"/>
  <c r="AB20" i="26"/>
  <c r="X20" i="26"/>
  <c r="Y20" i="26" s="1"/>
  <c r="T20" i="26"/>
  <c r="U20" i="26" s="1"/>
  <c r="P20" i="26"/>
  <c r="Q20" i="26" s="1"/>
  <c r="AF19" i="26"/>
  <c r="AE19" i="26"/>
  <c r="AB19" i="26"/>
  <c r="X19" i="26"/>
  <c r="Y19" i="26" s="1"/>
  <c r="T19" i="26"/>
  <c r="Q19" i="26"/>
  <c r="P19" i="26"/>
  <c r="AF18" i="26"/>
  <c r="AE18" i="26"/>
  <c r="AB18" i="26"/>
  <c r="X18" i="26"/>
  <c r="Y18" i="26" s="1"/>
  <c r="T18" i="26"/>
  <c r="P18" i="26"/>
  <c r="Q18" i="26" s="1"/>
  <c r="AF17" i="26"/>
  <c r="AE17" i="26"/>
  <c r="AB17" i="26"/>
  <c r="X17" i="26"/>
  <c r="Y17" i="26" s="1"/>
  <c r="T17" i="26"/>
  <c r="AC17" i="26" s="1"/>
  <c r="AD17" i="26" s="1"/>
  <c r="P17" i="26"/>
  <c r="Q17" i="26" s="1"/>
  <c r="AB16" i="26"/>
  <c r="X16" i="26"/>
  <c r="AA16" i="26" s="1"/>
  <c r="W16" i="26"/>
  <c r="T16" i="26"/>
  <c r="U16" i="26" s="1"/>
  <c r="S16" i="26"/>
  <c r="P16" i="26"/>
  <c r="Q16" i="26" s="1"/>
  <c r="AF15" i="26"/>
  <c r="AE15" i="26"/>
  <c r="AB15" i="26"/>
  <c r="X15" i="26"/>
  <c r="Y15" i="26" s="1"/>
  <c r="T15" i="26"/>
  <c r="P15" i="26"/>
  <c r="Q15" i="26" s="1"/>
  <c r="AF14" i="26"/>
  <c r="AE14" i="26"/>
  <c r="AC14" i="26"/>
  <c r="AD14" i="26" s="1"/>
  <c r="X14" i="26"/>
  <c r="Y14" i="26" s="1"/>
  <c r="U14" i="26"/>
  <c r="P14" i="26"/>
  <c r="Q14" i="26" s="1"/>
  <c r="AF13" i="26"/>
  <c r="AE13" i="26"/>
  <c r="AB13" i="26"/>
  <c r="X13" i="26"/>
  <c r="Z13" i="26" s="1"/>
  <c r="T13" i="26"/>
  <c r="U13" i="26" s="1"/>
  <c r="R13" i="26"/>
  <c r="P13" i="26"/>
  <c r="Q13" i="26" s="1"/>
  <c r="AF12" i="26"/>
  <c r="AE12" i="26"/>
  <c r="AC12" i="26"/>
  <c r="AD12" i="26" s="1"/>
  <c r="Z12" i="26"/>
  <c r="Y12" i="26"/>
  <c r="V12" i="26"/>
  <c r="U12" i="26"/>
  <c r="P12" i="26"/>
  <c r="R12" i="26" s="1"/>
  <c r="AF11" i="26"/>
  <c r="AE11" i="26"/>
  <c r="AB11" i="26"/>
  <c r="X11" i="26"/>
  <c r="Y11" i="26" s="1"/>
  <c r="T11" i="26"/>
  <c r="P11" i="26"/>
  <c r="Q11" i="26" s="1"/>
  <c r="D2" i="26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M336" i="3"/>
  <c r="L51" i="3"/>
  <c r="L50" i="3"/>
  <c r="L41" i="3"/>
  <c r="L40" i="3"/>
  <c r="L31" i="3"/>
  <c r="L22" i="3"/>
  <c r="L13" i="3"/>
  <c r="L4" i="3"/>
  <c r="L3" i="3"/>
  <c r="L2" i="3"/>
  <c r="AC19" i="26" l="1"/>
  <c r="AD19" i="26" s="1"/>
  <c r="U17" i="26"/>
  <c r="U21" i="26"/>
  <c r="AC24" i="26"/>
  <c r="AD24" i="26" s="1"/>
  <c r="AC28" i="26"/>
  <c r="AD28" i="26" s="1"/>
  <c r="AC29" i="26"/>
  <c r="AD29" i="26" s="1"/>
  <c r="AC31" i="26"/>
  <c r="AD31" i="26" s="1"/>
  <c r="R46" i="26"/>
  <c r="AC52" i="26"/>
  <c r="AD52" i="26" s="1"/>
  <c r="AC56" i="26"/>
  <c r="AD56" i="26" s="1"/>
  <c r="AC69" i="26"/>
  <c r="AD69" i="26" s="1"/>
  <c r="AC77" i="26"/>
  <c r="AD77" i="26" s="1"/>
  <c r="Y93" i="26"/>
  <c r="Q12" i="26"/>
  <c r="AC16" i="26"/>
  <c r="AD16" i="26" s="1"/>
  <c r="U29" i="26"/>
  <c r="AC34" i="26"/>
  <c r="AD34" i="26" s="1"/>
  <c r="Y46" i="26"/>
  <c r="AC51" i="26"/>
  <c r="AD51" i="26" s="1"/>
  <c r="AC53" i="26"/>
  <c r="AD53" i="26" s="1"/>
  <c r="Z56" i="26"/>
  <c r="U58" i="26"/>
  <c r="AC63" i="26"/>
  <c r="AD63" i="26" s="1"/>
  <c r="AC67" i="26"/>
  <c r="AD67" i="26" s="1"/>
  <c r="AC71" i="26"/>
  <c r="AD71" i="26" s="1"/>
  <c r="AC92" i="26"/>
  <c r="AD92" i="26" s="1"/>
  <c r="U67" i="26"/>
  <c r="U71" i="26"/>
  <c r="Q79" i="26"/>
  <c r="Y79" i="26"/>
  <c r="V93" i="26"/>
  <c r="AC94" i="26"/>
  <c r="AD94" i="26" s="1"/>
  <c r="AC99" i="26"/>
  <c r="AD99" i="26" s="1"/>
  <c r="AC100" i="26"/>
  <c r="AD100" i="26" s="1"/>
  <c r="Y13" i="26"/>
  <c r="AC43" i="26"/>
  <c r="AD43" i="26" s="1"/>
  <c r="Q47" i="26"/>
  <c r="Y51" i="26"/>
  <c r="Z59" i="26"/>
  <c r="Y92" i="26"/>
  <c r="AC11" i="26"/>
  <c r="AD11" i="26" s="1"/>
  <c r="U11" i="26"/>
  <c r="AC18" i="26"/>
  <c r="AD18" i="26" s="1"/>
  <c r="U18" i="26"/>
  <c r="AC23" i="26"/>
  <c r="AD23" i="26" s="1"/>
  <c r="U24" i="26"/>
  <c r="AC26" i="26"/>
  <c r="AD26" i="26" s="1"/>
  <c r="AC32" i="26"/>
  <c r="AD32" i="26" s="1"/>
  <c r="Q34" i="26"/>
  <c r="AC36" i="26"/>
  <c r="AD36" i="26" s="1"/>
  <c r="AC38" i="26"/>
  <c r="AD38" i="26" s="1"/>
  <c r="V13" i="26"/>
  <c r="AC13" i="26"/>
  <c r="AD13" i="26" s="1"/>
  <c r="Y16" i="26"/>
  <c r="AC20" i="26"/>
  <c r="AD20" i="26" s="1"/>
  <c r="AC25" i="26"/>
  <c r="AD25" i="26" s="1"/>
  <c r="AC27" i="26"/>
  <c r="AD27" i="26" s="1"/>
  <c r="U31" i="26"/>
  <c r="U37" i="26"/>
  <c r="U45" i="26"/>
  <c r="R51" i="26"/>
  <c r="U19" i="26"/>
  <c r="AC22" i="26"/>
  <c r="AD22" i="26" s="1"/>
  <c r="U22" i="26"/>
  <c r="Z34" i="26"/>
  <c r="AC35" i="26"/>
  <c r="AD35" i="26" s="1"/>
  <c r="U35" i="26"/>
  <c r="V37" i="26"/>
  <c r="AA38" i="26"/>
  <c r="R56" i="26"/>
  <c r="Q56" i="26"/>
  <c r="AC62" i="26"/>
  <c r="AD62" i="26" s="1"/>
  <c r="U62" i="26"/>
  <c r="AC66" i="26"/>
  <c r="AD66" i="26" s="1"/>
  <c r="U66" i="26"/>
  <c r="AC70" i="26"/>
  <c r="AD70" i="26" s="1"/>
  <c r="U70" i="26"/>
  <c r="AC74" i="26"/>
  <c r="AD74" i="26" s="1"/>
  <c r="U74" i="26"/>
  <c r="AC47" i="26"/>
  <c r="AD47" i="26" s="1"/>
  <c r="V47" i="26"/>
  <c r="AC49" i="26"/>
  <c r="AD49" i="26" s="1"/>
  <c r="Y52" i="26"/>
  <c r="Z52" i="26"/>
  <c r="AC30" i="26"/>
  <c r="AD30" i="26" s="1"/>
  <c r="U30" i="26"/>
  <c r="AC15" i="26"/>
  <c r="AD15" i="26" s="1"/>
  <c r="U15" i="26"/>
  <c r="V46" i="26"/>
  <c r="AC46" i="26"/>
  <c r="AD46" i="26" s="1"/>
  <c r="AC60" i="26"/>
  <c r="AD60" i="26" s="1"/>
  <c r="U60" i="26"/>
  <c r="AC64" i="26"/>
  <c r="AD64" i="26" s="1"/>
  <c r="U64" i="26"/>
  <c r="AC68" i="26"/>
  <c r="AD68" i="26" s="1"/>
  <c r="U68" i="26"/>
  <c r="AC72" i="26"/>
  <c r="AD72" i="26" s="1"/>
  <c r="U72" i="26"/>
  <c r="AC96" i="26"/>
  <c r="AD96" i="26" s="1"/>
  <c r="U96" i="26"/>
  <c r="AC48" i="26"/>
  <c r="AD48" i="26" s="1"/>
  <c r="U48" i="26"/>
  <c r="AC50" i="26"/>
  <c r="AD50" i="26" s="1"/>
  <c r="U50" i="26"/>
  <c r="AC55" i="26"/>
  <c r="AD55" i="26" s="1"/>
  <c r="U51" i="26"/>
  <c r="U53" i="26"/>
  <c r="Q59" i="26"/>
  <c r="AC57" i="26"/>
  <c r="AD57" i="26" s="1"/>
  <c r="U57" i="26"/>
  <c r="AC79" i="26"/>
  <c r="AD79" i="26" s="1"/>
  <c r="V79" i="26"/>
  <c r="U79" i="26"/>
  <c r="U80" i="26"/>
  <c r="U92" i="26"/>
  <c r="AC93" i="26"/>
  <c r="U94" i="26"/>
  <c r="U95" i="26"/>
  <c r="AC95" i="26"/>
  <c r="AD95" i="26" s="1"/>
  <c r="U99" i="26"/>
  <c r="U100" i="26"/>
  <c r="AC76" i="26"/>
  <c r="AD76" i="26" s="1"/>
  <c r="U77" i="26"/>
  <c r="V92" i="26"/>
  <c r="P96" i="26"/>
  <c r="Q96" i="26" s="1"/>
  <c r="X96" i="26"/>
  <c r="Y96" i="26" s="1"/>
  <c r="AD93" i="26" l="1"/>
  <c r="L335" i="3" l="1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H9" i="21"/>
  <c r="I9" i="21"/>
  <c r="K9" i="21"/>
  <c r="L9" i="21"/>
  <c r="N9" i="21"/>
  <c r="O9" i="21"/>
  <c r="Q9" i="21"/>
  <c r="R9" i="21"/>
  <c r="T9" i="21"/>
  <c r="U9" i="21"/>
  <c r="W9" i="21"/>
  <c r="X9" i="21"/>
  <c r="Z9" i="21"/>
  <c r="AA9" i="21"/>
  <c r="H10" i="21"/>
  <c r="I10" i="21"/>
  <c r="K10" i="21"/>
  <c r="L10" i="21"/>
  <c r="N10" i="21"/>
  <c r="O10" i="21"/>
  <c r="Q10" i="21"/>
  <c r="R10" i="21"/>
  <c r="T10" i="21"/>
  <c r="U10" i="21"/>
  <c r="W10" i="21"/>
  <c r="X10" i="21"/>
  <c r="Z10" i="21"/>
  <c r="AA10" i="21"/>
  <c r="H6" i="20"/>
  <c r="I6" i="20"/>
  <c r="K6" i="20"/>
  <c r="L6" i="20"/>
  <c r="N6" i="20"/>
  <c r="O6" i="20"/>
  <c r="Q6" i="20"/>
  <c r="R6" i="20"/>
  <c r="T6" i="20"/>
  <c r="U6" i="20"/>
  <c r="W6" i="20"/>
  <c r="X6" i="20"/>
  <c r="Z6" i="20"/>
  <c r="AA6" i="20"/>
  <c r="AC6" i="20"/>
  <c r="AD6" i="20"/>
  <c r="AF6" i="20"/>
  <c r="AG6" i="20"/>
  <c r="AI6" i="20"/>
  <c r="AJ6" i="20"/>
  <c r="AL6" i="20"/>
  <c r="AM6" i="20"/>
  <c r="AO6" i="20"/>
  <c r="AP6" i="20"/>
  <c r="AR6" i="20"/>
  <c r="AS6" i="20"/>
  <c r="AU6" i="20"/>
  <c r="AV6" i="20"/>
  <c r="AX6" i="20"/>
  <c r="AY6" i="20"/>
  <c r="BA6" i="20"/>
  <c r="BB6" i="20"/>
  <c r="BD6" i="20"/>
  <c r="BE6" i="20"/>
  <c r="H7" i="20"/>
  <c r="I7" i="20"/>
  <c r="J7" i="20"/>
  <c r="K7" i="20"/>
  <c r="L7" i="20"/>
  <c r="N7" i="20"/>
  <c r="O7" i="20"/>
  <c r="Q7" i="20"/>
  <c r="R7" i="20"/>
  <c r="T7" i="20"/>
  <c r="U7" i="20"/>
  <c r="V7" i="20"/>
  <c r="W7" i="20"/>
  <c r="X7" i="20"/>
  <c r="Z7" i="20"/>
  <c r="AA7" i="20"/>
  <c r="AC7" i="20"/>
  <c r="AD7" i="20"/>
  <c r="AF7" i="20"/>
  <c r="AG7" i="20"/>
  <c r="AH7" i="20"/>
  <c r="AI7" i="20"/>
  <c r="AJ7" i="20"/>
  <c r="AL7" i="20"/>
  <c r="AM7" i="20"/>
  <c r="AO7" i="20"/>
  <c r="AP7" i="20"/>
  <c r="AR7" i="20"/>
  <c r="AS7" i="20"/>
  <c r="AT7" i="20"/>
  <c r="AU7" i="20"/>
  <c r="AV7" i="20"/>
  <c r="AX7" i="20"/>
  <c r="AY7" i="20"/>
  <c r="BA7" i="20"/>
  <c r="BB7" i="20"/>
  <c r="BD7" i="20"/>
  <c r="BE7" i="20"/>
  <c r="BF6" i="20"/>
  <c r="M370" i="3" s="1"/>
  <c r="BF7" i="20"/>
  <c r="BC7" i="20"/>
  <c r="AZ7" i="20"/>
  <c r="AW6" i="20"/>
  <c r="M367" i="3" s="1"/>
  <c r="AT6" i="20"/>
  <c r="M366" i="3" s="1"/>
  <c r="AQ7" i="20"/>
  <c r="AN7" i="20"/>
  <c r="AK6" i="20"/>
  <c r="M363" i="3" s="1"/>
  <c r="AH6" i="20"/>
  <c r="M362" i="3" s="1"/>
  <c r="AE7" i="20"/>
  <c r="AB7" i="20"/>
  <c r="Y6" i="20"/>
  <c r="M359" i="3" s="1"/>
  <c r="V6" i="20"/>
  <c r="M358" i="3" s="1"/>
  <c r="S7" i="20"/>
  <c r="P7" i="20"/>
  <c r="M6" i="20"/>
  <c r="M355" i="3" s="1"/>
  <c r="J6" i="20"/>
  <c r="M354" i="3" s="1"/>
  <c r="I305" i="19"/>
  <c r="K305" i="19"/>
  <c r="L305" i="19"/>
  <c r="N305" i="19"/>
  <c r="O305" i="19"/>
  <c r="Q305" i="19"/>
  <c r="R305" i="19"/>
  <c r="T305" i="19"/>
  <c r="U305" i="19"/>
  <c r="W305" i="19"/>
  <c r="X305" i="19"/>
  <c r="Z305" i="19"/>
  <c r="AA305" i="19"/>
  <c r="AC305" i="19"/>
  <c r="AD305" i="19"/>
  <c r="AF305" i="19"/>
  <c r="AG305" i="19"/>
  <c r="AI305" i="19"/>
  <c r="AJ305" i="19"/>
  <c r="AL305" i="19"/>
  <c r="AM305" i="19"/>
  <c r="AO305" i="19"/>
  <c r="AP305" i="19"/>
  <c r="AR305" i="19"/>
  <c r="AS305" i="19"/>
  <c r="AU305" i="19"/>
  <c r="AV305" i="19"/>
  <c r="AX305" i="19"/>
  <c r="AY305" i="19"/>
  <c r="BA305" i="19"/>
  <c r="BB305" i="19"/>
  <c r="BD305" i="19"/>
  <c r="BE305" i="19"/>
  <c r="I306" i="19"/>
  <c r="K306" i="19"/>
  <c r="L306" i="19"/>
  <c r="N306" i="19"/>
  <c r="O306" i="19"/>
  <c r="Q306" i="19"/>
  <c r="R306" i="19"/>
  <c r="T306" i="19"/>
  <c r="U306" i="19"/>
  <c r="W306" i="19"/>
  <c r="X306" i="19"/>
  <c r="Z306" i="19"/>
  <c r="AA306" i="19"/>
  <c r="AC306" i="19"/>
  <c r="AD306" i="19"/>
  <c r="AF306" i="19"/>
  <c r="AG306" i="19"/>
  <c r="AI306" i="19"/>
  <c r="AJ306" i="19"/>
  <c r="AL306" i="19"/>
  <c r="AM306" i="19"/>
  <c r="AO306" i="19"/>
  <c r="AP306" i="19"/>
  <c r="AR306" i="19"/>
  <c r="AS306" i="19"/>
  <c r="AU306" i="19"/>
  <c r="AV306" i="19"/>
  <c r="AX306" i="19"/>
  <c r="AY306" i="19"/>
  <c r="BA306" i="19"/>
  <c r="BB306" i="19"/>
  <c r="BD306" i="19"/>
  <c r="BE306" i="19"/>
  <c r="H299" i="19"/>
  <c r="I299" i="19"/>
  <c r="K299" i="19"/>
  <c r="L299" i="19"/>
  <c r="N299" i="19"/>
  <c r="O299" i="19"/>
  <c r="Q299" i="19"/>
  <c r="R299" i="19"/>
  <c r="T299" i="19"/>
  <c r="U299" i="19"/>
  <c r="W299" i="19"/>
  <c r="X299" i="19"/>
  <c r="Z299" i="19"/>
  <c r="AA299" i="19"/>
  <c r="AC299" i="19"/>
  <c r="AD299" i="19"/>
  <c r="AF299" i="19"/>
  <c r="AG299" i="19"/>
  <c r="AI299" i="19"/>
  <c r="AJ299" i="19"/>
  <c r="AL299" i="19"/>
  <c r="AM299" i="19"/>
  <c r="AO299" i="19"/>
  <c r="AP299" i="19"/>
  <c r="AR299" i="19"/>
  <c r="AS299" i="19"/>
  <c r="AU299" i="19"/>
  <c r="AV299" i="19"/>
  <c r="AX299" i="19"/>
  <c r="AY299" i="19"/>
  <c r="BA299" i="19"/>
  <c r="BB299" i="19"/>
  <c r="BD299" i="19"/>
  <c r="BE299" i="19"/>
  <c r="H300" i="19"/>
  <c r="I300" i="19"/>
  <c r="K300" i="19"/>
  <c r="L300" i="19"/>
  <c r="N300" i="19"/>
  <c r="O300" i="19"/>
  <c r="Q300" i="19"/>
  <c r="R300" i="19"/>
  <c r="T300" i="19"/>
  <c r="U300" i="19"/>
  <c r="W300" i="19"/>
  <c r="X300" i="19"/>
  <c r="Z300" i="19"/>
  <c r="AA300" i="19"/>
  <c r="AC300" i="19"/>
  <c r="AD300" i="19"/>
  <c r="AF300" i="19"/>
  <c r="AG300" i="19"/>
  <c r="AI300" i="19"/>
  <c r="AJ300" i="19"/>
  <c r="AL300" i="19"/>
  <c r="AM300" i="19"/>
  <c r="AO300" i="19"/>
  <c r="AP300" i="19"/>
  <c r="AR300" i="19"/>
  <c r="AS300" i="19"/>
  <c r="AU300" i="19"/>
  <c r="AV300" i="19"/>
  <c r="AX300" i="19"/>
  <c r="AY300" i="19"/>
  <c r="BA300" i="19"/>
  <c r="BB300" i="19"/>
  <c r="BD300" i="19"/>
  <c r="BE300" i="19"/>
  <c r="BC305" i="19"/>
  <c r="AW306" i="19"/>
  <c r="AQ305" i="19"/>
  <c r="AK306" i="19"/>
  <c r="AE305" i="19"/>
  <c r="Y306" i="19"/>
  <c r="S305" i="19"/>
  <c r="M306" i="19"/>
  <c r="H6" i="18"/>
  <c r="I6" i="18"/>
  <c r="K6" i="18"/>
  <c r="L6" i="18"/>
  <c r="N6" i="18"/>
  <c r="O6" i="18"/>
  <c r="Q6" i="18"/>
  <c r="R6" i="18"/>
  <c r="T6" i="18"/>
  <c r="U6" i="18"/>
  <c r="W6" i="18"/>
  <c r="X6" i="18"/>
  <c r="Z6" i="18"/>
  <c r="AA6" i="18"/>
  <c r="AC6" i="18"/>
  <c r="AD6" i="18"/>
  <c r="AF6" i="18"/>
  <c r="AG6" i="18"/>
  <c r="AI6" i="18"/>
  <c r="AJ6" i="18"/>
  <c r="AL6" i="18"/>
  <c r="AM6" i="18"/>
  <c r="AO6" i="18"/>
  <c r="AP6" i="18"/>
  <c r="AR6" i="18"/>
  <c r="AS6" i="18"/>
  <c r="AU6" i="18"/>
  <c r="AV6" i="18"/>
  <c r="AX6" i="18"/>
  <c r="AY6" i="18"/>
  <c r="BA6" i="18"/>
  <c r="BB6" i="18"/>
  <c r="BD6" i="18"/>
  <c r="BE6" i="18"/>
  <c r="BG6" i="18"/>
  <c r="BH6" i="18"/>
  <c r="BJ6" i="18"/>
  <c r="BK6" i="18"/>
  <c r="H7" i="18"/>
  <c r="I7" i="18"/>
  <c r="K7" i="18"/>
  <c r="L7" i="18"/>
  <c r="N7" i="18"/>
  <c r="O7" i="18"/>
  <c r="Q7" i="18"/>
  <c r="R7" i="18"/>
  <c r="T7" i="18"/>
  <c r="U7" i="18"/>
  <c r="W7" i="18"/>
  <c r="X7" i="18"/>
  <c r="Z7" i="18"/>
  <c r="AA7" i="18"/>
  <c r="AC7" i="18"/>
  <c r="AD7" i="18"/>
  <c r="AF7" i="18"/>
  <c r="AG7" i="18"/>
  <c r="AI7" i="18"/>
  <c r="AJ7" i="18"/>
  <c r="AL7" i="18"/>
  <c r="AM7" i="18"/>
  <c r="AO7" i="18"/>
  <c r="AP7" i="18"/>
  <c r="AR7" i="18"/>
  <c r="AS7" i="18"/>
  <c r="AU7" i="18"/>
  <c r="AV7" i="18"/>
  <c r="AX7" i="18"/>
  <c r="AY7" i="18"/>
  <c r="BA7" i="18"/>
  <c r="BB7" i="18"/>
  <c r="BD7" i="18"/>
  <c r="BE7" i="18"/>
  <c r="BG7" i="18"/>
  <c r="BH7" i="18"/>
  <c r="BJ7" i="18"/>
  <c r="BK7" i="18"/>
  <c r="BL5" i="18"/>
  <c r="BL6" i="18" s="1"/>
  <c r="BI5" i="18"/>
  <c r="BI6" i="18" s="1"/>
  <c r="M335" i="3" s="1"/>
  <c r="BF5" i="18"/>
  <c r="BF6" i="18" s="1"/>
  <c r="M334" i="3" s="1"/>
  <c r="BC5" i="18"/>
  <c r="BC6" i="18" s="1"/>
  <c r="M333" i="3" s="1"/>
  <c r="AZ5" i="18"/>
  <c r="AZ6" i="18" s="1"/>
  <c r="M332" i="3" s="1"/>
  <c r="AW5" i="18"/>
  <c r="AW6" i="18" s="1"/>
  <c r="M331" i="3" s="1"/>
  <c r="AT5" i="18"/>
  <c r="AT6" i="18" s="1"/>
  <c r="M330" i="3" s="1"/>
  <c r="AQ5" i="18"/>
  <c r="AQ6" i="18" s="1"/>
  <c r="M329" i="3" s="1"/>
  <c r="AN5" i="18"/>
  <c r="AN6" i="18" s="1"/>
  <c r="M328" i="3" s="1"/>
  <c r="AK5" i="18"/>
  <c r="AK6" i="18" s="1"/>
  <c r="M327" i="3" s="1"/>
  <c r="AH5" i="18"/>
  <c r="AH7" i="18" s="1"/>
  <c r="AE5" i="18"/>
  <c r="AE6" i="18" s="1"/>
  <c r="M325" i="3" s="1"/>
  <c r="AB5" i="18"/>
  <c r="AB7" i="18" s="1"/>
  <c r="Y5" i="18"/>
  <c r="Y6" i="18" s="1"/>
  <c r="M323" i="3" s="1"/>
  <c r="V5" i="18"/>
  <c r="V6" i="18" s="1"/>
  <c r="M322" i="3" s="1"/>
  <c r="S5" i="18"/>
  <c r="S6" i="18" s="1"/>
  <c r="M321" i="3" s="1"/>
  <c r="P5" i="18"/>
  <c r="P6" i="18" s="1"/>
  <c r="M320" i="3" s="1"/>
  <c r="M5" i="18"/>
  <c r="M6" i="18" s="1"/>
  <c r="M319" i="3" s="1"/>
  <c r="J5" i="18"/>
  <c r="J6" i="18" s="1"/>
  <c r="M318" i="3" s="1"/>
  <c r="H6" i="17"/>
  <c r="I6" i="17"/>
  <c r="K6" i="17"/>
  <c r="L6" i="17"/>
  <c r="N6" i="17"/>
  <c r="O6" i="17"/>
  <c r="Q6" i="17"/>
  <c r="R6" i="17"/>
  <c r="T6" i="17"/>
  <c r="U6" i="17"/>
  <c r="H7" i="17"/>
  <c r="I7" i="17"/>
  <c r="K7" i="17"/>
  <c r="L7" i="17"/>
  <c r="N7" i="17"/>
  <c r="O7" i="17"/>
  <c r="Q7" i="17"/>
  <c r="R7" i="17"/>
  <c r="T7" i="17"/>
  <c r="U7" i="17"/>
  <c r="V5" i="17"/>
  <c r="V6" i="17" s="1"/>
  <c r="M317" i="3" s="1"/>
  <c r="S5" i="17"/>
  <c r="S6" i="17" s="1"/>
  <c r="M316" i="3" s="1"/>
  <c r="P5" i="17"/>
  <c r="P6" i="17" s="1"/>
  <c r="M315" i="3" s="1"/>
  <c r="M5" i="17"/>
  <c r="M6" i="17" s="1"/>
  <c r="M314" i="3" s="1"/>
  <c r="J5" i="17"/>
  <c r="J7" i="17" s="1"/>
  <c r="BX6" i="16"/>
  <c r="BX5" i="16"/>
  <c r="CA6" i="16"/>
  <c r="CA5" i="16"/>
  <c r="CA7" i="16" s="1"/>
  <c r="M312" i="3" s="1"/>
  <c r="H7" i="16"/>
  <c r="I7" i="16"/>
  <c r="K7" i="16"/>
  <c r="L7" i="16"/>
  <c r="N7" i="16"/>
  <c r="O7" i="16"/>
  <c r="Q7" i="16"/>
  <c r="R7" i="16"/>
  <c r="T7" i="16"/>
  <c r="U7" i="16"/>
  <c r="W7" i="16"/>
  <c r="X7" i="16"/>
  <c r="Z7" i="16"/>
  <c r="AA7" i="16"/>
  <c r="AC7" i="16"/>
  <c r="AD7" i="16"/>
  <c r="AF7" i="16"/>
  <c r="AG7" i="16"/>
  <c r="AI7" i="16"/>
  <c r="AJ7" i="16"/>
  <c r="AL7" i="16"/>
  <c r="AM7" i="16"/>
  <c r="AO7" i="16"/>
  <c r="AP7" i="16"/>
  <c r="AR7" i="16"/>
  <c r="AS7" i="16"/>
  <c r="AU7" i="16"/>
  <c r="AV7" i="16"/>
  <c r="AX7" i="16"/>
  <c r="AY7" i="16"/>
  <c r="BA7" i="16"/>
  <c r="BB7" i="16"/>
  <c r="BD7" i="16"/>
  <c r="BE7" i="16"/>
  <c r="BG7" i="16"/>
  <c r="BH7" i="16"/>
  <c r="BJ7" i="16"/>
  <c r="BK7" i="16"/>
  <c r="BM7" i="16"/>
  <c r="BN7" i="16"/>
  <c r="BP7" i="16"/>
  <c r="BQ7" i="16"/>
  <c r="BS7" i="16"/>
  <c r="BT7" i="16"/>
  <c r="BV7" i="16"/>
  <c r="BW7" i="16"/>
  <c r="BY7" i="16"/>
  <c r="BZ7" i="16"/>
  <c r="H8" i="16"/>
  <c r="I8" i="16"/>
  <c r="K8" i="16"/>
  <c r="L8" i="16"/>
  <c r="N8" i="16"/>
  <c r="O8" i="16"/>
  <c r="Q8" i="16"/>
  <c r="R8" i="16"/>
  <c r="T8" i="16"/>
  <c r="U8" i="16"/>
  <c r="W8" i="16"/>
  <c r="X8" i="16"/>
  <c r="Z8" i="16"/>
  <c r="AA8" i="16"/>
  <c r="AC8" i="16"/>
  <c r="AD8" i="16"/>
  <c r="AF8" i="16"/>
  <c r="AG8" i="16"/>
  <c r="AI8" i="16"/>
  <c r="AJ8" i="16"/>
  <c r="AL8" i="16"/>
  <c r="AM8" i="16"/>
  <c r="AO8" i="16"/>
  <c r="AP8" i="16"/>
  <c r="AR8" i="16"/>
  <c r="AS8" i="16"/>
  <c r="AU8" i="16"/>
  <c r="AV8" i="16"/>
  <c r="AX8" i="16"/>
  <c r="AY8" i="16"/>
  <c r="BA8" i="16"/>
  <c r="BB8" i="16"/>
  <c r="BD8" i="16"/>
  <c r="BE8" i="16"/>
  <c r="BG8" i="16"/>
  <c r="BH8" i="16"/>
  <c r="BJ8" i="16"/>
  <c r="BK8" i="16"/>
  <c r="BM8" i="16"/>
  <c r="BN8" i="16"/>
  <c r="BP8" i="16"/>
  <c r="BQ8" i="16"/>
  <c r="BS8" i="16"/>
  <c r="BT8" i="16"/>
  <c r="BV8" i="16"/>
  <c r="BW8" i="16"/>
  <c r="BY8" i="16"/>
  <c r="BZ8" i="16"/>
  <c r="BU6" i="16"/>
  <c r="BU5" i="16"/>
  <c r="BU8" i="16" s="1"/>
  <c r="BR6" i="16"/>
  <c r="BR5" i="16"/>
  <c r="BR7" i="16" s="1"/>
  <c r="M309" i="3" s="1"/>
  <c r="BO6" i="16"/>
  <c r="BO5" i="16"/>
  <c r="BO8" i="16" s="1"/>
  <c r="BL6" i="16"/>
  <c r="BL8" i="16" s="1"/>
  <c r="BL5" i="16"/>
  <c r="BI6" i="16"/>
  <c r="BI5" i="16"/>
  <c r="BI8" i="16" s="1"/>
  <c r="BF6" i="16"/>
  <c r="BF8" i="16" s="1"/>
  <c r="BF5" i="16"/>
  <c r="BC6" i="16"/>
  <c r="BC5" i="16"/>
  <c r="AZ6" i="16"/>
  <c r="AZ7" i="16" s="1"/>
  <c r="M303" i="3" s="1"/>
  <c r="AZ5" i="16"/>
  <c r="AW6" i="16"/>
  <c r="AW7" i="16" s="1"/>
  <c r="M302" i="3" s="1"/>
  <c r="AW5" i="16"/>
  <c r="AW8" i="16" s="1"/>
  <c r="AT6" i="16"/>
  <c r="AT8" i="16" s="1"/>
  <c r="AT5" i="16"/>
  <c r="AQ6" i="16"/>
  <c r="AQ5" i="16"/>
  <c r="AQ8" i="16" s="1"/>
  <c r="AN6" i="16"/>
  <c r="AN5" i="16"/>
  <c r="AK6" i="16"/>
  <c r="AK7" i="16" s="1"/>
  <c r="M298" i="3" s="1"/>
  <c r="AK5" i="16"/>
  <c r="AH6" i="16"/>
  <c r="AH5" i="16"/>
  <c r="AE6" i="16"/>
  <c r="AE5" i="16"/>
  <c r="AB6" i="16"/>
  <c r="AB5" i="16"/>
  <c r="AB8" i="16" s="1"/>
  <c r="Y6" i="16"/>
  <c r="Y7" i="16" s="1"/>
  <c r="M294" i="3" s="1"/>
  <c r="Y5" i="16"/>
  <c r="V6" i="16"/>
  <c r="V5" i="16"/>
  <c r="S6" i="16"/>
  <c r="S5" i="16"/>
  <c r="S8" i="16" s="1"/>
  <c r="P6" i="16"/>
  <c r="P5" i="16"/>
  <c r="M6" i="16"/>
  <c r="M5" i="16"/>
  <c r="J6" i="16"/>
  <c r="J5" i="16"/>
  <c r="H9" i="15"/>
  <c r="I9" i="15"/>
  <c r="K9" i="15"/>
  <c r="L9" i="15"/>
  <c r="N9" i="15"/>
  <c r="O9" i="15"/>
  <c r="Q9" i="15"/>
  <c r="R9" i="15"/>
  <c r="T9" i="15"/>
  <c r="U9" i="15"/>
  <c r="W9" i="15"/>
  <c r="X9" i="15"/>
  <c r="Z9" i="15"/>
  <c r="AA9" i="15"/>
  <c r="AC9" i="15"/>
  <c r="AD9" i="15"/>
  <c r="AF9" i="15"/>
  <c r="AG9" i="15"/>
  <c r="AI9" i="15"/>
  <c r="AJ9" i="15"/>
  <c r="H10" i="15"/>
  <c r="I10" i="15"/>
  <c r="K10" i="15"/>
  <c r="L10" i="15"/>
  <c r="N10" i="15"/>
  <c r="O10" i="15"/>
  <c r="Q10" i="15"/>
  <c r="R10" i="15"/>
  <c r="T10" i="15"/>
  <c r="U10" i="15"/>
  <c r="W10" i="15"/>
  <c r="X10" i="15"/>
  <c r="Z10" i="15"/>
  <c r="AA10" i="15"/>
  <c r="AC10" i="15"/>
  <c r="AD10" i="15"/>
  <c r="AF10" i="15"/>
  <c r="AG10" i="15"/>
  <c r="AI10" i="15"/>
  <c r="AJ10" i="15"/>
  <c r="AK8" i="15"/>
  <c r="AK7" i="15"/>
  <c r="AK6" i="15"/>
  <c r="AK5" i="15"/>
  <c r="AH8" i="15"/>
  <c r="AH7" i="15"/>
  <c r="AH6" i="15"/>
  <c r="AH5" i="15"/>
  <c r="AE8" i="15"/>
  <c r="AE7" i="15"/>
  <c r="AE6" i="15"/>
  <c r="AE5" i="15"/>
  <c r="AB8" i="15"/>
  <c r="AB7" i="15"/>
  <c r="AB6" i="15"/>
  <c r="AB5" i="15"/>
  <c r="Y8" i="15"/>
  <c r="Y7" i="15"/>
  <c r="Y6" i="15"/>
  <c r="Y5" i="15"/>
  <c r="V8" i="15"/>
  <c r="V7" i="15"/>
  <c r="V6" i="15"/>
  <c r="V5" i="15"/>
  <c r="S8" i="15"/>
  <c r="S7" i="15"/>
  <c r="S6" i="15"/>
  <c r="S5" i="15"/>
  <c r="P8" i="15"/>
  <c r="P7" i="15"/>
  <c r="P6" i="15"/>
  <c r="P5" i="15"/>
  <c r="M8" i="15"/>
  <c r="M7" i="15"/>
  <c r="M6" i="15"/>
  <c r="M5" i="15"/>
  <c r="J6" i="15"/>
  <c r="J7" i="15"/>
  <c r="J8" i="15"/>
  <c r="J5" i="15"/>
  <c r="I6" i="14"/>
  <c r="K6" i="14"/>
  <c r="L6" i="14"/>
  <c r="N6" i="14"/>
  <c r="O6" i="14"/>
  <c r="Q6" i="14"/>
  <c r="R6" i="14"/>
  <c r="T6" i="14"/>
  <c r="U6" i="14"/>
  <c r="W6" i="14"/>
  <c r="X6" i="14"/>
  <c r="Z6" i="14"/>
  <c r="AA6" i="14"/>
  <c r="AC6" i="14"/>
  <c r="AD6" i="14"/>
  <c r="AF6" i="14"/>
  <c r="AG6" i="14"/>
  <c r="AI6" i="14"/>
  <c r="AJ6" i="14"/>
  <c r="AL6" i="14"/>
  <c r="AM6" i="14"/>
  <c r="I7" i="14"/>
  <c r="K7" i="14"/>
  <c r="L7" i="14"/>
  <c r="N7" i="14"/>
  <c r="O7" i="14"/>
  <c r="Q7" i="14"/>
  <c r="R7" i="14"/>
  <c r="T7" i="14"/>
  <c r="U7" i="14"/>
  <c r="V7" i="14"/>
  <c r="W7" i="14"/>
  <c r="X7" i="14"/>
  <c r="Z7" i="14"/>
  <c r="AA7" i="14"/>
  <c r="AC7" i="14"/>
  <c r="AD7" i="14"/>
  <c r="AF7" i="14"/>
  <c r="AG7" i="14"/>
  <c r="AI7" i="14"/>
  <c r="AJ7" i="14"/>
  <c r="AL7" i="14"/>
  <c r="AM7" i="14"/>
  <c r="AN7" i="14"/>
  <c r="AN5" i="14"/>
  <c r="AN6" i="14" s="1"/>
  <c r="M267" i="3" s="1"/>
  <c r="AK5" i="14"/>
  <c r="AK6" i="14" s="1"/>
  <c r="M266" i="3" s="1"/>
  <c r="AH5" i="14"/>
  <c r="AH6" i="14" s="1"/>
  <c r="M265" i="3" s="1"/>
  <c r="AE5" i="14"/>
  <c r="AE6" i="14" s="1"/>
  <c r="M264" i="3" s="1"/>
  <c r="AB5" i="14"/>
  <c r="AB6" i="14" s="1"/>
  <c r="M263" i="3" s="1"/>
  <c r="Y5" i="14"/>
  <c r="Y6" i="14" s="1"/>
  <c r="M262" i="3" s="1"/>
  <c r="V5" i="14"/>
  <c r="V6" i="14" s="1"/>
  <c r="M261" i="3" s="1"/>
  <c r="S5" i="14"/>
  <c r="S6" i="14" s="1"/>
  <c r="M260" i="3" s="1"/>
  <c r="P5" i="14"/>
  <c r="P6" i="14" s="1"/>
  <c r="M259" i="3" s="1"/>
  <c r="M5" i="14"/>
  <c r="M6" i="14" s="1"/>
  <c r="M258" i="3" s="1"/>
  <c r="J5" i="14"/>
  <c r="J6" i="14" s="1"/>
  <c r="M257" i="3" s="1"/>
  <c r="BR191" i="5"/>
  <c r="BO191" i="5"/>
  <c r="BL190" i="5"/>
  <c r="BI190" i="5"/>
  <c r="BF190" i="5"/>
  <c r="BC190" i="5"/>
  <c r="AZ190" i="5"/>
  <c r="AW191" i="5"/>
  <c r="AT190" i="5"/>
  <c r="AQ190" i="5"/>
  <c r="AN191" i="5"/>
  <c r="AK191" i="5"/>
  <c r="AH191" i="5"/>
  <c r="AE190" i="5"/>
  <c r="AB191" i="5"/>
  <c r="Y191" i="5"/>
  <c r="V191" i="5"/>
  <c r="S190" i="5"/>
  <c r="J191" i="5"/>
  <c r="AE57" i="6"/>
  <c r="AB56" i="6"/>
  <c r="Y57" i="6"/>
  <c r="V57" i="6"/>
  <c r="S56" i="6"/>
  <c r="P56" i="6"/>
  <c r="M57" i="6"/>
  <c r="J57" i="6"/>
  <c r="AH41" i="6"/>
  <c r="M160" i="3" s="1"/>
  <c r="AB41" i="6"/>
  <c r="M149" i="3" s="1"/>
  <c r="Y42" i="6"/>
  <c r="V42" i="6"/>
  <c r="P42" i="6"/>
  <c r="M41" i="6"/>
  <c r="M137" i="3" s="1"/>
  <c r="BF10" i="7"/>
  <c r="BC10" i="7"/>
  <c r="AZ9" i="7"/>
  <c r="M180" i="3" s="1"/>
  <c r="AW9" i="7"/>
  <c r="M179" i="3" s="1"/>
  <c r="AT9" i="7"/>
  <c r="M178" i="3" s="1"/>
  <c r="AQ9" i="7"/>
  <c r="M177" i="3" s="1"/>
  <c r="AN10" i="7"/>
  <c r="AK9" i="7"/>
  <c r="M176" i="3" s="1"/>
  <c r="AH9" i="7"/>
  <c r="M182" i="3" s="1"/>
  <c r="AE9" i="7"/>
  <c r="M175" i="3" s="1"/>
  <c r="AB10" i="7"/>
  <c r="Y10" i="7"/>
  <c r="V9" i="7"/>
  <c r="M173" i="3" s="1"/>
  <c r="P9" i="7"/>
  <c r="M171" i="3" s="1"/>
  <c r="M9" i="7"/>
  <c r="M170" i="3" s="1"/>
  <c r="J10" i="7"/>
  <c r="BO23" i="8"/>
  <c r="M208" i="3" s="1"/>
  <c r="BO24" i="8"/>
  <c r="BL24" i="8"/>
  <c r="BC24" i="8"/>
  <c r="AW23" i="8"/>
  <c r="M213" i="3" s="1"/>
  <c r="AT24" i="8"/>
  <c r="AQ23" i="8"/>
  <c r="M229" i="3" s="1"/>
  <c r="AN23" i="8"/>
  <c r="M202" i="3" s="1"/>
  <c r="AK24" i="8"/>
  <c r="AK23" i="8"/>
  <c r="M201" i="3" s="1"/>
  <c r="AH23" i="8"/>
  <c r="M225" i="3" s="1"/>
  <c r="AE23" i="8"/>
  <c r="M221" i="3" s="1"/>
  <c r="Y23" i="8"/>
  <c r="M217" i="3" s="1"/>
  <c r="S24" i="8"/>
  <c r="S23" i="8"/>
  <c r="M215" i="3" s="1"/>
  <c r="P23" i="8"/>
  <c r="M200" i="3" s="1"/>
  <c r="M23" i="8"/>
  <c r="M214" i="3" s="1"/>
  <c r="AH8" i="10"/>
  <c r="AB8" i="10"/>
  <c r="P8" i="10"/>
  <c r="J7" i="10"/>
  <c r="M234" i="3" s="1"/>
  <c r="V7" i="10"/>
  <c r="M241" i="3" s="1"/>
  <c r="H7" i="10"/>
  <c r="I7" i="10"/>
  <c r="K7" i="10"/>
  <c r="L7" i="10"/>
  <c r="N7" i="10"/>
  <c r="O7" i="10"/>
  <c r="Q7" i="10"/>
  <c r="R7" i="10"/>
  <c r="T7" i="10"/>
  <c r="U7" i="10"/>
  <c r="W7" i="10"/>
  <c r="X7" i="10"/>
  <c r="Z7" i="10"/>
  <c r="AA7" i="10"/>
  <c r="AC7" i="10"/>
  <c r="AD7" i="10"/>
  <c r="AF7" i="10"/>
  <c r="AG7" i="10"/>
  <c r="H8" i="10"/>
  <c r="I8" i="10"/>
  <c r="K8" i="10"/>
  <c r="L8" i="10"/>
  <c r="N8" i="10"/>
  <c r="O8" i="10"/>
  <c r="Q8" i="10"/>
  <c r="R8" i="10"/>
  <c r="T8" i="10"/>
  <c r="U8" i="10"/>
  <c r="W8" i="10"/>
  <c r="X8" i="10"/>
  <c r="Z8" i="10"/>
  <c r="AA8" i="10"/>
  <c r="AC8" i="10"/>
  <c r="AD8" i="10"/>
  <c r="AF8" i="10"/>
  <c r="AG8" i="10"/>
  <c r="I9" i="7"/>
  <c r="K9" i="7"/>
  <c r="L9" i="7"/>
  <c r="N9" i="7"/>
  <c r="O9" i="7"/>
  <c r="Q9" i="7"/>
  <c r="R9" i="7"/>
  <c r="S9" i="7"/>
  <c r="M172" i="3" s="1"/>
  <c r="T9" i="7"/>
  <c r="U9" i="7"/>
  <c r="W9" i="7"/>
  <c r="X9" i="7"/>
  <c r="Y9" i="7"/>
  <c r="M184" i="3" s="1"/>
  <c r="Z9" i="7"/>
  <c r="AA9" i="7"/>
  <c r="AC9" i="7"/>
  <c r="AD9" i="7"/>
  <c r="AF9" i="7"/>
  <c r="AG9" i="7"/>
  <c r="AI9" i="7"/>
  <c r="AJ9" i="7"/>
  <c r="AL9" i="7"/>
  <c r="AM9" i="7"/>
  <c r="AO9" i="7"/>
  <c r="AP9" i="7"/>
  <c r="AR9" i="7"/>
  <c r="AS9" i="7"/>
  <c r="AU9" i="7"/>
  <c r="AV9" i="7"/>
  <c r="AX9" i="7"/>
  <c r="AY9" i="7"/>
  <c r="BA9" i="7"/>
  <c r="BB9" i="7"/>
  <c r="BC9" i="7"/>
  <c r="M186" i="3" s="1"/>
  <c r="BD9" i="7"/>
  <c r="BE9" i="7"/>
  <c r="I10" i="7"/>
  <c r="K10" i="7"/>
  <c r="L10" i="7"/>
  <c r="M10" i="7"/>
  <c r="N10" i="7"/>
  <c r="O10" i="7"/>
  <c r="Q10" i="7"/>
  <c r="R10" i="7"/>
  <c r="S10" i="7"/>
  <c r="T10" i="7"/>
  <c r="U10" i="7"/>
  <c r="W10" i="7"/>
  <c r="X10" i="7"/>
  <c r="Z10" i="7"/>
  <c r="AA10" i="7"/>
  <c r="AC10" i="7"/>
  <c r="AD10" i="7"/>
  <c r="AF10" i="7"/>
  <c r="AG10" i="7"/>
  <c r="AI10" i="7"/>
  <c r="AJ10" i="7"/>
  <c r="AK10" i="7"/>
  <c r="AL10" i="7"/>
  <c r="AM10" i="7"/>
  <c r="AO10" i="7"/>
  <c r="AP10" i="7"/>
  <c r="AR10" i="7"/>
  <c r="AS10" i="7"/>
  <c r="AT10" i="7"/>
  <c r="AU10" i="7"/>
  <c r="AV10" i="7"/>
  <c r="AX10" i="7"/>
  <c r="AY10" i="7"/>
  <c r="BA10" i="7"/>
  <c r="BB10" i="7"/>
  <c r="BD10" i="7"/>
  <c r="BE10" i="7"/>
  <c r="H23" i="8"/>
  <c r="I23" i="8"/>
  <c r="J23" i="8"/>
  <c r="M199" i="3" s="1"/>
  <c r="K23" i="8"/>
  <c r="L23" i="8"/>
  <c r="N23" i="8"/>
  <c r="O23" i="8"/>
  <c r="Q23" i="8"/>
  <c r="R23" i="8"/>
  <c r="T23" i="8"/>
  <c r="U23" i="8"/>
  <c r="W23" i="8"/>
  <c r="X23" i="8"/>
  <c r="Z23" i="8"/>
  <c r="AA23" i="8"/>
  <c r="AC23" i="8"/>
  <c r="AD23" i="8"/>
  <c r="AF23" i="8"/>
  <c r="AG23" i="8"/>
  <c r="AI23" i="8"/>
  <c r="AJ23" i="8"/>
  <c r="AL23" i="8"/>
  <c r="AM23" i="8"/>
  <c r="AO23" i="8"/>
  <c r="AP23" i="8"/>
  <c r="AR23" i="8"/>
  <c r="AS23" i="8"/>
  <c r="AU23" i="8"/>
  <c r="AV23" i="8"/>
  <c r="AX23" i="8"/>
  <c r="AY23" i="8"/>
  <c r="BA23" i="8"/>
  <c r="BB23" i="8"/>
  <c r="BD23" i="8"/>
  <c r="BE23" i="8"/>
  <c r="BG23" i="8"/>
  <c r="BH23" i="8"/>
  <c r="BJ23" i="8"/>
  <c r="BK23" i="8"/>
  <c r="BM23" i="8"/>
  <c r="BN23" i="8"/>
  <c r="H24" i="8"/>
  <c r="I24" i="8"/>
  <c r="K24" i="8"/>
  <c r="L24" i="8"/>
  <c r="M24" i="8"/>
  <c r="N24" i="8"/>
  <c r="O24" i="8"/>
  <c r="Q24" i="8"/>
  <c r="R24" i="8"/>
  <c r="T24" i="8"/>
  <c r="U24" i="8"/>
  <c r="W24" i="8"/>
  <c r="X24" i="8"/>
  <c r="Z24" i="8"/>
  <c r="AA24" i="8"/>
  <c r="AC24" i="8"/>
  <c r="AD24" i="8"/>
  <c r="AF24" i="8"/>
  <c r="AG24" i="8"/>
  <c r="AI24" i="8"/>
  <c r="AJ24" i="8"/>
  <c r="AL24" i="8"/>
  <c r="AM24" i="8"/>
  <c r="AO24" i="8"/>
  <c r="AP24" i="8"/>
  <c r="AQ24" i="8"/>
  <c r="AR24" i="8"/>
  <c r="AS24" i="8"/>
  <c r="AU24" i="8"/>
  <c r="AV24" i="8"/>
  <c r="AW24" i="8"/>
  <c r="AX24" i="8"/>
  <c r="AY24" i="8"/>
  <c r="BA24" i="8"/>
  <c r="BB24" i="8"/>
  <c r="BD24" i="8"/>
  <c r="BE24" i="8"/>
  <c r="BG24" i="8"/>
  <c r="BH24" i="8"/>
  <c r="BJ24" i="8"/>
  <c r="BK24" i="8"/>
  <c r="BM24" i="8"/>
  <c r="BN24" i="8"/>
  <c r="M191" i="5"/>
  <c r="P190" i="5"/>
  <c r="BR177" i="5"/>
  <c r="M74" i="3" s="1"/>
  <c r="S57" i="6"/>
  <c r="V56" i="6"/>
  <c r="Y56" i="6"/>
  <c r="AE41" i="6"/>
  <c r="M159" i="3" s="1"/>
  <c r="AB42" i="6"/>
  <c r="Y41" i="6"/>
  <c r="M148" i="3" s="1"/>
  <c r="V41" i="6"/>
  <c r="M127" i="3" s="1"/>
  <c r="S41" i="6"/>
  <c r="M138" i="3" s="1"/>
  <c r="M42" i="6"/>
  <c r="J41" i="6"/>
  <c r="M116" i="3" s="1"/>
  <c r="H9" i="7"/>
  <c r="H10" i="7"/>
  <c r="H190" i="5"/>
  <c r="I190" i="5"/>
  <c r="K190" i="5"/>
  <c r="L190" i="5"/>
  <c r="N190" i="5"/>
  <c r="O190" i="5"/>
  <c r="Q190" i="5"/>
  <c r="R190" i="5"/>
  <c r="T190" i="5"/>
  <c r="U190" i="5"/>
  <c r="W190" i="5"/>
  <c r="X190" i="5"/>
  <c r="Z190" i="5"/>
  <c r="AA190" i="5"/>
  <c r="AC190" i="5"/>
  <c r="AD190" i="5"/>
  <c r="AF190" i="5"/>
  <c r="AG190" i="5"/>
  <c r="AI190" i="5"/>
  <c r="AJ190" i="5"/>
  <c r="AL190" i="5"/>
  <c r="AM190" i="5"/>
  <c r="AO190" i="5"/>
  <c r="AP190" i="5"/>
  <c r="AR190" i="5"/>
  <c r="AS190" i="5"/>
  <c r="AU190" i="5"/>
  <c r="AV190" i="5"/>
  <c r="AX190" i="5"/>
  <c r="AY190" i="5"/>
  <c r="BA190" i="5"/>
  <c r="BB190" i="5"/>
  <c r="BD190" i="5"/>
  <c r="BE190" i="5"/>
  <c r="BG190" i="5"/>
  <c r="BH190" i="5"/>
  <c r="BJ190" i="5"/>
  <c r="BK190" i="5"/>
  <c r="BM190" i="5"/>
  <c r="BN190" i="5"/>
  <c r="BP190" i="5"/>
  <c r="BQ190" i="5"/>
  <c r="H191" i="5"/>
  <c r="I191" i="5"/>
  <c r="K191" i="5"/>
  <c r="L191" i="5"/>
  <c r="N191" i="5"/>
  <c r="O191" i="5"/>
  <c r="Q191" i="5"/>
  <c r="R191" i="5"/>
  <c r="T191" i="5"/>
  <c r="U191" i="5"/>
  <c r="W191" i="5"/>
  <c r="X191" i="5"/>
  <c r="Z191" i="5"/>
  <c r="AA191" i="5"/>
  <c r="AC191" i="5"/>
  <c r="AD191" i="5"/>
  <c r="AF191" i="5"/>
  <c r="AG191" i="5"/>
  <c r="AI191" i="5"/>
  <c r="AJ191" i="5"/>
  <c r="AL191" i="5"/>
  <c r="AM191" i="5"/>
  <c r="AO191" i="5"/>
  <c r="AP191" i="5"/>
  <c r="AR191" i="5"/>
  <c r="AS191" i="5"/>
  <c r="AU191" i="5"/>
  <c r="AV191" i="5"/>
  <c r="AX191" i="5"/>
  <c r="AY191" i="5"/>
  <c r="AZ191" i="5"/>
  <c r="BA191" i="5"/>
  <c r="BB191" i="5"/>
  <c r="BC191" i="5"/>
  <c r="BD191" i="5"/>
  <c r="BE191" i="5"/>
  <c r="BG191" i="5"/>
  <c r="BH191" i="5"/>
  <c r="BI191" i="5"/>
  <c r="BJ191" i="5"/>
  <c r="BK191" i="5"/>
  <c r="BL191" i="5"/>
  <c r="BM191" i="5"/>
  <c r="BN191" i="5"/>
  <c r="BP191" i="5"/>
  <c r="BQ191" i="5"/>
  <c r="BR190" i="5"/>
  <c r="H177" i="5"/>
  <c r="I177" i="5"/>
  <c r="K177" i="5"/>
  <c r="L177" i="5"/>
  <c r="N177" i="5"/>
  <c r="O177" i="5"/>
  <c r="Q177" i="5"/>
  <c r="R177" i="5"/>
  <c r="T177" i="5"/>
  <c r="U177" i="5"/>
  <c r="W177" i="5"/>
  <c r="X177" i="5"/>
  <c r="Z177" i="5"/>
  <c r="AA177" i="5"/>
  <c r="AC177" i="5"/>
  <c r="AD177" i="5"/>
  <c r="AF177" i="5"/>
  <c r="AG177" i="5"/>
  <c r="AI177" i="5"/>
  <c r="AJ177" i="5"/>
  <c r="AL177" i="5"/>
  <c r="AM177" i="5"/>
  <c r="AO177" i="5"/>
  <c r="AP177" i="5"/>
  <c r="AR177" i="5"/>
  <c r="AS177" i="5"/>
  <c r="AU177" i="5"/>
  <c r="AV177" i="5"/>
  <c r="AX177" i="5"/>
  <c r="AY177" i="5"/>
  <c r="BA177" i="5"/>
  <c r="BB177" i="5"/>
  <c r="BD177" i="5"/>
  <c r="BE177" i="5"/>
  <c r="BG177" i="5"/>
  <c r="BH177" i="5"/>
  <c r="BJ177" i="5"/>
  <c r="BK177" i="5"/>
  <c r="BM177" i="5"/>
  <c r="BN177" i="5"/>
  <c r="BP177" i="5"/>
  <c r="BQ177" i="5"/>
  <c r="H178" i="5"/>
  <c r="I178" i="5"/>
  <c r="K178" i="5"/>
  <c r="L178" i="5"/>
  <c r="N178" i="5"/>
  <c r="O178" i="5"/>
  <c r="Q178" i="5"/>
  <c r="R178" i="5"/>
  <c r="T178" i="5"/>
  <c r="U178" i="5"/>
  <c r="W178" i="5"/>
  <c r="X178" i="5"/>
  <c r="Z178" i="5"/>
  <c r="AA178" i="5"/>
  <c r="AC178" i="5"/>
  <c r="AD178" i="5"/>
  <c r="AF178" i="5"/>
  <c r="AG178" i="5"/>
  <c r="AI178" i="5"/>
  <c r="AJ178" i="5"/>
  <c r="AL178" i="5"/>
  <c r="AM178" i="5"/>
  <c r="AO178" i="5"/>
  <c r="AP178" i="5"/>
  <c r="AR178" i="5"/>
  <c r="AS178" i="5"/>
  <c r="AU178" i="5"/>
  <c r="AV178" i="5"/>
  <c r="AX178" i="5"/>
  <c r="AY178" i="5"/>
  <c r="BA178" i="5"/>
  <c r="BB178" i="5"/>
  <c r="BD178" i="5"/>
  <c r="BE178" i="5"/>
  <c r="BG178" i="5"/>
  <c r="BH178" i="5"/>
  <c r="BJ178" i="5"/>
  <c r="BK178" i="5"/>
  <c r="BM178" i="5"/>
  <c r="BN178" i="5"/>
  <c r="BP178" i="5"/>
  <c r="BQ178" i="5"/>
  <c r="I56" i="6"/>
  <c r="K56" i="6"/>
  <c r="L56" i="6"/>
  <c r="N56" i="6"/>
  <c r="O56" i="6"/>
  <c r="Q56" i="6"/>
  <c r="R56" i="6"/>
  <c r="T56" i="6"/>
  <c r="U56" i="6"/>
  <c r="W56" i="6"/>
  <c r="X56" i="6"/>
  <c r="Z56" i="6"/>
  <c r="AA56" i="6"/>
  <c r="AC56" i="6"/>
  <c r="AD56" i="6"/>
  <c r="AF56" i="6"/>
  <c r="AG56" i="6"/>
  <c r="I57" i="6"/>
  <c r="K57" i="6"/>
  <c r="L57" i="6"/>
  <c r="N57" i="6"/>
  <c r="O57" i="6"/>
  <c r="Q57" i="6"/>
  <c r="R57" i="6"/>
  <c r="T57" i="6"/>
  <c r="U57" i="6"/>
  <c r="W57" i="6"/>
  <c r="X57" i="6"/>
  <c r="Z57" i="6"/>
  <c r="AA57" i="6"/>
  <c r="AC57" i="6"/>
  <c r="AD57" i="6"/>
  <c r="AF57" i="6"/>
  <c r="AG57" i="6"/>
  <c r="H57" i="6"/>
  <c r="I41" i="6"/>
  <c r="K41" i="6"/>
  <c r="L41" i="6"/>
  <c r="N41" i="6"/>
  <c r="O41" i="6"/>
  <c r="Q41" i="6"/>
  <c r="R41" i="6"/>
  <c r="T41" i="6"/>
  <c r="U41" i="6"/>
  <c r="W41" i="6"/>
  <c r="X41" i="6"/>
  <c r="Z41" i="6"/>
  <c r="AA41" i="6"/>
  <c r="AC41" i="6"/>
  <c r="AD41" i="6"/>
  <c r="AF41" i="6"/>
  <c r="AG41" i="6"/>
  <c r="I42" i="6"/>
  <c r="K42" i="6"/>
  <c r="L42" i="6"/>
  <c r="N42" i="6"/>
  <c r="O42" i="6"/>
  <c r="Q42" i="6"/>
  <c r="R42" i="6"/>
  <c r="T42" i="6"/>
  <c r="U42" i="6"/>
  <c r="W42" i="6"/>
  <c r="X42" i="6"/>
  <c r="Z42" i="6"/>
  <c r="AA42" i="6"/>
  <c r="AC42" i="6"/>
  <c r="AD42" i="6"/>
  <c r="AE42" i="6"/>
  <c r="AF42" i="6"/>
  <c r="AG42" i="6"/>
  <c r="BL7" i="18" l="1"/>
  <c r="L336" i="3"/>
  <c r="AH6" i="18"/>
  <c r="M326" i="3" s="1"/>
  <c r="S7" i="17"/>
  <c r="P7" i="17"/>
  <c r="BU7" i="16"/>
  <c r="M310" i="3" s="1"/>
  <c r="BR8" i="16"/>
  <c r="BI7" i="16"/>
  <c r="M306" i="3" s="1"/>
  <c r="BC8" i="16"/>
  <c r="AZ8" i="16"/>
  <c r="AN8" i="16"/>
  <c r="AK8" i="16"/>
  <c r="AH8" i="16"/>
  <c r="AE8" i="16"/>
  <c r="AB7" i="16"/>
  <c r="M295" i="3" s="1"/>
  <c r="Y8" i="16"/>
  <c r="V8" i="16"/>
  <c r="P8" i="16"/>
  <c r="M8" i="16"/>
  <c r="M7" i="16"/>
  <c r="M290" i="3" s="1"/>
  <c r="J8" i="16"/>
  <c r="AB10" i="15"/>
  <c r="Y9" i="15"/>
  <c r="M284" i="3" s="1"/>
  <c r="AH7" i="14"/>
  <c r="J7" i="14"/>
  <c r="BI24" i="8"/>
  <c r="BC7" i="18"/>
  <c r="AQ7" i="18"/>
  <c r="S7" i="18"/>
  <c r="BF7" i="18"/>
  <c r="AT7" i="18"/>
  <c r="AK7" i="18"/>
  <c r="J7" i="18"/>
  <c r="BI7" i="18"/>
  <c r="AW7" i="18"/>
  <c r="M7" i="18"/>
  <c r="AZ7" i="18"/>
  <c r="AE7" i="18"/>
  <c r="P7" i="18"/>
  <c r="AN7" i="18"/>
  <c r="AB6" i="18"/>
  <c r="M324" i="3" s="1"/>
  <c r="Y7" i="18"/>
  <c r="V7" i="18"/>
  <c r="AZ23" i="8"/>
  <c r="M203" i="3" s="1"/>
  <c r="BL23" i="8"/>
  <c r="M207" i="3" s="1"/>
  <c r="AN24" i="8"/>
  <c r="J24" i="8"/>
  <c r="V23" i="8"/>
  <c r="M216" i="3" s="1"/>
  <c r="AB23" i="8"/>
  <c r="M209" i="3" s="1"/>
  <c r="AT23" i="8"/>
  <c r="M233" i="3" s="1"/>
  <c r="BF23" i="8"/>
  <c r="M205" i="3" s="1"/>
  <c r="BC23" i="8"/>
  <c r="M204" i="3" s="1"/>
  <c r="J306" i="19"/>
  <c r="P305" i="19"/>
  <c r="V306" i="19"/>
  <c r="AB305" i="19"/>
  <c r="AH306" i="19"/>
  <c r="AN305" i="19"/>
  <c r="AT306" i="19"/>
  <c r="AZ305" i="19"/>
  <c r="BF306" i="19"/>
  <c r="AZ306" i="19"/>
  <c r="AN306" i="19"/>
  <c r="AB306" i="19"/>
  <c r="P306" i="19"/>
  <c r="BF305" i="19"/>
  <c r="AT305" i="19"/>
  <c r="AH305" i="19"/>
  <c r="V305" i="19"/>
  <c r="J305" i="19"/>
  <c r="BC306" i="19"/>
  <c r="AQ306" i="19"/>
  <c r="AE306" i="19"/>
  <c r="S306" i="19"/>
  <c r="AW305" i="19"/>
  <c r="AK305" i="19"/>
  <c r="Y305" i="19"/>
  <c r="M305" i="19"/>
  <c r="S300" i="19"/>
  <c r="AE300" i="19"/>
  <c r="AK299" i="19"/>
  <c r="M346" i="3" s="1"/>
  <c r="Y299" i="19"/>
  <c r="M342" i="3" s="1"/>
  <c r="BC300" i="19"/>
  <c r="M299" i="19"/>
  <c r="M338" i="3" s="1"/>
  <c r="M300" i="19"/>
  <c r="S299" i="19"/>
  <c r="M340" i="3" s="1"/>
  <c r="Y300" i="19"/>
  <c r="AE299" i="19"/>
  <c r="M344" i="3" s="1"/>
  <c r="AK300" i="19"/>
  <c r="AQ299" i="19"/>
  <c r="M348" i="3" s="1"/>
  <c r="AW300" i="19"/>
  <c r="BC299" i="19"/>
  <c r="M352" i="3" s="1"/>
  <c r="AQ300" i="19"/>
  <c r="AW299" i="19"/>
  <c r="M350" i="3" s="1"/>
  <c r="J299" i="19"/>
  <c r="M337" i="3" s="1"/>
  <c r="P300" i="19"/>
  <c r="V299" i="19"/>
  <c r="M341" i="3" s="1"/>
  <c r="AB300" i="19"/>
  <c r="AH299" i="19"/>
  <c r="M345" i="3" s="1"/>
  <c r="AN300" i="19"/>
  <c r="AT299" i="19"/>
  <c r="M349" i="3" s="1"/>
  <c r="AZ300" i="19"/>
  <c r="BF299" i="19"/>
  <c r="M353" i="3" s="1"/>
  <c r="BF300" i="19"/>
  <c r="AT300" i="19"/>
  <c r="AH300" i="19"/>
  <c r="V300" i="19"/>
  <c r="J300" i="19"/>
  <c r="AZ299" i="19"/>
  <c r="M351" i="3" s="1"/>
  <c r="AN299" i="19"/>
  <c r="M347" i="3" s="1"/>
  <c r="AB299" i="19"/>
  <c r="M343" i="3" s="1"/>
  <c r="P299" i="19"/>
  <c r="M339" i="3" s="1"/>
  <c r="AB6" i="20"/>
  <c r="M360" i="3" s="1"/>
  <c r="AW7" i="20"/>
  <c r="AK7" i="20"/>
  <c r="Y7" i="20"/>
  <c r="M7" i="20"/>
  <c r="BC6" i="20"/>
  <c r="M369" i="3" s="1"/>
  <c r="AQ6" i="20"/>
  <c r="M365" i="3" s="1"/>
  <c r="AE6" i="20"/>
  <c r="M361" i="3" s="1"/>
  <c r="S6" i="20"/>
  <c r="M357" i="3" s="1"/>
  <c r="AZ6" i="20"/>
  <c r="M368" i="3" s="1"/>
  <c r="AN6" i="20"/>
  <c r="M364" i="3" s="1"/>
  <c r="P6" i="20"/>
  <c r="M356" i="3" s="1"/>
  <c r="S9" i="21"/>
  <c r="M374" i="3" s="1"/>
  <c r="S10" i="21"/>
  <c r="J9" i="21"/>
  <c r="M371" i="3" s="1"/>
  <c r="V9" i="21"/>
  <c r="M375" i="3" s="1"/>
  <c r="Y9" i="21"/>
  <c r="M376" i="3" s="1"/>
  <c r="AB9" i="21"/>
  <c r="M377" i="3" s="1"/>
  <c r="M9" i="21"/>
  <c r="M372" i="3" s="1"/>
  <c r="P9" i="21"/>
  <c r="M373" i="3" s="1"/>
  <c r="V10" i="21"/>
  <c r="J10" i="21"/>
  <c r="AB10" i="21"/>
  <c r="Y10" i="21"/>
  <c r="M10" i="21"/>
  <c r="P10" i="21"/>
  <c r="M7" i="17"/>
  <c r="J6" i="17"/>
  <c r="M313" i="3" s="1"/>
  <c r="V7" i="17"/>
  <c r="BL7" i="16"/>
  <c r="M307" i="3" s="1"/>
  <c r="AN7" i="16"/>
  <c r="M299" i="3" s="1"/>
  <c r="P7" i="16"/>
  <c r="M291" i="3" s="1"/>
  <c r="CA8" i="16"/>
  <c r="J7" i="16"/>
  <c r="M289" i="3" s="1"/>
  <c r="V7" i="16"/>
  <c r="M293" i="3" s="1"/>
  <c r="AH7" i="16"/>
  <c r="M297" i="3" s="1"/>
  <c r="AT7" i="16"/>
  <c r="M301" i="3" s="1"/>
  <c r="BF7" i="16"/>
  <c r="M305" i="3" s="1"/>
  <c r="BX7" i="16"/>
  <c r="M311" i="3" s="1"/>
  <c r="BO7" i="16"/>
  <c r="M308" i="3" s="1"/>
  <c r="BC7" i="16"/>
  <c r="M304" i="3" s="1"/>
  <c r="AQ7" i="16"/>
  <c r="M300" i="3" s="1"/>
  <c r="AE7" i="16"/>
  <c r="M296" i="3" s="1"/>
  <c r="S7" i="16"/>
  <c r="M292" i="3" s="1"/>
  <c r="J9" i="15"/>
  <c r="M279" i="3" s="1"/>
  <c r="M9" i="15"/>
  <c r="M280" i="3" s="1"/>
  <c r="P10" i="15"/>
  <c r="M10" i="15"/>
  <c r="P9" i="15"/>
  <c r="M281" i="3" s="1"/>
  <c r="S9" i="15"/>
  <c r="M282" i="3" s="1"/>
  <c r="V9" i="15"/>
  <c r="M283" i="3" s="1"/>
  <c r="Y10" i="15"/>
  <c r="AB9" i="15"/>
  <c r="M285" i="3" s="1"/>
  <c r="AE9" i="15"/>
  <c r="M286" i="3" s="1"/>
  <c r="AH9" i="15"/>
  <c r="M287" i="3" s="1"/>
  <c r="AK9" i="15"/>
  <c r="M288" i="3" s="1"/>
  <c r="AE10" i="15"/>
  <c r="S10" i="15"/>
  <c r="AK10" i="15"/>
  <c r="AH10" i="15"/>
  <c r="V10" i="15"/>
  <c r="J10" i="15"/>
  <c r="AK7" i="14"/>
  <c r="Y7" i="14"/>
  <c r="M7" i="14"/>
  <c r="AB7" i="14"/>
  <c r="P7" i="14"/>
  <c r="AE7" i="14"/>
  <c r="S7" i="14"/>
  <c r="S7" i="10"/>
  <c r="M237" i="3" s="1"/>
  <c r="Y8" i="10"/>
  <c r="AE7" i="10"/>
  <c r="M240" i="3" s="1"/>
  <c r="AB7" i="10"/>
  <c r="M239" i="3" s="1"/>
  <c r="AH7" i="10"/>
  <c r="M242" i="3" s="1"/>
  <c r="AE8" i="10"/>
  <c r="S8" i="10"/>
  <c r="Y7" i="10"/>
  <c r="M238" i="3" s="1"/>
  <c r="P7" i="10"/>
  <c r="M236" i="3" s="1"/>
  <c r="BX8" i="16"/>
  <c r="BO190" i="5"/>
  <c r="AW190" i="5"/>
  <c r="V190" i="5"/>
  <c r="J190" i="5"/>
  <c r="AB57" i="6"/>
  <c r="P41" i="6"/>
  <c r="M126" i="3" s="1"/>
  <c r="BF9" i="7"/>
  <c r="M183" i="3" s="1"/>
  <c r="AZ10" i="7"/>
  <c r="AW10" i="7"/>
  <c r="AQ10" i="7"/>
  <c r="AN9" i="7"/>
  <c r="M185" i="3" s="1"/>
  <c r="AH10" i="7"/>
  <c r="AE10" i="7"/>
  <c r="AB9" i="7"/>
  <c r="M174" i="3" s="1"/>
  <c r="V10" i="7"/>
  <c r="P10" i="7"/>
  <c r="J9" i="7"/>
  <c r="M181" i="3" s="1"/>
  <c r="BI23" i="8"/>
  <c r="M206" i="3" s="1"/>
  <c r="BF24" i="8"/>
  <c r="AZ24" i="8"/>
  <c r="AH24" i="8"/>
  <c r="AE24" i="8"/>
  <c r="AB24" i="8"/>
  <c r="Y24" i="8"/>
  <c r="V24" i="8"/>
  <c r="P24" i="8"/>
  <c r="J8" i="10"/>
  <c r="V8" i="10"/>
  <c r="M7" i="10"/>
  <c r="M235" i="3" s="1"/>
  <c r="M8" i="10"/>
  <c r="M190" i="5"/>
  <c r="P191" i="5"/>
  <c r="S191" i="5"/>
  <c r="Y190" i="5"/>
  <c r="AB190" i="5"/>
  <c r="AE191" i="5"/>
  <c r="AH190" i="5"/>
  <c r="AK190" i="5"/>
  <c r="AN190" i="5"/>
  <c r="AQ191" i="5"/>
  <c r="AT191" i="5"/>
  <c r="BF191" i="5"/>
  <c r="J56" i="6"/>
  <c r="AH56" i="6"/>
  <c r="AH42" i="6"/>
  <c r="S42" i="6"/>
  <c r="J42" i="6"/>
  <c r="AB177" i="5"/>
  <c r="M2" i="3" s="1"/>
  <c r="AW178" i="5"/>
  <c r="AH177" i="5"/>
  <c r="M85" i="3" s="1"/>
  <c r="J177" i="5"/>
  <c r="M13" i="3" s="1"/>
  <c r="AN177" i="5"/>
  <c r="M50" i="3" s="1"/>
  <c r="AN178" i="5"/>
  <c r="J178" i="5"/>
  <c r="M178" i="5"/>
  <c r="M177" i="5"/>
  <c r="M75" i="3" s="1"/>
  <c r="AB178" i="5"/>
  <c r="AH178" i="5"/>
  <c r="AK178" i="5"/>
  <c r="AQ177" i="5"/>
  <c r="M4" i="3" s="1"/>
  <c r="BR178" i="5"/>
  <c r="AQ178" i="5"/>
  <c r="AW177" i="5"/>
  <c r="M94" i="3" s="1"/>
  <c r="AK177" i="5"/>
  <c r="M3" i="3" s="1"/>
  <c r="AH57" i="6"/>
  <c r="AE56" i="6"/>
  <c r="P57" i="6"/>
  <c r="M56" i="6"/>
  <c r="S10" i="25"/>
  <c r="R10" i="25"/>
  <c r="Q10" i="25"/>
  <c r="P10" i="25"/>
  <c r="O10" i="25"/>
  <c r="N10" i="25"/>
  <c r="M10" i="25"/>
  <c r="L10" i="25"/>
  <c r="K10" i="25"/>
  <c r="J10" i="25"/>
  <c r="I10" i="25"/>
  <c r="H10" i="25"/>
  <c r="S9" i="25"/>
  <c r="R9" i="25"/>
  <c r="Q9" i="25"/>
  <c r="P9" i="25"/>
  <c r="O9" i="25"/>
  <c r="N9" i="25"/>
  <c r="M9" i="25"/>
  <c r="L9" i="25"/>
  <c r="K9" i="25"/>
  <c r="J9" i="25"/>
  <c r="I9" i="25"/>
  <c r="H9" i="25"/>
  <c r="S10" i="24"/>
  <c r="R10" i="24"/>
  <c r="Q10" i="24"/>
  <c r="P10" i="24"/>
  <c r="O10" i="24"/>
  <c r="N10" i="24"/>
  <c r="M10" i="24"/>
  <c r="L10" i="24"/>
  <c r="K10" i="24"/>
  <c r="J10" i="24"/>
  <c r="I10" i="24"/>
  <c r="H10" i="24"/>
  <c r="S9" i="24"/>
  <c r="R9" i="24"/>
  <c r="Q9" i="24"/>
  <c r="P9" i="24"/>
  <c r="O9" i="24"/>
  <c r="N9" i="24"/>
  <c r="M9" i="24"/>
  <c r="L9" i="24"/>
  <c r="K9" i="24"/>
  <c r="J9" i="24"/>
  <c r="I9" i="24"/>
  <c r="H9" i="24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AA10" i="22"/>
  <c r="Z10" i="22"/>
  <c r="Y10" i="22"/>
  <c r="X10" i="22"/>
  <c r="W10" i="22"/>
  <c r="V10" i="22"/>
  <c r="AA9" i="22"/>
  <c r="Z9" i="22"/>
  <c r="Y9" i="22"/>
  <c r="X9" i="22"/>
  <c r="W9" i="22"/>
  <c r="V9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K377" i="3"/>
  <c r="K376" i="3"/>
  <c r="K375" i="3"/>
  <c r="K374" i="3"/>
  <c r="K373" i="3"/>
  <c r="K372" i="3"/>
  <c r="K371" i="3"/>
  <c r="N377" i="3"/>
  <c r="N376" i="3"/>
  <c r="N375" i="3"/>
  <c r="N374" i="3"/>
  <c r="N373" i="3"/>
  <c r="N372" i="3"/>
  <c r="N371" i="3"/>
  <c r="L377" i="3"/>
  <c r="L376" i="3"/>
  <c r="L375" i="3"/>
  <c r="L374" i="3"/>
  <c r="L373" i="3"/>
  <c r="L372" i="3"/>
  <c r="L371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K354" i="3"/>
  <c r="N354" i="3"/>
  <c r="L353" i="3" l="1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H306" i="19"/>
  <c r="H305" i="19"/>
  <c r="K317" i="3"/>
  <c r="K316" i="3"/>
  <c r="K315" i="3"/>
  <c r="K314" i="3"/>
  <c r="K313" i="3"/>
  <c r="N317" i="3"/>
  <c r="N316" i="3"/>
  <c r="N315" i="3"/>
  <c r="N314" i="3"/>
  <c r="N313" i="3"/>
  <c r="L317" i="3"/>
  <c r="L316" i="3"/>
  <c r="L315" i="3"/>
  <c r="L314" i="3"/>
  <c r="L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7" i="3"/>
  <c r="L296" i="3"/>
  <c r="L295" i="3"/>
  <c r="L294" i="3"/>
  <c r="L293" i="3"/>
  <c r="L292" i="3"/>
  <c r="L291" i="3"/>
  <c r="L290" i="3"/>
  <c r="L289" i="3"/>
  <c r="L298" i="3"/>
  <c r="K288" i="3" l="1"/>
  <c r="K287" i="3"/>
  <c r="K286" i="3"/>
  <c r="K285" i="3"/>
  <c r="K284" i="3"/>
  <c r="K283" i="3"/>
  <c r="K282" i="3"/>
  <c r="K281" i="3"/>
  <c r="K280" i="3"/>
  <c r="K279" i="3"/>
  <c r="N288" i="3"/>
  <c r="N287" i="3"/>
  <c r="N286" i="3"/>
  <c r="N285" i="3"/>
  <c r="N284" i="3"/>
  <c r="N283" i="3"/>
  <c r="N282" i="3"/>
  <c r="N281" i="3"/>
  <c r="N280" i="3"/>
  <c r="N279" i="3"/>
  <c r="L287" i="3"/>
  <c r="L288" i="3"/>
  <c r="L285" i="3"/>
  <c r="L283" i="3"/>
  <c r="L281" i="3"/>
  <c r="L279" i="3"/>
  <c r="K267" i="3"/>
  <c r="K266" i="3"/>
  <c r="K265" i="3"/>
  <c r="K264" i="3"/>
  <c r="K263" i="3"/>
  <c r="K262" i="3"/>
  <c r="K261" i="3"/>
  <c r="K260" i="3"/>
  <c r="K259" i="3"/>
  <c r="K258" i="3"/>
  <c r="K257" i="3"/>
  <c r="N267" i="3"/>
  <c r="N266" i="3"/>
  <c r="N265" i="3"/>
  <c r="N264" i="3"/>
  <c r="N263" i="3"/>
  <c r="N262" i="3"/>
  <c r="N261" i="3"/>
  <c r="N260" i="3"/>
  <c r="N259" i="3"/>
  <c r="N258" i="3"/>
  <c r="N257" i="3"/>
  <c r="L267" i="3"/>
  <c r="L266" i="3"/>
  <c r="L265" i="3"/>
  <c r="L264" i="3"/>
  <c r="L263" i="3"/>
  <c r="L262" i="3"/>
  <c r="L261" i="3"/>
  <c r="L260" i="3"/>
  <c r="L259" i="3"/>
  <c r="L258" i="3"/>
  <c r="L257" i="3"/>
  <c r="L280" i="3"/>
  <c r="L282" i="3"/>
  <c r="L284" i="3"/>
  <c r="L286" i="3"/>
  <c r="H7" i="14"/>
  <c r="H6" i="14"/>
  <c r="K233" i="3"/>
  <c r="K229" i="3"/>
  <c r="K225" i="3"/>
  <c r="K221" i="3"/>
  <c r="K217" i="3"/>
  <c r="K216" i="3"/>
  <c r="K215" i="3"/>
  <c r="K214" i="3"/>
  <c r="K213" i="3"/>
  <c r="K209" i="3"/>
  <c r="K208" i="3"/>
  <c r="K207" i="3"/>
  <c r="K206" i="3"/>
  <c r="K205" i="3"/>
  <c r="K204" i="3"/>
  <c r="K203" i="3"/>
  <c r="K202" i="3"/>
  <c r="K201" i="3"/>
  <c r="K200" i="3"/>
  <c r="K199" i="3"/>
  <c r="N233" i="3"/>
  <c r="N229" i="3"/>
  <c r="N225" i="3"/>
  <c r="N221" i="3"/>
  <c r="N217" i="3"/>
  <c r="N216" i="3"/>
  <c r="N215" i="3"/>
  <c r="N214" i="3"/>
  <c r="N213" i="3"/>
  <c r="N209" i="3"/>
  <c r="N208" i="3"/>
  <c r="N207" i="3"/>
  <c r="N206" i="3"/>
  <c r="N205" i="3"/>
  <c r="N204" i="3"/>
  <c r="N203" i="3"/>
  <c r="N202" i="3"/>
  <c r="N201" i="3"/>
  <c r="N200" i="3"/>
  <c r="N199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0" i="3"/>
  <c r="K159" i="3"/>
  <c r="K149" i="3"/>
  <c r="K148" i="3"/>
  <c r="K138" i="3"/>
  <c r="K127" i="3"/>
  <c r="K126" i="3"/>
  <c r="K116" i="3"/>
  <c r="N186" i="3" l="1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0" i="3"/>
  <c r="N159" i="3"/>
  <c r="N149" i="3"/>
  <c r="N148" i="3"/>
  <c r="N138" i="3"/>
  <c r="N127" i="3"/>
  <c r="N126" i="3"/>
  <c r="N116" i="3"/>
  <c r="K235" i="3"/>
  <c r="K236" i="3"/>
  <c r="K237" i="3"/>
  <c r="K241" i="3"/>
  <c r="K238" i="3"/>
  <c r="K239" i="3"/>
  <c r="K240" i="3"/>
  <c r="K242" i="3"/>
  <c r="K234" i="3"/>
  <c r="K137" i="3"/>
  <c r="H42" i="6"/>
  <c r="K115" i="3"/>
  <c r="K105" i="3"/>
  <c r="K95" i="3"/>
  <c r="K94" i="3"/>
  <c r="K85" i="3"/>
  <c r="K84" i="3"/>
  <c r="K75" i="3"/>
  <c r="K74" i="3"/>
  <c r="K64" i="3"/>
  <c r="K54" i="3"/>
  <c r="K52" i="3"/>
  <c r="K51" i="3"/>
  <c r="K50" i="3"/>
  <c r="K41" i="3"/>
  <c r="K40" i="3"/>
  <c r="K31" i="3"/>
  <c r="K22" i="3"/>
  <c r="K13" i="3"/>
  <c r="K4" i="3"/>
  <c r="K3" i="3"/>
  <c r="K2" i="3"/>
  <c r="N115" i="3"/>
  <c r="N105" i="3"/>
  <c r="N95" i="3"/>
  <c r="N94" i="3"/>
  <c r="N85" i="3"/>
  <c r="N84" i="3"/>
  <c r="N75" i="3"/>
  <c r="N74" i="3"/>
  <c r="N64" i="3"/>
  <c r="N54" i="3"/>
  <c r="N52" i="3"/>
  <c r="N51" i="3"/>
  <c r="N50" i="3"/>
  <c r="N41" i="3"/>
  <c r="N40" i="3"/>
  <c r="N31" i="3"/>
  <c r="N22" i="3"/>
  <c r="N13" i="3"/>
  <c r="N4" i="3"/>
  <c r="N3" i="3"/>
  <c r="N2" i="3"/>
  <c r="P114" i="3"/>
  <c r="P104" i="3"/>
  <c r="P65" i="3"/>
  <c r="P63" i="3"/>
  <c r="P53" i="3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5" i="8"/>
  <c r="E6" i="7"/>
  <c r="E7" i="7"/>
  <c r="E8" i="7"/>
  <c r="E5" i="7"/>
  <c r="E51" i="6"/>
  <c r="E52" i="6"/>
  <c r="E53" i="6"/>
  <c r="E54" i="6"/>
  <c r="E55" i="6"/>
  <c r="E50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5" i="6"/>
  <c r="E187" i="5"/>
  <c r="E188" i="5"/>
  <c r="E189" i="5"/>
  <c r="E186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5" i="5"/>
  <c r="F186" i="5"/>
  <c r="D186" i="5"/>
  <c r="C186" i="5"/>
  <c r="B186" i="5"/>
  <c r="F189" i="5"/>
  <c r="D189" i="5"/>
  <c r="C189" i="5"/>
  <c r="B189" i="5"/>
  <c r="L141" i="3" l="1"/>
  <c r="N162" i="3"/>
  <c r="N231" i="3"/>
  <c r="L73" i="3"/>
  <c r="N11" i="3"/>
  <c r="N7" i="3"/>
  <c r="L11" i="3"/>
  <c r="L7" i="3"/>
  <c r="L21" i="3"/>
  <c r="L19" i="3"/>
  <c r="L17" i="3"/>
  <c r="L15" i="3"/>
  <c r="N32" i="3"/>
  <c r="N55" i="3"/>
  <c r="L61" i="3"/>
  <c r="L59" i="3"/>
  <c r="L57" i="3"/>
  <c r="L49" i="3"/>
  <c r="L47" i="3"/>
  <c r="L45" i="3"/>
  <c r="L43" i="3"/>
  <c r="L38" i="3"/>
  <c r="L36" i="3"/>
  <c r="L34" i="3"/>
  <c r="L30" i="3"/>
  <c r="L28" i="3"/>
  <c r="L26" i="3"/>
  <c r="L24" i="3"/>
  <c r="L125" i="3"/>
  <c r="L123" i="3"/>
  <c r="L121" i="3"/>
  <c r="L119" i="3"/>
  <c r="N128" i="3"/>
  <c r="N130" i="3"/>
  <c r="N132" i="3"/>
  <c r="N134" i="3"/>
  <c r="N136" i="3"/>
  <c r="L147" i="3"/>
  <c r="L145" i="3"/>
  <c r="L143" i="3"/>
  <c r="N150" i="3"/>
  <c r="L157" i="3"/>
  <c r="L155" i="3"/>
  <c r="L153" i="3"/>
  <c r="L151" i="3"/>
  <c r="L169" i="3"/>
  <c r="L167" i="3"/>
  <c r="L165" i="3"/>
  <c r="L163" i="3"/>
  <c r="N66" i="3"/>
  <c r="N86" i="3"/>
  <c r="N106" i="3"/>
  <c r="N108" i="3"/>
  <c r="N110" i="3"/>
  <c r="N112" i="3"/>
  <c r="L114" i="3"/>
  <c r="N98" i="3"/>
  <c r="N100" i="3"/>
  <c r="N102" i="3"/>
  <c r="N65" i="3"/>
  <c r="N88" i="3"/>
  <c r="N90" i="3"/>
  <c r="N92" i="3"/>
  <c r="N104" i="3"/>
  <c r="N78" i="3"/>
  <c r="N80" i="3"/>
  <c r="N82" i="3"/>
  <c r="N63" i="3"/>
  <c r="N68" i="3"/>
  <c r="N70" i="3"/>
  <c r="N72" i="3"/>
  <c r="N53" i="3"/>
  <c r="L212" i="3"/>
  <c r="N218" i="3"/>
  <c r="L219" i="3"/>
  <c r="L224" i="3"/>
  <c r="N226" i="3"/>
  <c r="L227" i="3"/>
  <c r="L232" i="3"/>
  <c r="N10" i="3"/>
  <c r="N6" i="3"/>
  <c r="L10" i="3"/>
  <c r="L6" i="3"/>
  <c r="N21" i="3"/>
  <c r="N19" i="3"/>
  <c r="N17" i="3"/>
  <c r="N15" i="3"/>
  <c r="L32" i="3"/>
  <c r="L55" i="3"/>
  <c r="N61" i="3"/>
  <c r="N59" i="3"/>
  <c r="N57" i="3"/>
  <c r="N49" i="3"/>
  <c r="N47" i="3"/>
  <c r="N45" i="3"/>
  <c r="N43" i="3"/>
  <c r="N38" i="3"/>
  <c r="N36" i="3"/>
  <c r="N34" i="3"/>
  <c r="N30" i="3"/>
  <c r="N28" i="3"/>
  <c r="N26" i="3"/>
  <c r="N24" i="3"/>
  <c r="N125" i="3"/>
  <c r="N123" i="3"/>
  <c r="N121" i="3"/>
  <c r="N119" i="3"/>
  <c r="L128" i="3"/>
  <c r="L130" i="3"/>
  <c r="L132" i="3"/>
  <c r="L134" i="3"/>
  <c r="L136" i="3"/>
  <c r="N147" i="3"/>
  <c r="N145" i="3"/>
  <c r="N143" i="3"/>
  <c r="N141" i="3"/>
  <c r="L150" i="3"/>
  <c r="N157" i="3"/>
  <c r="N155" i="3"/>
  <c r="N153" i="3"/>
  <c r="N151" i="3"/>
  <c r="N169" i="3"/>
  <c r="N167" i="3"/>
  <c r="N165" i="3"/>
  <c r="N163" i="3"/>
  <c r="L66" i="3"/>
  <c r="L86" i="3"/>
  <c r="L106" i="3"/>
  <c r="L108" i="3"/>
  <c r="L110" i="3"/>
  <c r="L112" i="3"/>
  <c r="N114" i="3"/>
  <c r="L98" i="3"/>
  <c r="L100" i="3"/>
  <c r="L102" i="3"/>
  <c r="L65" i="3"/>
  <c r="L88" i="3"/>
  <c r="L90" i="3"/>
  <c r="L92" i="3"/>
  <c r="L104" i="3"/>
  <c r="L78" i="3"/>
  <c r="L80" i="3"/>
  <c r="L82" i="3"/>
  <c r="L63" i="3"/>
  <c r="L68" i="3"/>
  <c r="L70" i="3"/>
  <c r="L72" i="3"/>
  <c r="L53" i="3"/>
  <c r="N212" i="3"/>
  <c r="L218" i="3"/>
  <c r="N219" i="3"/>
  <c r="N224" i="3"/>
  <c r="L226" i="3"/>
  <c r="N227" i="3"/>
  <c r="N232" i="3"/>
  <c r="N5" i="3"/>
  <c r="N9" i="3"/>
  <c r="L5" i="3"/>
  <c r="L9" i="3"/>
  <c r="N14" i="3"/>
  <c r="L20" i="3"/>
  <c r="L18" i="3"/>
  <c r="L16" i="3"/>
  <c r="N23" i="3"/>
  <c r="N42" i="3"/>
  <c r="L62" i="3"/>
  <c r="L60" i="3"/>
  <c r="L58" i="3"/>
  <c r="L56" i="3"/>
  <c r="L48" i="3"/>
  <c r="L46" i="3"/>
  <c r="L44" i="3"/>
  <c r="L39" i="3"/>
  <c r="L37" i="3"/>
  <c r="L35" i="3"/>
  <c r="L33" i="3"/>
  <c r="L29" i="3"/>
  <c r="L27" i="3"/>
  <c r="L25" i="3"/>
  <c r="N117" i="3"/>
  <c r="L124" i="3"/>
  <c r="L122" i="3"/>
  <c r="L120" i="3"/>
  <c r="L118" i="3"/>
  <c r="N129" i="3"/>
  <c r="N131" i="3"/>
  <c r="N133" i="3"/>
  <c r="N135" i="3"/>
  <c r="N139" i="3"/>
  <c r="L146" i="3"/>
  <c r="L144" i="3"/>
  <c r="L142" i="3"/>
  <c r="L140" i="3"/>
  <c r="L158" i="3"/>
  <c r="L156" i="3"/>
  <c r="L154" i="3"/>
  <c r="L152" i="3"/>
  <c r="N161" i="3"/>
  <c r="L168" i="3"/>
  <c r="L166" i="3"/>
  <c r="L164" i="3"/>
  <c r="L162" i="3"/>
  <c r="N76" i="3"/>
  <c r="N96" i="3"/>
  <c r="N107" i="3"/>
  <c r="N109" i="3"/>
  <c r="N111" i="3"/>
  <c r="N113" i="3"/>
  <c r="N97" i="3"/>
  <c r="N99" i="3"/>
  <c r="N101" i="3"/>
  <c r="N103" i="3"/>
  <c r="N87" i="3"/>
  <c r="N89" i="3"/>
  <c r="N91" i="3"/>
  <c r="N93" i="3"/>
  <c r="N77" i="3"/>
  <c r="N79" i="3"/>
  <c r="N81" i="3"/>
  <c r="N83" i="3"/>
  <c r="N67" i="3"/>
  <c r="N69" i="3"/>
  <c r="N71" i="3"/>
  <c r="N73" i="3"/>
  <c r="N210" i="3"/>
  <c r="L211" i="3"/>
  <c r="L220" i="3"/>
  <c r="N222" i="3"/>
  <c r="L223" i="3"/>
  <c r="L228" i="3"/>
  <c r="N230" i="3"/>
  <c r="L231" i="3"/>
  <c r="N12" i="3"/>
  <c r="N8" i="3"/>
  <c r="L12" i="3"/>
  <c r="L8" i="3"/>
  <c r="L14" i="3"/>
  <c r="N20" i="3"/>
  <c r="N18" i="3"/>
  <c r="N16" i="3"/>
  <c r="L23" i="3"/>
  <c r="L42" i="3"/>
  <c r="N62" i="3"/>
  <c r="N60" i="3"/>
  <c r="N58" i="3"/>
  <c r="N56" i="3"/>
  <c r="N48" i="3"/>
  <c r="N46" i="3"/>
  <c r="N44" i="3"/>
  <c r="N39" i="3"/>
  <c r="N37" i="3"/>
  <c r="N35" i="3"/>
  <c r="N33" i="3"/>
  <c r="N29" i="3"/>
  <c r="N27" i="3"/>
  <c r="N25" i="3"/>
  <c r="L117" i="3"/>
  <c r="N124" i="3"/>
  <c r="N122" i="3"/>
  <c r="N120" i="3"/>
  <c r="N118" i="3"/>
  <c r="L129" i="3"/>
  <c r="L131" i="3"/>
  <c r="L133" i="3"/>
  <c r="L135" i="3"/>
  <c r="L139" i="3"/>
  <c r="N146" i="3"/>
  <c r="N144" i="3"/>
  <c r="N142" i="3"/>
  <c r="N140" i="3"/>
  <c r="N158" i="3"/>
  <c r="N156" i="3"/>
  <c r="N154" i="3"/>
  <c r="N152" i="3"/>
  <c r="L161" i="3"/>
  <c r="N168" i="3"/>
  <c r="N166" i="3"/>
  <c r="N164" i="3"/>
  <c r="L76" i="3"/>
  <c r="L96" i="3"/>
  <c r="L107" i="3"/>
  <c r="L109" i="3"/>
  <c r="L111" i="3"/>
  <c r="L113" i="3"/>
  <c r="L97" i="3"/>
  <c r="L99" i="3"/>
  <c r="L101" i="3"/>
  <c r="L103" i="3"/>
  <c r="L87" i="3"/>
  <c r="L89" i="3"/>
  <c r="L91" i="3"/>
  <c r="L93" i="3"/>
  <c r="L77" i="3"/>
  <c r="L79" i="3"/>
  <c r="L81" i="3"/>
  <c r="L83" i="3"/>
  <c r="L67" i="3"/>
  <c r="L69" i="3"/>
  <c r="L71" i="3"/>
  <c r="L210" i="3"/>
  <c r="N211" i="3"/>
  <c r="N220" i="3"/>
  <c r="L222" i="3"/>
  <c r="N223" i="3"/>
  <c r="N228" i="3"/>
  <c r="L230" i="3"/>
  <c r="H56" i="6"/>
  <c r="F171" i="5" l="1"/>
  <c r="D171" i="5"/>
  <c r="C171" i="5"/>
  <c r="B171" i="5"/>
  <c r="F173" i="5" l="1"/>
  <c r="D173" i="5"/>
  <c r="C173" i="5"/>
  <c r="B173" i="5"/>
  <c r="B5" i="5" l="1"/>
  <c r="B157" i="5"/>
  <c r="F164" i="5"/>
  <c r="D164" i="5"/>
  <c r="C164" i="5"/>
  <c r="B164" i="5"/>
  <c r="F170" i="5" l="1"/>
  <c r="D170" i="5"/>
  <c r="C170" i="5"/>
  <c r="B170" i="5"/>
  <c r="F154" i="5"/>
  <c r="D154" i="5"/>
  <c r="C154" i="5"/>
  <c r="B154" i="5"/>
  <c r="F175" i="5" l="1"/>
  <c r="D175" i="5"/>
  <c r="C175" i="5"/>
  <c r="B175" i="5"/>
  <c r="F176" i="5" l="1"/>
  <c r="D176" i="5"/>
  <c r="C176" i="5"/>
  <c r="B176" i="5"/>
  <c r="F174" i="5"/>
  <c r="D174" i="5"/>
  <c r="C174" i="5"/>
  <c r="B174" i="5"/>
  <c r="F172" i="5" l="1"/>
  <c r="D172" i="5"/>
  <c r="C172" i="5"/>
  <c r="B172" i="5"/>
  <c r="F97" i="5" l="1"/>
  <c r="D97" i="5"/>
  <c r="C97" i="5"/>
  <c r="B97" i="5"/>
  <c r="F169" i="5" l="1"/>
  <c r="D169" i="5"/>
  <c r="C169" i="5"/>
  <c r="B169" i="5"/>
  <c r="F5" i="7" l="1"/>
  <c r="F155" i="5" l="1"/>
  <c r="D155" i="5"/>
  <c r="C155" i="5"/>
  <c r="B155" i="5"/>
  <c r="F162" i="5" l="1"/>
  <c r="D162" i="5"/>
  <c r="C162" i="5"/>
  <c r="B162" i="5"/>
  <c r="F158" i="5" l="1"/>
  <c r="D158" i="5"/>
  <c r="C158" i="5"/>
  <c r="B158" i="5"/>
  <c r="F147" i="5"/>
  <c r="D147" i="5"/>
  <c r="C147" i="5"/>
  <c r="B147" i="5"/>
  <c r="F163" i="5" l="1"/>
  <c r="D163" i="5"/>
  <c r="C163" i="5"/>
  <c r="B163" i="5"/>
  <c r="F160" i="5"/>
  <c r="D160" i="5"/>
  <c r="C160" i="5"/>
  <c r="B160" i="5"/>
  <c r="F159" i="5"/>
  <c r="D159" i="5"/>
  <c r="C159" i="5"/>
  <c r="B159" i="5"/>
  <c r="F152" i="5"/>
  <c r="D152" i="5"/>
  <c r="C152" i="5"/>
  <c r="B152" i="5"/>
  <c r="F153" i="5"/>
  <c r="D153" i="5"/>
  <c r="C153" i="5"/>
  <c r="B153" i="5"/>
  <c r="F146" i="5"/>
  <c r="D146" i="5"/>
  <c r="C146" i="5"/>
  <c r="B146" i="5"/>
  <c r="F144" i="5"/>
  <c r="D144" i="5"/>
  <c r="C144" i="5"/>
  <c r="B144" i="5"/>
  <c r="F142" i="5"/>
  <c r="D142" i="5"/>
  <c r="C142" i="5"/>
  <c r="B142" i="5"/>
  <c r="B149" i="5"/>
  <c r="F156" i="5" l="1"/>
  <c r="D156" i="5"/>
  <c r="C156" i="5"/>
  <c r="B156" i="5"/>
  <c r="F157" i="5"/>
  <c r="D157" i="5"/>
  <c r="C157" i="5"/>
  <c r="F168" i="5"/>
  <c r="D168" i="5"/>
  <c r="C168" i="5"/>
  <c r="B168" i="5"/>
  <c r="F90" i="5"/>
  <c r="D90" i="5"/>
  <c r="C90" i="5"/>
  <c r="B90" i="5"/>
  <c r="F161" i="5" l="1"/>
  <c r="D161" i="5"/>
  <c r="C161" i="5"/>
  <c r="B161" i="5"/>
  <c r="F151" i="5"/>
  <c r="D151" i="5"/>
  <c r="C151" i="5"/>
  <c r="B151" i="5"/>
  <c r="F143" i="5"/>
  <c r="D143" i="5"/>
  <c r="C143" i="5"/>
  <c r="B143" i="5"/>
  <c r="F138" i="5"/>
  <c r="D138" i="5"/>
  <c r="C138" i="5"/>
  <c r="B138" i="5"/>
  <c r="F167" i="5" l="1"/>
  <c r="D167" i="5"/>
  <c r="C167" i="5"/>
  <c r="B167" i="5"/>
  <c r="F166" i="5"/>
  <c r="D166" i="5"/>
  <c r="C166" i="5"/>
  <c r="B166" i="5"/>
  <c r="F165" i="5"/>
  <c r="D165" i="5"/>
  <c r="C165" i="5"/>
  <c r="B165" i="5"/>
  <c r="F133" i="5"/>
  <c r="D133" i="5"/>
  <c r="C133" i="5"/>
  <c r="B133" i="5"/>
  <c r="F150" i="5"/>
  <c r="D150" i="5"/>
  <c r="C150" i="5"/>
  <c r="B150" i="5"/>
  <c r="F6" i="7" l="1"/>
  <c r="F99" i="5" l="1"/>
  <c r="F98" i="5"/>
  <c r="F96" i="5"/>
  <c r="F95" i="5"/>
  <c r="F94" i="5"/>
  <c r="F93" i="5"/>
  <c r="F92" i="5"/>
  <c r="F91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5" i="8"/>
  <c r="F8" i="7"/>
  <c r="F7" i="7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5" i="6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4" i="5"/>
  <c r="F135" i="5"/>
  <c r="F136" i="5"/>
  <c r="F137" i="5"/>
  <c r="F139" i="5"/>
  <c r="F140" i="5"/>
  <c r="F141" i="5"/>
  <c r="F145" i="5"/>
  <c r="F148" i="5"/>
  <c r="F149" i="5"/>
  <c r="F100" i="5"/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2" i="12"/>
  <c r="B8" i="7" l="1"/>
  <c r="C8" i="7"/>
  <c r="D8" i="7"/>
  <c r="D7" i="7"/>
  <c r="C7" i="7"/>
  <c r="B7" i="7"/>
  <c r="P71" i="12" l="1"/>
  <c r="P72" i="12"/>
  <c r="P73" i="12"/>
  <c r="P74" i="12"/>
  <c r="P75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2" i="12"/>
  <c r="D22" i="8" l="1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41" i="5"/>
  <c r="C141" i="5"/>
  <c r="B141" i="5"/>
  <c r="D94" i="5"/>
  <c r="C94" i="5"/>
  <c r="B94" i="5"/>
  <c r="D63" i="5"/>
  <c r="C63" i="5"/>
  <c r="B63" i="5"/>
  <c r="D45" i="5"/>
  <c r="C45" i="5"/>
  <c r="B45" i="5"/>
  <c r="D40" i="5"/>
  <c r="C40" i="5"/>
  <c r="B40" i="5"/>
  <c r="D33" i="5"/>
  <c r="C33" i="5"/>
  <c r="B33" i="5"/>
  <c r="D29" i="5"/>
  <c r="C29" i="5"/>
  <c r="B29" i="5"/>
  <c r="D23" i="5"/>
  <c r="C23" i="5"/>
  <c r="B23" i="5"/>
  <c r="D13" i="5"/>
  <c r="C13" i="5"/>
  <c r="B13" i="5"/>
  <c r="D11" i="5"/>
  <c r="C11" i="5"/>
  <c r="B11" i="5"/>
  <c r="D145" i="5" l="1"/>
  <c r="C145" i="5"/>
  <c r="B145" i="5"/>
  <c r="D72" i="5" l="1"/>
  <c r="C72" i="5"/>
  <c r="B72" i="5"/>
  <c r="D136" i="5" l="1"/>
  <c r="C136" i="5"/>
  <c r="B136" i="5"/>
  <c r="D100" i="5"/>
  <c r="C100" i="5"/>
  <c r="B100" i="5"/>
  <c r="D6" i="5"/>
  <c r="C6" i="5"/>
  <c r="B6" i="5"/>
  <c r="D149" i="5" l="1"/>
  <c r="C149" i="5"/>
  <c r="D10" i="5" l="1"/>
  <c r="C10" i="5"/>
  <c r="B10" i="5"/>
  <c r="D64" i="5"/>
  <c r="C64" i="5"/>
  <c r="B64" i="5"/>
  <c r="B80" i="5"/>
  <c r="C80" i="5"/>
  <c r="D80" i="5"/>
  <c r="B81" i="5"/>
  <c r="C81" i="5"/>
  <c r="D81" i="5"/>
  <c r="D148" i="5" l="1"/>
  <c r="C148" i="5"/>
  <c r="B148" i="5"/>
  <c r="D128" i="5"/>
  <c r="C128" i="5"/>
  <c r="B128" i="5"/>
  <c r="D101" i="5"/>
  <c r="C101" i="5"/>
  <c r="B101" i="5"/>
  <c r="D12" i="5"/>
  <c r="C12" i="5"/>
  <c r="B12" i="5"/>
  <c r="D140" i="5"/>
  <c r="C140" i="5"/>
  <c r="B140" i="5"/>
  <c r="D134" i="5" l="1"/>
  <c r="C134" i="5"/>
  <c r="B134" i="5"/>
  <c r="D127" i="5"/>
  <c r="C127" i="5"/>
  <c r="B127" i="5"/>
  <c r="D123" i="5"/>
  <c r="C123" i="5"/>
  <c r="B123" i="5"/>
  <c r="D110" i="5"/>
  <c r="C110" i="5"/>
  <c r="B110" i="5"/>
  <c r="D106" i="5"/>
  <c r="C106" i="5"/>
  <c r="B106" i="5"/>
  <c r="D98" i="5"/>
  <c r="C98" i="5"/>
  <c r="B98" i="5"/>
  <c r="D92" i="5"/>
  <c r="C92" i="5"/>
  <c r="B92" i="5"/>
  <c r="D88" i="5"/>
  <c r="C88" i="5"/>
  <c r="B88" i="5"/>
  <c r="D68" i="5"/>
  <c r="C68" i="5"/>
  <c r="B68" i="5"/>
  <c r="D67" i="5"/>
  <c r="C67" i="5"/>
  <c r="B67" i="5"/>
  <c r="D61" i="5"/>
  <c r="C61" i="5"/>
  <c r="B61" i="5"/>
  <c r="D32" i="5"/>
  <c r="C32" i="5"/>
  <c r="B32" i="5"/>
  <c r="D20" i="5"/>
  <c r="C20" i="5"/>
  <c r="B20" i="5"/>
  <c r="D9" i="5"/>
  <c r="C9" i="5"/>
  <c r="B9" i="5"/>
  <c r="D117" i="5" l="1"/>
  <c r="C117" i="5"/>
  <c r="B117" i="5"/>
  <c r="D116" i="5"/>
  <c r="C116" i="5"/>
  <c r="B116" i="5"/>
  <c r="D113" i="5"/>
  <c r="C113" i="5"/>
  <c r="B113" i="5"/>
  <c r="D108" i="5"/>
  <c r="C108" i="5"/>
  <c r="B108" i="5"/>
  <c r="D96" i="5"/>
  <c r="C96" i="5"/>
  <c r="B96" i="5"/>
  <c r="D71" i="5"/>
  <c r="C71" i="5"/>
  <c r="B71" i="5"/>
  <c r="D48" i="5"/>
  <c r="C48" i="5"/>
  <c r="B48" i="5"/>
  <c r="D36" i="5"/>
  <c r="C36" i="5"/>
  <c r="B36" i="5"/>
  <c r="D131" i="5" l="1"/>
  <c r="C131" i="5"/>
  <c r="B131" i="5"/>
  <c r="D130" i="5"/>
  <c r="C130" i="5"/>
  <c r="B130" i="5"/>
  <c r="D124" i="5"/>
  <c r="C124" i="5"/>
  <c r="B124" i="5"/>
  <c r="D118" i="5"/>
  <c r="C118" i="5"/>
  <c r="B118" i="5"/>
  <c r="D114" i="5"/>
  <c r="C114" i="5"/>
  <c r="B114" i="5"/>
  <c r="C6" i="8" l="1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D5" i="8"/>
  <c r="C5" i="8"/>
  <c r="C6" i="7"/>
  <c r="D6" i="7"/>
  <c r="D5" i="7"/>
  <c r="C5" i="7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D5" i="6"/>
  <c r="C5" i="6"/>
  <c r="C7" i="5"/>
  <c r="D7" i="5"/>
  <c r="C8" i="5"/>
  <c r="D8" i="5"/>
  <c r="C14" i="5"/>
  <c r="D14" i="5"/>
  <c r="C15" i="5"/>
  <c r="D15" i="5"/>
  <c r="C16" i="5"/>
  <c r="D16" i="5"/>
  <c r="C17" i="5"/>
  <c r="D17" i="5"/>
  <c r="C18" i="5"/>
  <c r="D18" i="5"/>
  <c r="C19" i="5"/>
  <c r="D19" i="5"/>
  <c r="C21" i="5"/>
  <c r="D21" i="5"/>
  <c r="C22" i="5"/>
  <c r="D22" i="5"/>
  <c r="C24" i="5"/>
  <c r="D24" i="5"/>
  <c r="C25" i="5"/>
  <c r="D25" i="5"/>
  <c r="C26" i="5"/>
  <c r="D26" i="5"/>
  <c r="C27" i="5"/>
  <c r="D27" i="5"/>
  <c r="C28" i="5"/>
  <c r="D28" i="5"/>
  <c r="C30" i="5"/>
  <c r="D30" i="5"/>
  <c r="C31" i="5"/>
  <c r="D31" i="5"/>
  <c r="C34" i="5"/>
  <c r="D34" i="5"/>
  <c r="C35" i="5"/>
  <c r="D35" i="5"/>
  <c r="C37" i="5"/>
  <c r="D37" i="5"/>
  <c r="C38" i="5"/>
  <c r="D38" i="5"/>
  <c r="C39" i="5"/>
  <c r="D39" i="5"/>
  <c r="C41" i="5"/>
  <c r="D41" i="5"/>
  <c r="C42" i="5"/>
  <c r="D42" i="5"/>
  <c r="C43" i="5"/>
  <c r="D43" i="5"/>
  <c r="C44" i="5"/>
  <c r="D44" i="5"/>
  <c r="C46" i="5"/>
  <c r="D46" i="5"/>
  <c r="C47" i="5"/>
  <c r="D47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2" i="5"/>
  <c r="D62" i="5"/>
  <c r="C65" i="5"/>
  <c r="D65" i="5"/>
  <c r="C66" i="5"/>
  <c r="D66" i="5"/>
  <c r="C69" i="5"/>
  <c r="D69" i="5"/>
  <c r="C70" i="5"/>
  <c r="D70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2" i="5"/>
  <c r="D82" i="5"/>
  <c r="C83" i="5"/>
  <c r="D83" i="5"/>
  <c r="C84" i="5"/>
  <c r="D84" i="5"/>
  <c r="C85" i="5"/>
  <c r="D85" i="5"/>
  <c r="C86" i="5"/>
  <c r="D86" i="5"/>
  <c r="C87" i="5"/>
  <c r="D87" i="5"/>
  <c r="C89" i="5"/>
  <c r="D89" i="5"/>
  <c r="C91" i="5"/>
  <c r="D91" i="5"/>
  <c r="C93" i="5"/>
  <c r="D93" i="5"/>
  <c r="C95" i="5"/>
  <c r="D95" i="5"/>
  <c r="C99" i="5"/>
  <c r="D99" i="5"/>
  <c r="C102" i="5"/>
  <c r="D102" i="5"/>
  <c r="C103" i="5"/>
  <c r="D103" i="5"/>
  <c r="C104" i="5"/>
  <c r="D104" i="5"/>
  <c r="C105" i="5"/>
  <c r="D105" i="5"/>
  <c r="C107" i="5"/>
  <c r="D107" i="5"/>
  <c r="C109" i="5"/>
  <c r="D109" i="5"/>
  <c r="C111" i="5"/>
  <c r="D111" i="5"/>
  <c r="C112" i="5"/>
  <c r="D112" i="5"/>
  <c r="C115" i="5"/>
  <c r="D115" i="5"/>
  <c r="C119" i="5"/>
  <c r="D119" i="5"/>
  <c r="C120" i="5"/>
  <c r="D120" i="5"/>
  <c r="C121" i="5"/>
  <c r="D121" i="5"/>
  <c r="C122" i="5"/>
  <c r="D122" i="5"/>
  <c r="C125" i="5"/>
  <c r="D125" i="5"/>
  <c r="C126" i="5"/>
  <c r="D126" i="5"/>
  <c r="C129" i="5"/>
  <c r="D129" i="5"/>
  <c r="C132" i="5"/>
  <c r="D132" i="5"/>
  <c r="C135" i="5"/>
  <c r="D135" i="5"/>
  <c r="C137" i="5"/>
  <c r="D137" i="5"/>
  <c r="C139" i="5"/>
  <c r="D139" i="5"/>
  <c r="D5" i="5"/>
  <c r="C5" i="5"/>
  <c r="B137" i="5" l="1"/>
  <c r="B135" i="5"/>
  <c r="B107" i="5"/>
  <c r="B99" i="5"/>
  <c r="B84" i="5"/>
  <c r="B75" i="5"/>
  <c r="B74" i="5"/>
  <c r="B70" i="5"/>
  <c r="B69" i="5"/>
  <c r="B66" i="5"/>
  <c r="B65" i="5"/>
  <c r="B56" i="5"/>
  <c r="B53" i="5"/>
  <c r="B51" i="5"/>
  <c r="B47" i="5"/>
  <c r="B41" i="5"/>
  <c r="B38" i="5"/>
  <c r="B34" i="5"/>
  <c r="B22" i="5"/>
  <c r="B17" i="5"/>
  <c r="B7" i="5"/>
  <c r="B85" i="5" l="1"/>
  <c r="B139" i="5" l="1"/>
  <c r="B132" i="5"/>
  <c r="B129" i="5"/>
  <c r="B126" i="5"/>
  <c r="B125" i="5"/>
  <c r="B122" i="5"/>
  <c r="B121" i="5"/>
  <c r="B119" i="5"/>
  <c r="B115" i="5"/>
  <c r="B111" i="5"/>
  <c r="B109" i="5"/>
  <c r="B105" i="5"/>
  <c r="B104" i="5"/>
  <c r="B103" i="5"/>
  <c r="B102" i="5"/>
  <c r="B95" i="5"/>
  <c r="B93" i="5"/>
  <c r="B89" i="5"/>
  <c r="B87" i="5"/>
  <c r="B86" i="5"/>
  <c r="B82" i="5"/>
  <c r="B78" i="5"/>
  <c r="B77" i="5"/>
  <c r="B76" i="5"/>
  <c r="B73" i="5"/>
  <c r="B62" i="5"/>
  <c r="B60" i="5"/>
  <c r="B58" i="5"/>
  <c r="B55" i="5"/>
  <c r="B54" i="5"/>
  <c r="B52" i="5"/>
  <c r="B50" i="5"/>
  <c r="B49" i="5"/>
  <c r="B43" i="5"/>
  <c r="B42" i="5"/>
  <c r="B39" i="5"/>
  <c r="B37" i="5"/>
  <c r="B35" i="5"/>
  <c r="B31" i="5"/>
  <c r="B30" i="5"/>
  <c r="B14" i="5"/>
  <c r="B15" i="5"/>
  <c r="B16" i="5"/>
  <c r="B18" i="5"/>
  <c r="B19" i="5"/>
  <c r="B21" i="5"/>
  <c r="B24" i="5"/>
  <c r="B25" i="5"/>
  <c r="B26" i="5"/>
  <c r="B27" i="5"/>
  <c r="B120" i="5"/>
  <c r="B57" i="5"/>
  <c r="B8" i="5" l="1"/>
  <c r="B28" i="5"/>
  <c r="B44" i="5"/>
  <c r="B46" i="5"/>
  <c r="B59" i="5"/>
  <c r="B79" i="5"/>
  <c r="B83" i="5"/>
  <c r="B91" i="5"/>
  <c r="B112" i="5"/>
  <c r="H5" i="2" l="1"/>
  <c r="I5" i="2"/>
  <c r="H3" i="2"/>
  <c r="F3" i="13" s="1"/>
  <c r="I3" i="2"/>
  <c r="G3" i="13" l="1"/>
  <c r="N3" i="2"/>
  <c r="I2" i="2"/>
  <c r="I4" i="2"/>
  <c r="H2" i="2"/>
  <c r="H4" i="2"/>
  <c r="F4" i="13" s="1"/>
  <c r="I6" i="2"/>
  <c r="H6" i="2"/>
  <c r="B16" i="8"/>
  <c r="G4" i="13" l="1"/>
  <c r="N4" i="2"/>
  <c r="B12" i="8"/>
  <c r="B13" i="8"/>
  <c r="B14" i="8"/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5" i="6"/>
  <c r="B6" i="7"/>
  <c r="B5" i="7"/>
  <c r="B15" i="8"/>
  <c r="B11" i="8"/>
  <c r="B10" i="8"/>
  <c r="B9" i="8"/>
  <c r="B8" i="8"/>
  <c r="B7" i="8"/>
  <c r="B6" i="8"/>
  <c r="B5" i="8"/>
  <c r="I25" i="2" l="1"/>
  <c r="N236" i="3"/>
  <c r="I26" i="2"/>
  <c r="N237" i="3"/>
  <c r="L237" i="3"/>
  <c r="N241" i="3"/>
  <c r="L241" i="3"/>
  <c r="N238" i="3"/>
  <c r="L238" i="3"/>
  <c r="N239" i="3"/>
  <c r="L239" i="3"/>
  <c r="N240" i="3"/>
  <c r="L240" i="3"/>
  <c r="I28" i="2"/>
  <c r="H25" i="2" l="1"/>
  <c r="N234" i="3"/>
  <c r="H27" i="2"/>
  <c r="N235" i="3"/>
  <c r="H28" i="2"/>
  <c r="N242" i="3"/>
  <c r="G5" i="13"/>
  <c r="L234" i="3"/>
  <c r="L235" i="3"/>
  <c r="I27" i="2"/>
  <c r="L236" i="3"/>
  <c r="H26" i="2"/>
  <c r="L242" i="3"/>
  <c r="L75" i="3"/>
  <c r="L84" i="3"/>
  <c r="L85" i="3"/>
  <c r="L94" i="3"/>
  <c r="L115" i="3"/>
  <c r="L52" i="3"/>
  <c r="L54" i="3"/>
  <c r="L95" i="3"/>
  <c r="L64" i="3"/>
  <c r="L105" i="3"/>
  <c r="L74" i="3"/>
  <c r="F5" i="13" l="1"/>
  <c r="L208" i="3"/>
  <c r="L207" i="3"/>
  <c r="L206" i="3"/>
  <c r="L205" i="3"/>
  <c r="L204" i="3"/>
  <c r="L203" i="3"/>
  <c r="L233" i="3"/>
  <c r="L229" i="3"/>
  <c r="L201" i="3"/>
  <c r="L225" i="3"/>
  <c r="L221" i="3"/>
  <c r="L209" i="3"/>
  <c r="L217" i="3"/>
  <c r="L215" i="3"/>
  <c r="L200" i="3"/>
  <c r="L199" i="3" l="1"/>
  <c r="I22" i="2"/>
  <c r="L216" i="3"/>
  <c r="I20" i="2"/>
  <c r="H22" i="2"/>
  <c r="H20" i="2"/>
  <c r="H23" i="2"/>
  <c r="L202" i="3"/>
  <c r="I23" i="2"/>
  <c r="H21" i="2"/>
  <c r="H24" i="2"/>
  <c r="L214" i="3"/>
  <c r="I21" i="2"/>
  <c r="L213" i="3"/>
  <c r="I24" i="2"/>
  <c r="L183" i="3"/>
  <c r="L180" i="3"/>
  <c r="L178" i="3"/>
  <c r="L185" i="3"/>
  <c r="L176" i="3"/>
  <c r="L181" i="3"/>
  <c r="L170" i="3"/>
  <c r="L171" i="3"/>
  <c r="L173" i="3"/>
  <c r="L174" i="3"/>
  <c r="L175" i="3"/>
  <c r="L172" i="3" l="1"/>
  <c r="I13" i="2"/>
  <c r="H11" i="2"/>
  <c r="H9" i="2"/>
  <c r="H10" i="2"/>
  <c r="H14" i="2"/>
  <c r="I12" i="2"/>
  <c r="L184" i="3"/>
  <c r="I9" i="2"/>
  <c r="L177" i="3"/>
  <c r="I14" i="2"/>
  <c r="L186" i="3"/>
  <c r="H13" i="2"/>
  <c r="I10" i="2"/>
  <c r="L179" i="3"/>
  <c r="H12" i="2"/>
  <c r="I11" i="2"/>
  <c r="L182" i="3"/>
  <c r="L159" i="3"/>
  <c r="L149" i="3"/>
  <c r="L116" i="3"/>
  <c r="N137" i="3"/>
  <c r="L137" i="3"/>
  <c r="L126" i="3"/>
  <c r="L138" i="3"/>
  <c r="L148" i="3"/>
  <c r="H41" i="6"/>
  <c r="L127" i="3" l="1"/>
  <c r="I7" i="2"/>
  <c r="H7" i="2"/>
  <c r="H8" i="2"/>
  <c r="L160" i="3"/>
  <c r="I8" i="2"/>
  <c r="F6" i="13" l="1"/>
  <c r="G6" i="13"/>
  <c r="G138" i="5" l="1"/>
  <c r="G171" i="5" l="1"/>
  <c r="G173" i="5" l="1"/>
  <c r="G164" i="5" l="1"/>
  <c r="G170" i="5" l="1"/>
  <c r="G154" i="5"/>
  <c r="G175" i="5" l="1"/>
  <c r="G174" i="5" l="1"/>
  <c r="G176" i="5" l="1"/>
  <c r="G172" i="5"/>
  <c r="P178" i="5" l="1"/>
  <c r="P177" i="5"/>
  <c r="M84" i="3" s="1"/>
  <c r="AZ178" i="5"/>
  <c r="AZ177" i="5"/>
  <c r="M115" i="3" s="1"/>
  <c r="G97" i="5"/>
  <c r="S177" i="5" l="1"/>
  <c r="M22" i="3" s="1"/>
  <c r="S178" i="5"/>
  <c r="G22" i="8"/>
  <c r="G155" i="5" l="1"/>
  <c r="G162" i="5" l="1"/>
  <c r="G161" i="5"/>
  <c r="G158" i="5" l="1"/>
  <c r="G147" i="5"/>
  <c r="G163" i="5" l="1"/>
  <c r="G160" i="5"/>
  <c r="G159" i="5"/>
  <c r="G153" i="5"/>
  <c r="G146" i="5"/>
  <c r="G144" i="5"/>
  <c r="G142" i="5"/>
  <c r="G156" i="5" l="1"/>
  <c r="G157" i="5"/>
  <c r="G169" i="5"/>
  <c r="G90" i="5"/>
  <c r="G189" i="5" l="1"/>
  <c r="G152" i="5"/>
  <c r="G151" i="5"/>
  <c r="G143" i="5"/>
  <c r="G139" i="5"/>
  <c r="G168" i="5" l="1"/>
  <c r="G167" i="5"/>
  <c r="G166" i="5"/>
  <c r="G165" i="5"/>
  <c r="G133" i="5" l="1"/>
  <c r="G5" i="6" l="1"/>
  <c r="G21" i="8" l="1"/>
  <c r="G20" i="8"/>
  <c r="G19" i="8"/>
  <c r="G18" i="8"/>
  <c r="G141" i="5"/>
  <c r="G94" i="5"/>
  <c r="G63" i="5"/>
  <c r="G45" i="5"/>
  <c r="G40" i="5"/>
  <c r="G33" i="5"/>
  <c r="G29" i="5"/>
  <c r="G23" i="5"/>
  <c r="G13" i="5"/>
  <c r="G11" i="5"/>
  <c r="G145" i="5"/>
  <c r="G72" i="5"/>
  <c r="G150" i="5"/>
  <c r="G136" i="5"/>
  <c r="G100" i="5"/>
  <c r="G6" i="5"/>
  <c r="G10" i="5"/>
  <c r="G64" i="5"/>
  <c r="G80" i="5"/>
  <c r="G149" i="5"/>
  <c r="G148" i="5"/>
  <c r="G128" i="5"/>
  <c r="G101" i="5"/>
  <c r="G81" i="5"/>
  <c r="G12" i="5"/>
  <c r="G186" i="5"/>
  <c r="G134" i="5"/>
  <c r="G127" i="5"/>
  <c r="G123" i="5"/>
  <c r="G110" i="5"/>
  <c r="G106" i="5"/>
  <c r="G98" i="5"/>
  <c r="G92" i="5"/>
  <c r="G88" i="5"/>
  <c r="G68" i="5"/>
  <c r="G67" i="5"/>
  <c r="G61" i="5"/>
  <c r="G32" i="5"/>
  <c r="G20" i="5"/>
  <c r="G9" i="5"/>
  <c r="G113" i="5"/>
  <c r="G117" i="5"/>
  <c r="G116" i="5"/>
  <c r="G108" i="5"/>
  <c r="G96" i="5"/>
  <c r="G71" i="5"/>
  <c r="G48" i="5"/>
  <c r="G36" i="5"/>
  <c r="G124" i="5"/>
  <c r="G131" i="5"/>
  <c r="G130" i="5"/>
  <c r="G118" i="5"/>
  <c r="G114" i="5"/>
  <c r="G137" i="5"/>
  <c r="G135" i="5"/>
  <c r="G107" i="5"/>
  <c r="G99" i="5"/>
  <c r="G84" i="5"/>
  <c r="G75" i="5"/>
  <c r="G74" i="5"/>
  <c r="G70" i="5"/>
  <c r="G69" i="5"/>
  <c r="G66" i="5"/>
  <c r="G65" i="5"/>
  <c r="G56" i="5"/>
  <c r="G53" i="5"/>
  <c r="G51" i="5"/>
  <c r="G47" i="5"/>
  <c r="G41" i="5"/>
  <c r="G38" i="5"/>
  <c r="G34" i="5"/>
  <c r="G22" i="5"/>
  <c r="G17" i="5"/>
  <c r="G7" i="5"/>
  <c r="G85" i="5"/>
  <c r="G140" i="5"/>
  <c r="G132" i="5"/>
  <c r="G129" i="5"/>
  <c r="G126" i="5"/>
  <c r="G125" i="5"/>
  <c r="G122" i="5"/>
  <c r="G121" i="5"/>
  <c r="G119" i="5"/>
  <c r="G115" i="5"/>
  <c r="G111" i="5"/>
  <c r="G109" i="5"/>
  <c r="G105" i="5"/>
  <c r="G104" i="5"/>
  <c r="G103" i="5"/>
  <c r="G102" i="5"/>
  <c r="G95" i="5"/>
  <c r="G93" i="5"/>
  <c r="G89" i="5"/>
  <c r="G87" i="5"/>
  <c r="G86" i="5"/>
  <c r="G82" i="5"/>
  <c r="G78" i="5"/>
  <c r="G77" i="5"/>
  <c r="G76" i="5"/>
  <c r="G73" i="5"/>
  <c r="G62" i="5"/>
  <c r="G60" i="5"/>
  <c r="G58" i="5"/>
  <c r="G57" i="5"/>
  <c r="G55" i="5"/>
  <c r="G54" i="5"/>
  <c r="G52" i="5"/>
  <c r="G50" i="5"/>
  <c r="G49" i="5"/>
  <c r="G43" i="5"/>
  <c r="G42" i="5"/>
  <c r="G39" i="5"/>
  <c r="G37" i="5"/>
  <c r="G35" i="5"/>
  <c r="G31" i="5"/>
  <c r="G30" i="5"/>
  <c r="G14" i="5"/>
  <c r="G15" i="5"/>
  <c r="G16" i="5"/>
  <c r="G18" i="5"/>
  <c r="G19" i="5"/>
  <c r="G21" i="5"/>
  <c r="G24" i="5"/>
  <c r="G25" i="5"/>
  <c r="G26" i="5"/>
  <c r="G27" i="5"/>
  <c r="G17" i="8"/>
  <c r="G120" i="5"/>
  <c r="G79" i="5"/>
  <c r="G8" i="5"/>
  <c r="G28" i="5"/>
  <c r="G44" i="5"/>
  <c r="G91" i="5"/>
  <c r="G59" i="5"/>
  <c r="G46" i="5"/>
  <c r="G83" i="5"/>
  <c r="G16" i="8"/>
  <c r="G112" i="5"/>
  <c r="G15" i="8"/>
  <c r="G14" i="8"/>
  <c r="G13" i="8"/>
  <c r="G12" i="8"/>
  <c r="G11" i="8"/>
  <c r="G10" i="8"/>
  <c r="G9" i="8"/>
  <c r="G5" i="5"/>
  <c r="G7" i="8"/>
  <c r="G6" i="8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8" i="8"/>
  <c r="G40" i="6"/>
  <c r="H6" i="13" l="1"/>
  <c r="H4" i="13"/>
  <c r="H3" i="13"/>
  <c r="V177" i="5" l="1"/>
  <c r="M31" i="3" s="1"/>
  <c r="V178" i="5"/>
  <c r="BF178" i="5"/>
  <c r="BF177" i="5"/>
  <c r="M54" i="3" s="1"/>
  <c r="Y177" i="5"/>
  <c r="M40" i="3" s="1"/>
  <c r="Y178" i="5"/>
  <c r="BI178" i="5"/>
  <c r="BI177" i="5"/>
  <c r="M95" i="3" s="1"/>
  <c r="AE178" i="5"/>
  <c r="AE177" i="5"/>
  <c r="M41" i="3" s="1"/>
  <c r="BL177" i="5"/>
  <c r="M64" i="3" s="1"/>
  <c r="BL178" i="5"/>
  <c r="AT178" i="5"/>
  <c r="AT177" i="5"/>
  <c r="M51" i="3" s="1"/>
  <c r="BC177" i="5"/>
  <c r="M52" i="3" s="1"/>
  <c r="BC178" i="5"/>
  <c r="BO177" i="5"/>
  <c r="M105" i="3" s="1"/>
  <c r="BO178" i="5"/>
</calcChain>
</file>

<file path=xl/comments1.xml><?xml version="1.0" encoding="utf-8"?>
<comments xmlns="http://schemas.openxmlformats.org/spreadsheetml/2006/main">
  <authors>
    <author>Autor</author>
  </authors>
  <commentLis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- v OP KŽP je uvedená cieľová hodnota 516,
- v ITMS 322+193=515</t>
        </r>
      </text>
    </comment>
    <comment ref="G2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- v OP KŽP je uvedená cieľová hodnota 516,
- v ITMS 322+193=515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P335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Martonová Laura:C030 je ukazovateľ výkonnostného rámca, ale hodnota za 4.2.1 sa nezarátava</t>
        </r>
      </text>
    </comment>
    <comment ref="P352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:C030 je ukazovateľ výkonnostného rámca, ale hodnota za 4.2.1 sa nezarátava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J66" authorId="0" shapeId="0">
      <text>
        <r>
          <rPr>
            <b/>
            <sz val="9"/>
            <color indexed="81"/>
            <rFont val="Segoe UI"/>
            <family val="2"/>
            <charset val="238"/>
          </rPr>
          <t>Martonová Laura:C030 je ukazovateľ výkonnostného rámca, ale hodnota za 4.2.1 sa nezarátava</t>
        </r>
      </text>
    </comment>
    <comment ref="J7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:C030 je ukazovateľ výkonnostného rámca, ale hodnota za 4.2.1 sa nezarátava</t>
        </r>
      </text>
    </comment>
  </commentList>
</comments>
</file>

<file path=xl/sharedStrings.xml><?xml version="1.0" encoding="utf-8"?>
<sst xmlns="http://schemas.openxmlformats.org/spreadsheetml/2006/main" count="9898" uniqueCount="2213">
  <si>
    <t>PO</t>
  </si>
  <si>
    <t>Konkrétny cieľ</t>
  </si>
  <si>
    <t>1.2.1</t>
  </si>
  <si>
    <t>1.1.1</t>
  </si>
  <si>
    <t>Podiel zhodnotených odpadov na celkovom množstve vyprodukovaných odpadov</t>
  </si>
  <si>
    <t>Ukazovateľ výsledku programu</t>
  </si>
  <si>
    <t>Kód ukazovateľa</t>
  </si>
  <si>
    <t>R0001</t>
  </si>
  <si>
    <t>Východisková hodnota</t>
  </si>
  <si>
    <t>Cieľová hodnota</t>
  </si>
  <si>
    <t>1.2.2</t>
  </si>
  <si>
    <t>1.2.3</t>
  </si>
  <si>
    <t>R0120</t>
  </si>
  <si>
    <t>Počet obyvateľov napojených na systém odvádzania a čistenia komunálnych odpadových vôd</t>
  </si>
  <si>
    <t>R0003</t>
  </si>
  <si>
    <t>Počet obyvateľov napojených na verejný vodovod</t>
  </si>
  <si>
    <t>R0004</t>
  </si>
  <si>
    <t>R0005</t>
  </si>
  <si>
    <t>Podiel monitorovaných vodných útvarov na celkovom počte vodných útvarov</t>
  </si>
  <si>
    <t>Podiel vodných útvarov so zabezpečenou spojitosťou toku a habitatov na celkovom počte vodných útvarov</t>
  </si>
  <si>
    <t>1.3.1</t>
  </si>
  <si>
    <t>R0006</t>
  </si>
  <si>
    <t>R0007</t>
  </si>
  <si>
    <t>Počet biotopov a druhov v priaznivom stave</t>
  </si>
  <si>
    <t>Počet biotopov a druhov v neznámom stave</t>
  </si>
  <si>
    <t>1.4.1</t>
  </si>
  <si>
    <t>R0122</t>
  </si>
  <si>
    <t>R0123</t>
  </si>
  <si>
    <t>Produkcia emisií tuhých znečisťujúcich látok PM</t>
  </si>
  <si>
    <t>Produkcia emisií vybraných znečisťujúcich látok</t>
  </si>
  <si>
    <t>R0009</t>
  </si>
  <si>
    <t>1.4.2</t>
  </si>
  <si>
    <t>Podiel sanovaných lokalít na celkovom počte lokalít s evidovanými environmentálnymi záťažami v SR</t>
  </si>
  <si>
    <t>2.1.1</t>
  </si>
  <si>
    <t>2.1.2</t>
  </si>
  <si>
    <t>R0010</t>
  </si>
  <si>
    <t>R0011</t>
  </si>
  <si>
    <t>Počet osôb žijúcich v území s existenciou povodňového rizika</t>
  </si>
  <si>
    <t>Podiel plochy zrekultivovaných uzavretých úložísk a opustených úložísk ťažobného odpadu na celkovej ploche evidovaných uzavretých úložísk a opustených úložísk ťažobného odpadu</t>
  </si>
  <si>
    <t>R0012</t>
  </si>
  <si>
    <t>R0013</t>
  </si>
  <si>
    <t>R0014</t>
  </si>
  <si>
    <t>Podiel pokrytia obývaného územia zabezpečeného systémom včasného varovania</t>
  </si>
  <si>
    <t>Podiel plochy sanovaného zosuvného územia na celkovej ploche evidovaného zosuvného územia SR</t>
  </si>
  <si>
    <t>Čas trvania zásahu pri mimoriadnej udalosti ovplyvnenej zmenou klímy</t>
  </si>
  <si>
    <t>3.1.1</t>
  </si>
  <si>
    <t>4.1.1</t>
  </si>
  <si>
    <t>5.1.1</t>
  </si>
  <si>
    <t>3.1.2</t>
  </si>
  <si>
    <t>3.1.3</t>
  </si>
  <si>
    <t>R0015</t>
  </si>
  <si>
    <t>R0115</t>
  </si>
  <si>
    <t>R0114</t>
  </si>
  <si>
    <t>R0124</t>
  </si>
  <si>
    <t>R0125</t>
  </si>
  <si>
    <t>R0121</t>
  </si>
  <si>
    <t>4.1.2</t>
  </si>
  <si>
    <t>4.2.1</t>
  </si>
  <si>
    <t>4.3.1</t>
  </si>
  <si>
    <t>4.4.1</t>
  </si>
  <si>
    <t>4.5.1</t>
  </si>
  <si>
    <t>Podiel energie z OZE na hrubej konečnej energetickej spotrebe SR</t>
  </si>
  <si>
    <t>Inštalovaný elektrický výkon malých zariadení OZE v domácnostiach v BSK</t>
  </si>
  <si>
    <t>Energetická náročnosť výroby</t>
  </si>
  <si>
    <t>Energetická náročnosť verejných budov</t>
  </si>
  <si>
    <t>Podiel populácie žijúcej v oblastiach, kde bola vykonaná informovanosť o nízkouhlíkových opatreniach</t>
  </si>
  <si>
    <t>Podiel dodaného tepla vyrobeného KVET k celkovému dodanému teplu</t>
  </si>
  <si>
    <t>R0116</t>
  </si>
  <si>
    <t>Miera dodržiavania lehôt na úhradu platieb prijímateľom</t>
  </si>
  <si>
    <t>R0117</t>
  </si>
  <si>
    <t>Miera fluktuácie administratívnych kapacít</t>
  </si>
  <si>
    <t>R0025</t>
  </si>
  <si>
    <t>Miera informovanosti o možnostiach podpory z OP</t>
  </si>
  <si>
    <t>R0119</t>
  </si>
  <si>
    <t>Miera riadne zrealizovaných projektov / Miera úspešne zrealizovaných projektov</t>
  </si>
  <si>
    <t>5.1.2</t>
  </si>
  <si>
    <t>CO17</t>
  </si>
  <si>
    <t>Zvýšená kapacita recyklácie odpadu</t>
  </si>
  <si>
    <t>O0002</t>
  </si>
  <si>
    <t>Zvýšená kapacita pre triedenie komunálnych odpadov</t>
  </si>
  <si>
    <t>O0003</t>
  </si>
  <si>
    <t>Zvýšená kapacita pre zhodnocovanie odpadov</t>
  </si>
  <si>
    <t>O0004</t>
  </si>
  <si>
    <t>Vybudovaný jednotný environmentálny monitorovací a informačný systém v odpadovom hospodárstve</t>
  </si>
  <si>
    <t>O0178</t>
  </si>
  <si>
    <t>Počet zrealizovaných informačných aktivít / Počet hlavných  podujatí v rámci publicity (P)</t>
  </si>
  <si>
    <t>CO19</t>
  </si>
  <si>
    <t>Zvýšený počet obyvateľov so zlepšeným čistením komunálnych odpadových vôd</t>
  </si>
  <si>
    <t>CO18</t>
  </si>
  <si>
    <t>O0006</t>
  </si>
  <si>
    <t>Počet podporených objektov monitorovacej siete povrchových a podzemných vôd</t>
  </si>
  <si>
    <t>O0007</t>
  </si>
  <si>
    <t>Počet vyhodnotených vodných útvarov povrchových a podzemných vôd</t>
  </si>
  <si>
    <t>O0008</t>
  </si>
  <si>
    <t>Počet opatrení na zabezpečenie spojitosti vodných tokov a odstraňovanie bariér vo vodných tokoch</t>
  </si>
  <si>
    <t>O0009</t>
  </si>
  <si>
    <t>Počet koncepčných, analytických a metodických materiálov</t>
  </si>
  <si>
    <t>O0176</t>
  </si>
  <si>
    <t>Počet analyzovaných vzoriek povrchových a podzemných vôd</t>
  </si>
  <si>
    <t>CO23</t>
  </si>
  <si>
    <t>Plocha biotopov podporených s cieľom dosiahnuť lepší stav ich ochrany / Plocha biotopov podporených s cieľom dosiahnuť lepší stav ochrany (EÚ) / Rozloha lokalít podporených s cieľom  získať lepšií stav z hľadiska ochrany</t>
  </si>
  <si>
    <t>O0010</t>
  </si>
  <si>
    <t>Počet realizovaných prvkov zelenej infraštruktúry</t>
  </si>
  <si>
    <t>O0011</t>
  </si>
  <si>
    <t>Počet novo zaradených monitorovaných lokalít</t>
  </si>
  <si>
    <t>O0012</t>
  </si>
  <si>
    <t>Počet monitorovaných lokalít, kde došlo k zvýšeniu počtu monitorovaných druhov alebo biotopov</t>
  </si>
  <si>
    <t>O0015</t>
  </si>
  <si>
    <t>Počet podporených akreditovaných odberných miest NMSKO</t>
  </si>
  <si>
    <t>O0016</t>
  </si>
  <si>
    <t>Počet aplikovaných modulov NEIS podľa požiadaviek na informovanie verejnosti a reportingových povinností</t>
  </si>
  <si>
    <t>O0174</t>
  </si>
  <si>
    <t>Inštalovaný výkon nízkoemisných zariadení nahradzujúcich zastarané spaľovacie zariadenia na výrobu tepla na vykurovanie</t>
  </si>
  <si>
    <t>O0177</t>
  </si>
  <si>
    <t>Počet podporených zariadení stredných a veľkých stacionárnych zdrojov znečisťovania ovzdušia za účelom zníženia emisií</t>
  </si>
  <si>
    <t>CO22</t>
  </si>
  <si>
    <t>Celková plocha rekultivovanej pôdy / Celkový povrch rekultivovanej pôdy</t>
  </si>
  <si>
    <t>O0017</t>
  </si>
  <si>
    <t>Plocha preskúmaných environmentálnych záťaží</t>
  </si>
  <si>
    <t>O0018</t>
  </si>
  <si>
    <t>Plocha monitorovaných environmentálnych záťaží</t>
  </si>
  <si>
    <t>CO20</t>
  </si>
  <si>
    <t>Počet obyvateľov využívajúcich opatrenia protipovodňovej ochrany</t>
  </si>
  <si>
    <t>O0019</t>
  </si>
  <si>
    <t>Počet realizovaných vodozádržných opatrení</t>
  </si>
  <si>
    <t>O0020</t>
  </si>
  <si>
    <t>Počet aktualizovaných alebo novovytvorených plánovacích podkladov manažmentu povodňových rizík (na úrovni SR)</t>
  </si>
  <si>
    <t>O0021</t>
  </si>
  <si>
    <t>Počet novovytvorených metodík pre hodnotenie investičných rizík spojených s nepriaznivými dôsledkami zmeny klímy</t>
  </si>
  <si>
    <t>O0022</t>
  </si>
  <si>
    <t>Počet vytvorených modelov vývoja mimoriadnych udalostí ovplyvnených zmenou klímy</t>
  </si>
  <si>
    <t>O0023</t>
  </si>
  <si>
    <t>Počet systémov včasného varovania</t>
  </si>
  <si>
    <t>O0024</t>
  </si>
  <si>
    <t>Plocha preskúmaného zosuvného územia</t>
  </si>
  <si>
    <t>O0025</t>
  </si>
  <si>
    <t>Plocha hydrogeologicky preskúmaného územia</t>
  </si>
  <si>
    <t>O0026</t>
  </si>
  <si>
    <t>Počet subjektov so zlepšeným vybavením intervenčnými kapacitami.</t>
  </si>
  <si>
    <t>O0027</t>
  </si>
  <si>
    <t>Počet vytvorených špecializovaných záchranných modulov</t>
  </si>
  <si>
    <t>CO01</t>
  </si>
  <si>
    <t>Počet podnikov, ktorým sa poskytuje podpora / Počet podporených podnikov</t>
  </si>
  <si>
    <t>CO30</t>
  </si>
  <si>
    <t>Zvýšená kapacita výroby energie z obnoviteľných zdrojov</t>
  </si>
  <si>
    <t>CO34</t>
  </si>
  <si>
    <t>Odhadované ročné zníženie emisií skleníkových plynov</t>
  </si>
  <si>
    <t>O0028</t>
  </si>
  <si>
    <t>Počet malých zariadení na využívanie OZE</t>
  </si>
  <si>
    <t>O0188</t>
  </si>
  <si>
    <t>Zvýšená kapacita výroby elektriny z obnoviteľných zdrojov</t>
  </si>
  <si>
    <t>O0189</t>
  </si>
  <si>
    <t>Zvýšená kapacita výroby tepla z obnoviteľných zdrojov</t>
  </si>
  <si>
    <t>O0029</t>
  </si>
  <si>
    <t>Počet opatrení energetickej efektívnosti realizovaných v podnikoch</t>
  </si>
  <si>
    <t>O0030</t>
  </si>
  <si>
    <t>Počet energetických auditov</t>
  </si>
  <si>
    <t>O0031</t>
  </si>
  <si>
    <t>Počet zavedených systémov merania a riadenia</t>
  </si>
  <si>
    <t>O0032</t>
  </si>
  <si>
    <t>Počet podnikov s registrovaným EMAS a zavedeným systémom environmentálneho manažérstva</t>
  </si>
  <si>
    <t>O0184</t>
  </si>
  <si>
    <t>Predpokladaná úspora PEZ v podniku podľa energetického auditu</t>
  </si>
  <si>
    <t>O0185</t>
  </si>
  <si>
    <t>Úspora PEZ v podniku</t>
  </si>
  <si>
    <t>CO32</t>
  </si>
  <si>
    <t>Zníženie ročnej spotreby primárnej energie vo verejných budovách  </t>
  </si>
  <si>
    <t>O0180</t>
  </si>
  <si>
    <t>Počet verejných budov na úrovni nízkoenergetickej alebo ultranízkoenergetickej alebo s takmer nulovou potrebou energie</t>
  </si>
  <si>
    <t>O0183</t>
  </si>
  <si>
    <t>Podlahová plocha budov obnovených nad rámec minimálnych požiadaviek</t>
  </si>
  <si>
    <t>O0187</t>
  </si>
  <si>
    <t>Zníženie konečnej spotreby energie vo verejných budovách</t>
  </si>
  <si>
    <t>O0034</t>
  </si>
  <si>
    <t>Počet zavedených systémov kontinuálneho zvyšovania informovanosti</t>
  </si>
  <si>
    <t>O0036</t>
  </si>
  <si>
    <t>Počet zavedených systémov energetického manažérstva</t>
  </si>
  <si>
    <t>O0050</t>
  </si>
  <si>
    <t>Počet registrácií EMAS a zavedených systémov environmentálneho manažérstva</t>
  </si>
  <si>
    <t>O0179</t>
  </si>
  <si>
    <t>Počet regionálnych a lokálnych nízkouhlíkových stratégií</t>
  </si>
  <si>
    <t>O0037</t>
  </si>
  <si>
    <t>Počet systémov centralizovaného zásobovania teplom s vyššou účinnosťou</t>
  </si>
  <si>
    <t>O0038</t>
  </si>
  <si>
    <t>Úspora PEZ v systémoch centralizovaného zásobovania teplom</t>
  </si>
  <si>
    <t>O0039</t>
  </si>
  <si>
    <t>Množstvo tepla vyrobeného vysoko účinnou kombinovanou výrobou založenou na dopyte po využiteľnom teple</t>
  </si>
  <si>
    <t>O0040</t>
  </si>
  <si>
    <t>Zvýšenie inštalovaného výkonu zariadení na výrobu elektriny a tepla vysoko účinnou kombinovanou výrobou založenou na dopyte po využiteľnom teple</t>
  </si>
  <si>
    <t>O0048</t>
  </si>
  <si>
    <t>Počet opatrení pre zníženie administratívnej záťaže</t>
  </si>
  <si>
    <t>O0163</t>
  </si>
  <si>
    <t>Počet zrealizovaných vzdelávacích aktivít</t>
  </si>
  <si>
    <t>O0175</t>
  </si>
  <si>
    <t>Počet administratívnych kapacít financovaných z TP / Počet administratívnych kapacít financovaných z technickej pomoci</t>
  </si>
  <si>
    <t>O0181</t>
  </si>
  <si>
    <t>Počet zrealizovaných hodnotení, analýz a štúdií</t>
  </si>
  <si>
    <t>O0182</t>
  </si>
  <si>
    <t>Podiel administratívnych kapacít vybavených materiálno-technickým vybavením z TP / Podiel pracovníkov vybavených materiálno-technickým zabezpečením</t>
  </si>
  <si>
    <t>P0081</t>
  </si>
  <si>
    <t>Množstvo opätovne použitých odpadov</t>
  </si>
  <si>
    <t>P0082</t>
  </si>
  <si>
    <t>Množstvo recyklovaných nebezpečných odpadov</t>
  </si>
  <si>
    <t>P0083</t>
  </si>
  <si>
    <t>Množstvo recyklovaných nie nebezpečných odpadov</t>
  </si>
  <si>
    <t>P0087</t>
  </si>
  <si>
    <t>Množstvo vytriedeného komunálneho odpadu</t>
  </si>
  <si>
    <t>P0089</t>
  </si>
  <si>
    <t>Množstvo zhodnotených nie nebezpečných odpadov</t>
  </si>
  <si>
    <t>P0271</t>
  </si>
  <si>
    <t>Počet osôb zapojených do informačných aktivít</t>
  </si>
  <si>
    <t>P0402</t>
  </si>
  <si>
    <t>Počet subjektov zapojených do informačných aktivít</t>
  </si>
  <si>
    <t>P0558</t>
  </si>
  <si>
    <t>Počet zariadení na predchádzanie vzniku odpadu</t>
  </si>
  <si>
    <t>P0589</t>
  </si>
  <si>
    <t>Počet zrealizovaných informačných aktivít</t>
  </si>
  <si>
    <t>P0677</t>
  </si>
  <si>
    <t>P0702</t>
  </si>
  <si>
    <t>P0703</t>
  </si>
  <si>
    <t>P0704</t>
  </si>
  <si>
    <t>P0708</t>
  </si>
  <si>
    <t>Zvýšená kapacita zariadení na predchádzanie vzniku odpadov</t>
  </si>
  <si>
    <t>P0041</t>
  </si>
  <si>
    <t>Dĺžka novovybudovaných kanalizačných sietí (bez kanal. prípojok)</t>
  </si>
  <si>
    <t>P0598</t>
  </si>
  <si>
    <t>Počet zrekonštruovaných alebo novovybudovaných ČOV</t>
  </si>
  <si>
    <t>P0714</t>
  </si>
  <si>
    <t>P0042</t>
  </si>
  <si>
    <t>Dĺžka novovybudovaných rozvodov pitnej vody (bez vodovod. prípojok)</t>
  </si>
  <si>
    <t>P0600</t>
  </si>
  <si>
    <t>Počet zrekonštruovaných úpravní povrchových vôd</t>
  </si>
  <si>
    <t>P0712</t>
  </si>
  <si>
    <t>Zvýšený počet obyvateľov so zlepšenou dodávkou pitnej vody</t>
  </si>
  <si>
    <t>P0044</t>
  </si>
  <si>
    <t>Dĺžka spojitého úseku vodného toku po eliminácii bariéry</t>
  </si>
  <si>
    <t>P0139</t>
  </si>
  <si>
    <t>Počet analýz podzemných vôd</t>
  </si>
  <si>
    <t>P0140</t>
  </si>
  <si>
    <t>Počet analýz povrchových vôd</t>
  </si>
  <si>
    <t>P0141</t>
  </si>
  <si>
    <t>Počet analyzovaných vzoriek podzemných vôd</t>
  </si>
  <si>
    <t>P0142</t>
  </si>
  <si>
    <t>Počet analyzovaných vzoriek povrchových vôd</t>
  </si>
  <si>
    <t>P0178</t>
  </si>
  <si>
    <t>Počet koncepčných, analytických a metodických materiálov</t>
  </si>
  <si>
    <t>P0188</t>
  </si>
  <si>
    <t>Počet monitorovaných vodných útvarov podzemných vôd</t>
  </si>
  <si>
    <t>P0189</t>
  </si>
  <si>
    <t>Počet monitorovaných vodných útvarov povrchových vôd</t>
  </si>
  <si>
    <t>P0249</t>
  </si>
  <si>
    <t>P0252</t>
  </si>
  <si>
    <t>Počet optimalizovaných informačných nástrojov</t>
  </si>
  <si>
    <t>P0304</t>
  </si>
  <si>
    <t>Počet podporených objektov monitorovacej siete podzemných vôd</t>
  </si>
  <si>
    <t>P0305</t>
  </si>
  <si>
    <t>Počet podporených objektov monitorovacej siete povrchových vôd</t>
  </si>
  <si>
    <t>P0501</t>
  </si>
  <si>
    <t>Počet vyhodnotených vodných útvarov podzemných vôd</t>
  </si>
  <si>
    <t>P0502</t>
  </si>
  <si>
    <t>Počet vyhodnotených vodných útvarov povrchových vôd</t>
  </si>
  <si>
    <t>P0715</t>
  </si>
  <si>
    <t>Počet vodných útvarov so zabezpečenou spojitosťou toku a habitatov</t>
  </si>
  <si>
    <t>P0112</t>
  </si>
  <si>
    <t>Plocha biotopov podporených s cieľom dosiahnuť lepší stav ich ochrany</t>
  </si>
  <si>
    <t>P0120</t>
  </si>
  <si>
    <t>Plocha s odstránenými inváznymi druhmi rastlín</t>
  </si>
  <si>
    <t>P0159</t>
  </si>
  <si>
    <t>Počet druhov alebo biotopov v neznámom stave, ktorých stav sa pri monitorovaní druhov, alebo biotopov zmenil</t>
  </si>
  <si>
    <t>P0186</t>
  </si>
  <si>
    <t>Počet monitorovaných lokalít, kde došlo k zvýšeniu počtu monitorovaných druhov alebo biotopov</t>
  </si>
  <si>
    <t>P0199</t>
  </si>
  <si>
    <t>P0367</t>
  </si>
  <si>
    <t>P0505</t>
  </si>
  <si>
    <t>Počet vypracovaných dokumentov starostlivosti</t>
  </si>
  <si>
    <t>P0508</t>
  </si>
  <si>
    <t>Počet vypracovaných MÚSES</t>
  </si>
  <si>
    <t>P0510</t>
  </si>
  <si>
    <t>Počet vypracovaných RÚSES</t>
  </si>
  <si>
    <t>P0064</t>
  </si>
  <si>
    <t>P0143</t>
  </si>
  <si>
    <t>P0192</t>
  </si>
  <si>
    <t>Počet nahradených zastaraných spaľovacích zariadení</t>
  </si>
  <si>
    <t>P0198</t>
  </si>
  <si>
    <t>Počet novo vykonaných emisných inventúr a/alebo projekcií emisií</t>
  </si>
  <si>
    <t>P0201</t>
  </si>
  <si>
    <t>Počet novovybudovaných akreditovaných odberných miest NMSKO</t>
  </si>
  <si>
    <t>P0202</t>
  </si>
  <si>
    <t>Počet novovybudovaných staníc NMSKO</t>
  </si>
  <si>
    <t>P0292</t>
  </si>
  <si>
    <t>Počet podporených existujúcich akreditovaných odberných miest NMSKO</t>
  </si>
  <si>
    <t>P0293</t>
  </si>
  <si>
    <t>Počet podporených existujúcich staníc NMSKO</t>
  </si>
  <si>
    <t>P0330</t>
  </si>
  <si>
    <t>Počet podporených zariadení malých stacionárnych zdrojov znečisťovania ovzdušia za účelom zníženia emisií</t>
  </si>
  <si>
    <t>P0331</t>
  </si>
  <si>
    <t>P0503</t>
  </si>
  <si>
    <t>Počet vykonaných modelových výpočtov a/alebo chemických analýz</t>
  </si>
  <si>
    <t>P0562</t>
  </si>
  <si>
    <t>Počet zavedených nových aplikovaných modulov NRZ</t>
  </si>
  <si>
    <t>P0690</t>
  </si>
  <si>
    <t>Zníženie produkcie emisií NH3</t>
  </si>
  <si>
    <t>P0691</t>
  </si>
  <si>
    <t>Zníženie produkcie emisií NOx</t>
  </si>
  <si>
    <t>P0692</t>
  </si>
  <si>
    <t>Zníženie produkcie emisií PM10</t>
  </si>
  <si>
    <t>P0693</t>
  </si>
  <si>
    <t>Zníženie produkcie emisií PM2,5</t>
  </si>
  <si>
    <t>P0694</t>
  </si>
  <si>
    <t>Zníženie produkcie emisií SO2</t>
  </si>
  <si>
    <t>P0695</t>
  </si>
  <si>
    <t>Zníženie produkcie emisií VOC</t>
  </si>
  <si>
    <t>P0032</t>
  </si>
  <si>
    <t>Celkový povrch rekultivovanej pôdy</t>
  </si>
  <si>
    <t>P0114</t>
  </si>
  <si>
    <t>P0119</t>
  </si>
  <si>
    <t>P0185</t>
  </si>
  <si>
    <t>Počet monitorovaných environmentálnych záťaží</t>
  </si>
  <si>
    <t>P0352</t>
  </si>
  <si>
    <t>Počet preskumaných prioritných environmentálnych záťaží</t>
  </si>
  <si>
    <t>P0385</t>
  </si>
  <si>
    <t>Počet sanovaných environmentálnych záťaží</t>
  </si>
  <si>
    <t>P0497</t>
  </si>
  <si>
    <t>Počet vybudovaných zariadení na monitorovanie environmentálnych záťaží</t>
  </si>
  <si>
    <t>P0060</t>
  </si>
  <si>
    <t>Hodnota majetku ochraneného pred povodňami</t>
  </si>
  <si>
    <t>P0121</t>
  </si>
  <si>
    <t>Plocha vytvoreného vodozádržného opatrenia</t>
  </si>
  <si>
    <t>P0137</t>
  </si>
  <si>
    <t>P0204</t>
  </si>
  <si>
    <t>P0239</t>
  </si>
  <si>
    <t>P0368</t>
  </si>
  <si>
    <t>P0027</t>
  </si>
  <si>
    <t>Celková plocha inventarizovaných uzavretých úložísk a opustených úložísk ťažobného odpadu</t>
  </si>
  <si>
    <t>P0031</t>
  </si>
  <si>
    <t>P0169</t>
  </si>
  <si>
    <t>Počet inventarizovaných uzavretých úložísk a opustených úložísk ťažobného odpadu</t>
  </si>
  <si>
    <t>P0371</t>
  </si>
  <si>
    <t>Počet rekultivovaných uzavretých úložísk a opustených úložísk ťažobného odpadu</t>
  </si>
  <si>
    <t>P0116</t>
  </si>
  <si>
    <t>Plocha pokrytia obývaného územia zabezpečeného systémom včasného varovania</t>
  </si>
  <si>
    <t>P0117</t>
  </si>
  <si>
    <t>Plocha pokrytia územia zabezpečeného systémom včasného varovania</t>
  </si>
  <si>
    <t>P0146</t>
  </si>
  <si>
    <t>Počet databáz pre potreby modelovania vývoja mimoriadnych udalostí, monitorovania a vyhodnocovania rizík viazaných na zmenu klímy a jej dôsledkov</t>
  </si>
  <si>
    <t>P0197</t>
  </si>
  <si>
    <t>Počet navrhovaných druhov preventívnych opatrení na elimináciu rizík viazaných na zmenu klímy a jej dôsledkov</t>
  </si>
  <si>
    <t>P0403</t>
  </si>
  <si>
    <t>Počet subjektov zapojených do projektu</t>
  </si>
  <si>
    <t>P0415</t>
  </si>
  <si>
    <t>Počet systémov monitorovania a/alebo vyhodnocovania rizík viazaných na zmenu klímy a jej dôsledkov</t>
  </si>
  <si>
    <t>P0416</t>
  </si>
  <si>
    <t>Počet systémov na prenos údajov medzi lokálnou a/ alebo regionálnou a/ alebo národnou a/ alebo nadnárodnou úrovňou</t>
  </si>
  <si>
    <t>P0417</t>
  </si>
  <si>
    <t>P0418</t>
  </si>
  <si>
    <t>Počet systémov vyhodnocovania rizík viazaných na zmenu klímy a jej dôsledkov</t>
  </si>
  <si>
    <t>P0522</t>
  </si>
  <si>
    <t>P0113</t>
  </si>
  <si>
    <t>P0115</t>
  </si>
  <si>
    <t>Plocha monitorovaných svahových deformácií</t>
  </si>
  <si>
    <t>P0118</t>
  </si>
  <si>
    <t>P0122</t>
  </si>
  <si>
    <t>Plocha zmapovaného územia</t>
  </si>
  <si>
    <t>P0187</t>
  </si>
  <si>
    <t>Počet monitorovaných svahových deformácií</t>
  </si>
  <si>
    <t>P0200</t>
  </si>
  <si>
    <t>Počet novoidentifikovaných, registrovaných a zmapovaných svahových deformácií</t>
  </si>
  <si>
    <t>P0241</t>
  </si>
  <si>
    <t>Počet obyvateľov žijúcich v oblastiach vyznačujúcich sa deficitom pitnej vody</t>
  </si>
  <si>
    <t>P0353</t>
  </si>
  <si>
    <t>Počet preskúmaných svahových deformácií</t>
  </si>
  <si>
    <t>P0386</t>
  </si>
  <si>
    <t>Počet sanovaných svahových deformácií</t>
  </si>
  <si>
    <t>P0498</t>
  </si>
  <si>
    <t>Počet vybudovaných zariadení na monitorovanie svahových deformácií</t>
  </si>
  <si>
    <t>P0035</t>
  </si>
  <si>
    <t>P0135</t>
  </si>
  <si>
    <t>Počet aktivít zameraných na výcvik, vzdelávanie, výmenu informácií a skúseností</t>
  </si>
  <si>
    <t>P0272</t>
  </si>
  <si>
    <t>Počet osôb zapojených do opatrení zameraných na výmenu informácií, skúseností, vzdelávanie a výcvik</t>
  </si>
  <si>
    <t>P0401</t>
  </si>
  <si>
    <t>P0529</t>
  </si>
  <si>
    <t>P0536</t>
  </si>
  <si>
    <t>Počet zahraničných subjektov</t>
  </si>
  <si>
    <t>P0557</t>
  </si>
  <si>
    <t>Počet zariadení na elimináciu rizík súvisiacich so zmenou klímy</t>
  </si>
  <si>
    <t>P0688</t>
  </si>
  <si>
    <t>Zníženie materiálnych škôd posilnením intervenčných kapacít</t>
  </si>
  <si>
    <t>P0065</t>
  </si>
  <si>
    <t>Inštalovaný výkon zariadenia na výrobu  biometánu</t>
  </si>
  <si>
    <t>P0080</t>
  </si>
  <si>
    <t>Množstvo elektrickej energie vyrobenej v zariadení OZE</t>
  </si>
  <si>
    <t>P0084</t>
  </si>
  <si>
    <t>Množstvo tepelnej energie vyrobenej v zariadení OZE</t>
  </si>
  <si>
    <t>P0086</t>
  </si>
  <si>
    <t>Množstvo vyrobeného biometánu (energetický obsah)</t>
  </si>
  <si>
    <t>P0103</t>
  </si>
  <si>
    <t>P0182</t>
  </si>
  <si>
    <t>P0290</t>
  </si>
  <si>
    <t>Počet podnikov, ktorým sa poskytuje podpora</t>
  </si>
  <si>
    <t>P0705</t>
  </si>
  <si>
    <t>P0706</t>
  </si>
  <si>
    <t>P0707</t>
  </si>
  <si>
    <t>P0160</t>
  </si>
  <si>
    <t>P0248</t>
  </si>
  <si>
    <t>P0281</t>
  </si>
  <si>
    <t>P0370</t>
  </si>
  <si>
    <t>Počet registrácií EMAS</t>
  </si>
  <si>
    <t>P0573</t>
  </si>
  <si>
    <t>P0576</t>
  </si>
  <si>
    <t>P0608</t>
  </si>
  <si>
    <t>Počet zavedených systémov environmentálneho manažérstva</t>
  </si>
  <si>
    <t>P0618</t>
  </si>
  <si>
    <t>P0629</t>
  </si>
  <si>
    <t>Spotreba energie v podniku po realizácii opatrení energetickej efektívnosti</t>
  </si>
  <si>
    <t>P0630</t>
  </si>
  <si>
    <t>Spotreba energie v podniku pred realizáciou opatrení energetickej efektívnosti</t>
  </si>
  <si>
    <t>P0657</t>
  </si>
  <si>
    <t>P0250</t>
  </si>
  <si>
    <t>Počet opatrení na zníženie spotreby energie realizovaných vo verejnej budove</t>
  </si>
  <si>
    <t>P0470</t>
  </si>
  <si>
    <t>P0612</t>
  </si>
  <si>
    <t>P0627</t>
  </si>
  <si>
    <t>Spotreba energie v budove po realizácii opatrení energetickej efektívnosti</t>
  </si>
  <si>
    <t>P0628</t>
  </si>
  <si>
    <t>Spotreba energie v budove pred realizáciou opatrení energetickej efektívnosti</t>
  </si>
  <si>
    <t>P0687</t>
  </si>
  <si>
    <t>P0689</t>
  </si>
  <si>
    <t>Zníženie potreby energie vo verejných budovách</t>
  </si>
  <si>
    <t>P0701</t>
  </si>
  <si>
    <t>P0138</t>
  </si>
  <si>
    <t>Počet aktualizovaných koncepcií rozvoja obcí v tepelnej energetike</t>
  </si>
  <si>
    <t>P0150</t>
  </si>
  <si>
    <t>Počet dočasne vytvorených pracovných miest počas doby realizácie projektu za účelom koordinácie prípravy konkrétnych projektov nízkouhlíkových opatrení zo schválených nízkouhlíkových stratégií.</t>
  </si>
  <si>
    <t>P0166</t>
  </si>
  <si>
    <t>Počet informačných materiálov</t>
  </si>
  <si>
    <t>P0218</t>
  </si>
  <si>
    <t>Počet nových funkcionalít monitorovacieho systému</t>
  </si>
  <si>
    <t>P0357</t>
  </si>
  <si>
    <t>Počet pripravených projektov nízkouhlíkových opatrení</t>
  </si>
  <si>
    <t>P0358</t>
  </si>
  <si>
    <t>Počet pripravených projektov realizovaných prostredníctvom poskytnutia energetickej služby</t>
  </si>
  <si>
    <t>P0369</t>
  </si>
  <si>
    <t>P0574</t>
  </si>
  <si>
    <t>Počet zavedených systémov environmentálneho manažérstva</t>
  </si>
  <si>
    <t>P0575</t>
  </si>
  <si>
    <t>P0625</t>
  </si>
  <si>
    <t>Rozšírený monitorovací systém nízkouhlíkových opatrení</t>
  </si>
  <si>
    <t>P0085</t>
  </si>
  <si>
    <t>P0414</t>
  </si>
  <si>
    <t>P0655</t>
  </si>
  <si>
    <t>P0656</t>
  </si>
  <si>
    <t>Úspora PEZ v zariadeniach pre vysoko účinnú kombinovanú výrobu elektriny a tepla</t>
  </si>
  <si>
    <t>P0709</t>
  </si>
  <si>
    <t>P0130</t>
  </si>
  <si>
    <t>Počet administratívnych kapacít financovaných z technickej pomoci</t>
  </si>
  <si>
    <t>P0131</t>
  </si>
  <si>
    <t>Počet administratívnych kapacít vybavených materiálno-technickým vybavením z TP</t>
  </si>
  <si>
    <t>P0588</t>
  </si>
  <si>
    <t>P0594</t>
  </si>
  <si>
    <t>Počet zrealizovaných pracovných ciest</t>
  </si>
  <si>
    <t>P0596</t>
  </si>
  <si>
    <t>Merná jednotka</t>
  </si>
  <si>
    <t>%</t>
  </si>
  <si>
    <t>počet</t>
  </si>
  <si>
    <t>Ukazovateľ výstupu programu</t>
  </si>
  <si>
    <t>Ukazovateľ výstupu projektu</t>
  </si>
  <si>
    <t>t/rok</t>
  </si>
  <si>
    <t>Relevancia k HP</t>
  </si>
  <si>
    <t>UR</t>
  </si>
  <si>
    <t>osoby</t>
  </si>
  <si>
    <t>EO</t>
  </si>
  <si>
    <r>
      <t xml:space="preserve">Zvýšený počet obyvateľov so zlepšenou dodávkou pitnej vody / </t>
    </r>
    <r>
      <rPr>
        <sz val="10"/>
        <color theme="0" tint="-0.499984740745262"/>
        <rFont val="Arial Narrow"/>
        <family val="2"/>
        <charset val="238"/>
      </rPr>
      <t>Zvýšený počet obyvateľov so zlepšenou dodávkou vody</t>
    </r>
  </si>
  <si>
    <r>
      <t xml:space="preserve">Počet zrealizovaných informačných aktivít / </t>
    </r>
    <r>
      <rPr>
        <sz val="10"/>
        <color theme="0" tint="-0.499984740745262"/>
        <rFont val="Arial Narrow"/>
        <family val="2"/>
        <charset val="238"/>
      </rPr>
      <t>Počet hlavných  podujatí v rámci publicity (P)</t>
    </r>
  </si>
  <si>
    <t>Zdroj údajov</t>
  </si>
  <si>
    <t>Frekvencia</t>
  </si>
  <si>
    <t>MŽP SR (pravidelná správa hodnotenia biotopov a druhov v zmysle čl. 17 smernice o biotopoch, resp. mimoriadna správa za účelom vykazovania výsledkového ukazovateľa)</t>
  </si>
  <si>
    <t>31.12.2018
31.12.2020
31.12.2023</t>
  </si>
  <si>
    <t>31.12.2018
31.12.2020
31.12.2024</t>
  </si>
  <si>
    <t>ročne</t>
  </si>
  <si>
    <t>MŽP SR (Správa o stave životného prostredia SR)</t>
  </si>
  <si>
    <t>Monitorovanie implementácie OP KŽP</t>
  </si>
  <si>
    <t>MŽP SR (Vodné hospodárstvo v SR)</t>
  </si>
  <si>
    <t>Štatistický úrad SR, Vodné hospodárstvo v SR</t>
  </si>
  <si>
    <t>MŽP SR (Program monitorovania vôd v Slovenskej republike)</t>
  </si>
  <si>
    <t>MŽP SR (Vodný plán Slovenska, Analýza pokroku dosiahnutom pri zavádzaní Programu opatrení Vodného plánu Slovenska)</t>
  </si>
  <si>
    <t>ha</t>
  </si>
  <si>
    <t>MŽP SR, SHMÚ, Národná emisná inventúra (http://cdr.eionet.europa.eu/sk)</t>
  </si>
  <si>
    <t>Definícia</t>
  </si>
  <si>
    <t>*ukazovateľ zahŕňa vybrané znečisťujúce látky podľa smernice o národných emisných stropoch a smernice  o kvalite okolitého ovzdušia a čistejšom ovzduší v Európe (SO2,  NOx,  NH3 a VOC). Tuhé častice PM (vrátane PM2,5 a PM10) sú sledované osobitne vzhľadom na ich významný vplyv na kvalitu ovzdušia v SR</t>
  </si>
  <si>
    <t>Informačný systém environmentálnych záťaží http://envirozataze.enviroportal.sk</t>
  </si>
  <si>
    <t>MW</t>
  </si>
  <si>
    <t>Cieľová hodnota
2023</t>
  </si>
  <si>
    <t>Čiastkový cieľ
2018</t>
  </si>
  <si>
    <t>Zvýšený počet obyvateľov so zlepšeným čistením komunálnych odpadových vôd podľa plánovaného stavu projektov s ukončenou realizáciou aktivít</t>
  </si>
  <si>
    <t>F0002</t>
  </si>
  <si>
    <t>Celková suma oprávnených výdavkov po ich certifikácii certifikačným orgánom</t>
  </si>
  <si>
    <t>EUR</t>
  </si>
  <si>
    <t>Typ ukazovateľa</t>
  </si>
  <si>
    <t>Finančný</t>
  </si>
  <si>
    <t>Výstup</t>
  </si>
  <si>
    <t>Stav</t>
  </si>
  <si>
    <t>Počet obyvateľov využívajúcich opatrenia protipovodňovej ochrany podľa plánovaného stavu zazmluvnených projektov, ktorých verejné obstarávanie bolo overené</t>
  </si>
  <si>
    <t>LDR</t>
  </si>
  <si>
    <t>MDR</t>
  </si>
  <si>
    <t>ŽP SR (správa MŽP SR odpočtujúca postup implementácie plánov manažmentu povodňového rizika)</t>
  </si>
  <si>
    <t>Každé dva kalendárne roky od roku 2016 a k 31.12.2023</t>
  </si>
  <si>
    <t>Register Starých banských diel: http://www.geology.sk/new/sk/sub/ms/geof/sbd
Register úložísk: http://charon.sazp.sk/Odpady_tp/Ulozisko.aspx</t>
  </si>
  <si>
    <t>Vislocký Michal, Ing.</t>
  </si>
  <si>
    <t>Štatistika pokrytia trvale obývaného územia SR výstražným zvukovým signálom koncových prostriedkov varovania + monitorovanie implementácie OP KŽP</t>
  </si>
  <si>
    <t>Databáza svahových deformácií Štátneho geologického ústavu DŠ: http://mapserver.geology.sk/zosuvy/mapviewer.jsf?width=968&amp;height=818</t>
  </si>
  <si>
    <t>Min.</t>
  </si>
  <si>
    <t>Štatistika zásahov MV SR + monitorovanie implementácie OP KŽP</t>
  </si>
  <si>
    <t>MH SR</t>
  </si>
  <si>
    <t>Kategória regiónu</t>
  </si>
  <si>
    <t>MWe</t>
  </si>
  <si>
    <t>MWt</t>
  </si>
  <si>
    <t>N/A</t>
  </si>
  <si>
    <t>ŠÚ SR</t>
  </si>
  <si>
    <t>MWh/mil. Eur</t>
  </si>
  <si>
    <r>
      <t>t ekviv. CO</t>
    </r>
    <r>
      <rPr>
        <vertAlign val="subscript"/>
        <sz val="10"/>
        <rFont val="Arial Narrow"/>
        <family val="2"/>
        <charset val="238"/>
      </rPr>
      <t>2</t>
    </r>
  </si>
  <si>
    <t>MWh/rok</t>
  </si>
  <si>
    <t>pri podaní žiadosti</t>
  </si>
  <si>
    <r>
      <t>kWh/(m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x rok)</t>
    </r>
  </si>
  <si>
    <t>Monitorovací systém energetickej efektívnosti</t>
  </si>
  <si>
    <t>k 2017, 2020 a 2023</t>
  </si>
  <si>
    <t>kWh/rok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</si>
  <si>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</si>
  <si>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SIEA</t>
  </si>
  <si>
    <t>k 31.12.2018, k 31.12.2020 a k 31.12.2023</t>
  </si>
  <si>
    <t>ITMS</t>
  </si>
  <si>
    <t>RO, SO</t>
  </si>
  <si>
    <t>prieskum verejnej mienky</t>
  </si>
  <si>
    <t>FTE</t>
  </si>
  <si>
    <t>1</t>
  </si>
  <si>
    <t>Aktivita</t>
  </si>
  <si>
    <t>1.1.1 A</t>
  </si>
  <si>
    <t>1.1.1 C</t>
  </si>
  <si>
    <t>1.2.1 B</t>
  </si>
  <si>
    <t>1.1.1 B</t>
  </si>
  <si>
    <t>2</t>
  </si>
  <si>
    <t>4</t>
  </si>
  <si>
    <t>1.2.3 C</t>
  </si>
  <si>
    <t>1.3.1 C</t>
  </si>
  <si>
    <t>1.4.1 C</t>
  </si>
  <si>
    <t>1.3.1 D</t>
  </si>
  <si>
    <t>4.4.1 D</t>
  </si>
  <si>
    <t>1.4.1 B</t>
  </si>
  <si>
    <t>1.4.2 B</t>
  </si>
  <si>
    <t>2.1.1 F</t>
  </si>
  <si>
    <t>1.2.3 A</t>
  </si>
  <si>
    <t>1.3.1 A</t>
  </si>
  <si>
    <t>1.4.1 A</t>
  </si>
  <si>
    <t>5.1.2 A</t>
  </si>
  <si>
    <t>5.1.2 B</t>
  </si>
  <si>
    <t>5</t>
  </si>
  <si>
    <t>1.1.1 D</t>
  </si>
  <si>
    <t>Zazmluvnená hodnota</t>
  </si>
  <si>
    <t>1.2.1 A</t>
  </si>
  <si>
    <t>1.2.2 A</t>
  </si>
  <si>
    <t>1.2.3 B</t>
  </si>
  <si>
    <t>3</t>
  </si>
  <si>
    <t>3.1.3 A</t>
  </si>
  <si>
    <t>1.3.1 B</t>
  </si>
  <si>
    <t>4.1.1 A</t>
  </si>
  <si>
    <t>4.3.1 A</t>
  </si>
  <si>
    <t>1.4.2 A</t>
  </si>
  <si>
    <t>2.1.1 D</t>
  </si>
  <si>
    <t>2.1.1 B</t>
  </si>
  <si>
    <t>2.1.2 A</t>
  </si>
  <si>
    <t>3.1.1 B</t>
  </si>
  <si>
    <t>2.1.1 A</t>
  </si>
  <si>
    <t>2.1.1 C</t>
  </si>
  <si>
    <t>2.1.1 E</t>
  </si>
  <si>
    <t>3.1.2 A</t>
  </si>
  <si>
    <t>3.1.1 A</t>
  </si>
  <si>
    <t>3.1.2 B</t>
  </si>
  <si>
    <t>3.1.3 B</t>
  </si>
  <si>
    <t>4.2.1 B</t>
  </si>
  <si>
    <t>4.1.1 B</t>
  </si>
  <si>
    <t>4.1.1 C</t>
  </si>
  <si>
    <t>4.1.2 A</t>
  </si>
  <si>
    <t>Skutočný stav</t>
  </si>
  <si>
    <t>4.5.1 A</t>
  </si>
  <si>
    <t>4.5.1 B</t>
  </si>
  <si>
    <t>4.2.1 A</t>
  </si>
  <si>
    <t>4.4.1 C</t>
  </si>
  <si>
    <t>4.4.1 A</t>
  </si>
  <si>
    <t>4.4.1 E</t>
  </si>
  <si>
    <t>4.4.1 B</t>
  </si>
  <si>
    <t>5.1.1 A</t>
  </si>
  <si>
    <t>4.4.1 F</t>
  </si>
  <si>
    <t>5.1.1 C</t>
  </si>
  <si>
    <t>5.1.1 D</t>
  </si>
  <si>
    <t>5.1.1 B</t>
  </si>
  <si>
    <t>Kód projektu</t>
  </si>
  <si>
    <t>Výzva</t>
  </si>
  <si>
    <t>Prijímateľ</t>
  </si>
  <si>
    <t>Názov projektu</t>
  </si>
  <si>
    <t>310011A280</t>
  </si>
  <si>
    <t>Stav realizácie projektu</t>
  </si>
  <si>
    <t>Príznak rizika</t>
  </si>
  <si>
    <t>Nie</t>
  </si>
  <si>
    <t>zazmluvnené</t>
  </si>
  <si>
    <t>skutočný stav</t>
  </si>
  <si>
    <t>310011A002</t>
  </si>
  <si>
    <t>310011A003</t>
  </si>
  <si>
    <t>310011A006</t>
  </si>
  <si>
    <t>310011A007</t>
  </si>
  <si>
    <t>310011A008</t>
  </si>
  <si>
    <t>310011A009</t>
  </si>
  <si>
    <t>310011A010</t>
  </si>
  <si>
    <t>310011A011</t>
  </si>
  <si>
    <t>310011A012</t>
  </si>
  <si>
    <t>310011A013</t>
  </si>
  <si>
    <t>310011A014</t>
  </si>
  <si>
    <t>310011A016</t>
  </si>
  <si>
    <t>310011A019</t>
  </si>
  <si>
    <t>310011A023</t>
  </si>
  <si>
    <t>310011A028</t>
  </si>
  <si>
    <t>310011A029</t>
  </si>
  <si>
    <t>310011A030</t>
  </si>
  <si>
    <t>310011A032</t>
  </si>
  <si>
    <t>310011A033</t>
  </si>
  <si>
    <t>310011A034</t>
  </si>
  <si>
    <t>310011A035</t>
  </si>
  <si>
    <t>310011A037</t>
  </si>
  <si>
    <t>310011A040</t>
  </si>
  <si>
    <t>310011A042</t>
  </si>
  <si>
    <t>310011A066</t>
  </si>
  <si>
    <t>310011A067</t>
  </si>
  <si>
    <t>310011A074</t>
  </si>
  <si>
    <t>310011A080</t>
  </si>
  <si>
    <t>310011A084</t>
  </si>
  <si>
    <t>310011A085</t>
  </si>
  <si>
    <t>310011A086</t>
  </si>
  <si>
    <t>310011A089</t>
  </si>
  <si>
    <t>310011A097</t>
  </si>
  <si>
    <t>310011A101</t>
  </si>
  <si>
    <t>310011A107</t>
  </si>
  <si>
    <t>310011A109</t>
  </si>
  <si>
    <t>310011A110</t>
  </si>
  <si>
    <t>310011A111</t>
  </si>
  <si>
    <t>310011A119</t>
  </si>
  <si>
    <t>310011A121</t>
  </si>
  <si>
    <t>310011A126</t>
  </si>
  <si>
    <t>310011A903</t>
  </si>
  <si>
    <t>PraN, UR</t>
  </si>
  <si>
    <t>km</t>
  </si>
  <si>
    <t>Áno</t>
  </si>
  <si>
    <t>310011A326</t>
  </si>
  <si>
    <t>310011A366</t>
  </si>
  <si>
    <t>310011A874</t>
  </si>
  <si>
    <t>310011A153</t>
  </si>
  <si>
    <t>310011A155</t>
  </si>
  <si>
    <t>310011A226</t>
  </si>
  <si>
    <t>310011A373</t>
  </si>
  <si>
    <t>kg/rok</t>
  </si>
  <si>
    <t>310011B386</t>
  </si>
  <si>
    <t>310011B426</t>
  </si>
  <si>
    <t>310011B326</t>
  </si>
  <si>
    <t>310011B327</t>
  </si>
  <si>
    <t>310011B328</t>
  </si>
  <si>
    <t>310011B331</t>
  </si>
  <si>
    <t>310011B332</t>
  </si>
  <si>
    <t>310011B334</t>
  </si>
  <si>
    <t>310011B942</t>
  </si>
  <si>
    <t>310011B517</t>
  </si>
  <si>
    <t>310011B473</t>
  </si>
  <si>
    <t>310011B555</t>
  </si>
  <si>
    <t>310011B200</t>
  </si>
  <si>
    <t>310011B372</t>
  </si>
  <si>
    <t>310011B494</t>
  </si>
  <si>
    <t>Obec Pohronská Polhora</t>
  </si>
  <si>
    <t>Kanalizácia obcí Pohronská Polhora a Michalová</t>
  </si>
  <si>
    <t>Nedostatok</t>
  </si>
  <si>
    <t>Obec Šoporňa</t>
  </si>
  <si>
    <t>Šoporňa - rozšírenie kanalizácie a ČOV</t>
  </si>
  <si>
    <t>Východoslovenská vodárenská spoločnosť, a.s. Košice</t>
  </si>
  <si>
    <t>Trhovište, Bánovce nad Ondavou - kanalizácia a ČOV</t>
  </si>
  <si>
    <t>Obec Svätý Peter</t>
  </si>
  <si>
    <t>Svätý Peter, celo obecná splašková kanalizácia a ČOV</t>
  </si>
  <si>
    <t>Zazmluvnené na úrovni projektu</t>
  </si>
  <si>
    <t>Zazmluvnené na úrovni aktivít projektu</t>
  </si>
  <si>
    <t>Kumulatív za všetky projekty sa v ITMS napočítava z úrovne jednotlivých aktivít projektu. Z toho vyplýva, že v rámci OP KŽP máme v ITMS v pláne vybudovať 44 914,7272 km kanalizačných sietí.</t>
  </si>
  <si>
    <t>Dĺžka novovybudovaných kanalizačných sietí (bez kanal. prípojok) 
(km)</t>
  </si>
  <si>
    <t>Hodnota na úrovni aktivity je zazmluvnená 2x (na ČOV, aj na Stokovú sieť). Mala by byť zazlmuvnená len na Stokovú sieť. Tým pádom je do kumulatívnej hodnoty za všetky projekty v ITMS započítavaná 2x.</t>
  </si>
  <si>
    <t>ČOV: 13,743
Stoková sieť: 13,743</t>
  </si>
  <si>
    <t>ČOV: 27,7119
Stoková sieť: 27,7119</t>
  </si>
  <si>
    <t>ČOV: 1
Stoková sieť: 1</t>
  </si>
  <si>
    <t>Hodnota na úrovni aktivity je zazmluvnená 2x (na ČOV, aj na Stokovú sieť). Mala by byť zazlmuvnená len na ČOV. Tým pádom je do kumulatívnej hodnoty za všetky projekty v ITMS započítavaná 2x.</t>
  </si>
  <si>
    <t>-</t>
  </si>
  <si>
    <t>OBEC Topoľníky</t>
  </si>
  <si>
    <t>Topoľníky - Kanalizácia a úprava ČOV</t>
  </si>
  <si>
    <t>ČOV: 2 966
Stoková sieť: 2 966
Spolu: 5 132</t>
  </si>
  <si>
    <t>ČOV: 2 652
Stoková sieť: 2 652</t>
  </si>
  <si>
    <t>ČOV: 3 000
Stoková sieť: 3 000</t>
  </si>
  <si>
    <t>Hodnota na úrovni aktivity je zazmluvnená 2x (na ČOV, aj na Stokovú sieť). Tým pádom je do kumulatívnej hodnoty za všetky projekty v ITMS započítavaná 2x.</t>
  </si>
  <si>
    <t>Súčet hodnôt na úrovni aktivity nekorešponduje s hodnotou zazmluvnenou na úrovni projektu.</t>
  </si>
  <si>
    <t>Výskumný ústav vodného hospodárstva</t>
  </si>
  <si>
    <t>Monitorovanie a hodnotenie stavu vôd – III. etapa</t>
  </si>
  <si>
    <t>Štátny geologický ústav Dionýza Štúra</t>
  </si>
  <si>
    <t>Zabezpečenie monitorovania environmentálnych záťaží Slovenska – 1.časť</t>
  </si>
  <si>
    <t>Plocha monitorovaných environmentálnych záťaží (ha)</t>
  </si>
  <si>
    <t>Na úrovni aktivity je zazmluvnená hodnota 859, čo v popise projektu predstavuje počet monitorovaných katastrov.
Kumulatív za všetky projekty sa v ITMS napočítava z úrovne jednotlivých aktivít projektu.</t>
  </si>
  <si>
    <t>Na úrovni aktivity je zazmluvnená iná hodnota ako na úrovni projektu. V popise projektu sa spomína hodnota 205,1.
Kumulatív za všetky projekty sa v ITMS napočítava z úrovne jednotlivých aktivít projektu.</t>
  </si>
  <si>
    <t>Na úrovni aktivity je zazmluvnená iná hodnota ako na úrovni projektu. V popise projektu sa spomína 83 lokalít.
Kumulatív za všetky projekty sa v ITMS napočítava z úrovne jednotlivých aktivít projektu.</t>
  </si>
  <si>
    <t>310011A919</t>
  </si>
  <si>
    <t>310011B110</t>
  </si>
  <si>
    <t>310011B185</t>
  </si>
  <si>
    <t>310011B457</t>
  </si>
  <si>
    <t>310011B572</t>
  </si>
  <si>
    <t>310011C158</t>
  </si>
  <si>
    <t>Ministerstvo životného prostredia SR</t>
  </si>
  <si>
    <t>Geologický prieskum vybraných pravdepodobných environmentálnych záťaží</t>
  </si>
  <si>
    <t>Plocha preskúmaných environmentálnych záťaží (ha)</t>
  </si>
  <si>
    <t>Na úrovni aktivity je zazmluvnená iná hodnota ako na úrovni projektu. V popise projektu sa plocha preskúmaných enviro záťaží nespomína.</t>
  </si>
  <si>
    <t>Na úrovni aktivity je zazmluvnená iná hodnota ako na úrovni projektu. V popise projektu sa spomína 55 lokalít.</t>
  </si>
  <si>
    <t>310011B363</t>
  </si>
  <si>
    <t>310011B020</t>
  </si>
  <si>
    <t>310011B031</t>
  </si>
  <si>
    <t>310011B032</t>
  </si>
  <si>
    <t>310011B052</t>
  </si>
  <si>
    <t>310011B064</t>
  </si>
  <si>
    <t>310011B071</t>
  </si>
  <si>
    <t>310011B082</t>
  </si>
  <si>
    <t>310011B097</t>
  </si>
  <si>
    <t>310011B107</t>
  </si>
  <si>
    <t>310011B108</t>
  </si>
  <si>
    <t>310011B127</t>
  </si>
  <si>
    <t>310011B131</t>
  </si>
  <si>
    <t>310011B146</t>
  </si>
  <si>
    <t>310011B149</t>
  </si>
  <si>
    <t>310011B156</t>
  </si>
  <si>
    <t>310011B180</t>
  </si>
  <si>
    <t>310011B183</t>
  </si>
  <si>
    <t>310011B256</t>
  </si>
  <si>
    <t>310011B274</t>
  </si>
  <si>
    <t>310011B284</t>
  </si>
  <si>
    <t>310011B309</t>
  </si>
  <si>
    <t>310011B316</t>
  </si>
  <si>
    <t>310011B371</t>
  </si>
  <si>
    <t>310011B390</t>
  </si>
  <si>
    <t>310011B416</t>
  </si>
  <si>
    <t>310011B449</t>
  </si>
  <si>
    <t>310011B452</t>
  </si>
  <si>
    <t>310011B454</t>
  </si>
  <si>
    <t>310011B455</t>
  </si>
  <si>
    <t>310011B467</t>
  </si>
  <si>
    <t>310011B482</t>
  </si>
  <si>
    <t>310011B483</t>
  </si>
  <si>
    <t>310011B489</t>
  </si>
  <si>
    <t>310011B499</t>
  </si>
  <si>
    <t>310011B503</t>
  </si>
  <si>
    <t>310011B534</t>
  </si>
  <si>
    <t>310011B539</t>
  </si>
  <si>
    <t>310011B540</t>
  </si>
  <si>
    <t>310011B541</t>
  </si>
  <si>
    <t>310011B550</t>
  </si>
  <si>
    <t>310011B554</t>
  </si>
  <si>
    <t>310011B561</t>
  </si>
  <si>
    <t>310011B568</t>
  </si>
  <si>
    <t>310011B575</t>
  </si>
  <si>
    <t>310011B576</t>
  </si>
  <si>
    <t>310011B580</t>
  </si>
  <si>
    <t>310011B581</t>
  </si>
  <si>
    <t>310011B587</t>
  </si>
  <si>
    <t>310011B590</t>
  </si>
  <si>
    <t>310011B608</t>
  </si>
  <si>
    <t>310011B612</t>
  </si>
  <si>
    <t>310011B480</t>
  </si>
  <si>
    <t>PraN</t>
  </si>
  <si>
    <t>310011A918</t>
  </si>
  <si>
    <t>310011B039</t>
  </si>
  <si>
    <t>310011B079</t>
  </si>
  <si>
    <t>310011B145</t>
  </si>
  <si>
    <t>310011B151</t>
  </si>
  <si>
    <t>310011B179</t>
  </si>
  <si>
    <t>310011B237</t>
  </si>
  <si>
    <t>310011B276</t>
  </si>
  <si>
    <t>310011B285</t>
  </si>
  <si>
    <t>310011B358</t>
  </si>
  <si>
    <t>310011B430</t>
  </si>
  <si>
    <t>310011B431</t>
  </si>
  <si>
    <t>310011B443</t>
  </si>
  <si>
    <t>310011B444</t>
  </si>
  <si>
    <t>310011B450</t>
  </si>
  <si>
    <t>310011B451</t>
  </si>
  <si>
    <t>310011B478</t>
  </si>
  <si>
    <t>310011B518</t>
  </si>
  <si>
    <t>310011B547</t>
  </si>
  <si>
    <t>310011B598</t>
  </si>
  <si>
    <t>310011B601</t>
  </si>
  <si>
    <t>310011B560</t>
  </si>
  <si>
    <t>310011B565</t>
  </si>
  <si>
    <t>310011B579</t>
  </si>
  <si>
    <t>310011B588</t>
  </si>
  <si>
    <t>310011B589</t>
  </si>
  <si>
    <t>310011B148</t>
  </si>
  <si>
    <t>310011B255</t>
  </si>
  <si>
    <t>310011B447</t>
  </si>
  <si>
    <t>310011B510</t>
  </si>
  <si>
    <t>310011B549</t>
  </si>
  <si>
    <t>310011B557</t>
  </si>
  <si>
    <t>310011B562</t>
  </si>
  <si>
    <t>310011B564</t>
  </si>
  <si>
    <t>310011A925</t>
  </si>
  <si>
    <t>310011B068</t>
  </si>
  <si>
    <t>310011B135</t>
  </si>
  <si>
    <t>310011B409</t>
  </si>
  <si>
    <t>310011B433</t>
  </si>
  <si>
    <t>310011B441</t>
  </si>
  <si>
    <t>310011B485</t>
  </si>
  <si>
    <t>310011B496</t>
  </si>
  <si>
    <t>310011B515</t>
  </si>
  <si>
    <t>310011B543</t>
  </si>
  <si>
    <t>310011B551</t>
  </si>
  <si>
    <t>310011B578</t>
  </si>
  <si>
    <t>310011B584</t>
  </si>
  <si>
    <t>310011B597</t>
  </si>
  <si>
    <t>310011B466</t>
  </si>
  <si>
    <t>310011B586</t>
  </si>
  <si>
    <t>310011C041</t>
  </si>
  <si>
    <t>310011C064</t>
  </si>
  <si>
    <t>310011B533</t>
  </si>
  <si>
    <t>310011A990</t>
  </si>
  <si>
    <t>310011A847</t>
  </si>
  <si>
    <t>310011B569</t>
  </si>
  <si>
    <t>310011B462</t>
  </si>
  <si>
    <t>310011B429</t>
  </si>
  <si>
    <t>310011A943</t>
  </si>
  <si>
    <t>310011A909</t>
  </si>
  <si>
    <t>310011B526</t>
  </si>
  <si>
    <t>310011B599</t>
  </si>
  <si>
    <t>310011C076</t>
  </si>
  <si>
    <t>Kód</t>
  </si>
  <si>
    <t>Typ monitorovacej správy</t>
  </si>
  <si>
    <t>Dátum monitorovacieho termínu</t>
  </si>
  <si>
    <t>Dátum prijatia na RO/SORO</t>
  </si>
  <si>
    <t>310011A006VMS001</t>
  </si>
  <si>
    <t>Výročná</t>
  </si>
  <si>
    <t>Očová, Zvolenská Slatina - odvedenie a čistenie odpadových vôd</t>
  </si>
  <si>
    <t>Schválená (K)</t>
  </si>
  <si>
    <t>310011A014VMS001</t>
  </si>
  <si>
    <t>Odkanalizovanie aglomerácie Kendice</t>
  </si>
  <si>
    <t>310011A023VMS001</t>
  </si>
  <si>
    <t>Aglomerácia Hriňová - kanalizácia a ČOV</t>
  </si>
  <si>
    <t>310011A030VMS001</t>
  </si>
  <si>
    <t>Rozšírenie kanalizácie v meste Myjava</t>
  </si>
  <si>
    <t>310011A153VMS001</t>
  </si>
  <si>
    <t>Odprášenie MPO v OC1</t>
  </si>
  <si>
    <t>310011A155VMS001</t>
  </si>
  <si>
    <t>Odprášenie OC2 - mimopecné odsírenie</t>
  </si>
  <si>
    <t>310011A226VMS001</t>
  </si>
  <si>
    <t>Kontrola emisií pre rudné mosty VP1</t>
  </si>
  <si>
    <t>310011A326ZMS001</t>
  </si>
  <si>
    <t>Záverečná</t>
  </si>
  <si>
    <t>Monitorovanie fyzikálno-chemických a biologických prvkov kvality vôd v roku 2015</t>
  </si>
  <si>
    <t>310011B326VMS001</t>
  </si>
  <si>
    <t>Odprašovanie aglomerácie - pás č.1</t>
  </si>
  <si>
    <t>310011B327VMS001</t>
  </si>
  <si>
    <t>Odprašovanie aglomerácie - pás č.2</t>
  </si>
  <si>
    <t>310011B328VMS001</t>
  </si>
  <si>
    <t>Odprašovanie aglomerácie - pás č.3</t>
  </si>
  <si>
    <t>310011B331VMS001</t>
  </si>
  <si>
    <t>Odprašovanie aglomerácie - pás č.4</t>
  </si>
  <si>
    <t>310011B332VMS001</t>
  </si>
  <si>
    <t>Odprášenie koncov spekacích pásov 1 a 2</t>
  </si>
  <si>
    <t>310011B334VMS001</t>
  </si>
  <si>
    <t>Odprášenie koncov spekacích pásov 3 a 4</t>
  </si>
  <si>
    <t>310011B494VMS001</t>
  </si>
  <si>
    <t>Kompostáreň - Čadca</t>
  </si>
  <si>
    <t>310011B572VMS001</t>
  </si>
  <si>
    <t>Zhodnocovanie biologicky rozložiteľného komunálneho odpadu, Stropkov</t>
  </si>
  <si>
    <t>310011B942VMS001</t>
  </si>
  <si>
    <t>Kontrola emisií pre rudné mosty VP3 – Prestavba EO34</t>
  </si>
  <si>
    <t>310011B448</t>
  </si>
  <si>
    <t>310011B919</t>
  </si>
  <si>
    <t>Ukončenie realizácie aktivít</t>
  </si>
  <si>
    <t>310011A002VMS001</t>
  </si>
  <si>
    <t/>
  </si>
  <si>
    <t>Doručená (Z)</t>
  </si>
  <si>
    <t>310011A003VMS001</t>
  </si>
  <si>
    <t>Kanalizácia a ČOV Bojná-Veľké Dvorany</t>
  </si>
  <si>
    <t>Zaregistrovaná</t>
  </si>
  <si>
    <t>310011A007VMS001</t>
  </si>
  <si>
    <t>Vybudovanie kanalizácie a ČOV v aglomerácií Hronovce</t>
  </si>
  <si>
    <t>310011A008VMS001</t>
  </si>
  <si>
    <t>Odkanalizovanie Mikroregiónu Vlára - Váh a intenzifikácia ČOV Nemšová</t>
  </si>
  <si>
    <t>310011A009VMS001</t>
  </si>
  <si>
    <t>310011A010VMS001</t>
  </si>
  <si>
    <t>Aglomerácia Nedožery-Brezany - kanalizácia</t>
  </si>
  <si>
    <t>310011A011VMS001</t>
  </si>
  <si>
    <t>Turčiansky Peter, Košťany nad Turcom - odkanalizovanie</t>
  </si>
  <si>
    <t>310011A012VMS001</t>
  </si>
  <si>
    <t>Kanalizácia a ČOV - Víťaz</t>
  </si>
  <si>
    <t>Na doplnenie</t>
  </si>
  <si>
    <t>310011A013VMS001</t>
  </si>
  <si>
    <t>Obecná kanalizácia a ČOV Tekovské Lužany</t>
  </si>
  <si>
    <t>310011A016VMS001</t>
  </si>
  <si>
    <t>Vybudovanie a využívanie stokovej siete v aglomerácii obcí Podolie a Očkov</t>
  </si>
  <si>
    <t>310011A019VMS001</t>
  </si>
  <si>
    <t>Dobudovanie kanalizačnej siete v aglomerácii Veľké Leváre a rozšírenie ČOV Gajary</t>
  </si>
  <si>
    <t>310011A028VMS001</t>
  </si>
  <si>
    <t>ČOV Rohožník – rekonštrukcia a modernizácia</t>
  </si>
  <si>
    <t>310011A029VMS001</t>
  </si>
  <si>
    <t>Čierny Balog, kanalizácia a ČOV</t>
  </si>
  <si>
    <t>310011A032VMS001</t>
  </si>
  <si>
    <t>Streda nad Bodrogom - kanalizácia a ČOV</t>
  </si>
  <si>
    <t>310011A032VMS002</t>
  </si>
  <si>
    <t>310011A033VMS001</t>
  </si>
  <si>
    <t>Stiahnutá (K)</t>
  </si>
  <si>
    <t>310011A033VMS002</t>
  </si>
  <si>
    <t>310011A034VMS001</t>
  </si>
  <si>
    <t>Kráľovský Chlmec - rozšírenie jednotnej a splaškovej kanalizácie a intenzifikácia ČOV</t>
  </si>
  <si>
    <t>310011A034VMS002</t>
  </si>
  <si>
    <t>310011A035VMS001</t>
  </si>
  <si>
    <t>Čierna nad Tisou - splašková kanalizácia priľahlých obcí a intenzifikácia ČOV</t>
  </si>
  <si>
    <t>310011A037VMS001</t>
  </si>
  <si>
    <t>Malcov - Lenartov - kanalizácia a ČOV</t>
  </si>
  <si>
    <t>310011A040VMS001</t>
  </si>
  <si>
    <t>Aglomerácia Sebedražie - kanalizácia</t>
  </si>
  <si>
    <t>310011A042VMS001</t>
  </si>
  <si>
    <t>Nesvady - rozšírenie kanalizácie a ČOV</t>
  </si>
  <si>
    <t>310011A066VMS001</t>
  </si>
  <si>
    <t>Dobudovanie kanalizácie a intenzifikácia ČOV v Dvoroch nad Žitavou</t>
  </si>
  <si>
    <t>310011A067VMS001</t>
  </si>
  <si>
    <t>310011A074VMS001</t>
  </si>
  <si>
    <t>Aglomerácia Podbrezová – odkanalizovanie</t>
  </si>
  <si>
    <t>310011A080VMS001</t>
  </si>
  <si>
    <t>Dobudovanie ČOV a splaškovej kanalizácie v obci Liptovská Teplička - 2 stavba</t>
  </si>
  <si>
    <t>310011A084VMS001</t>
  </si>
  <si>
    <t>Aglomerácia Oslany, Čereňany - kanalizácia a ČOV</t>
  </si>
  <si>
    <t>310011A085VMS001</t>
  </si>
  <si>
    <t>Zásobovanie vodou, odkanalizovanie a čistenie odpadových vôd regiónu Stredné Kysuce</t>
  </si>
  <si>
    <t>310011A086VMS001</t>
  </si>
  <si>
    <t>Kanalizácia a ČOV Oravská Lesná</t>
  </si>
  <si>
    <t>310011A089ZMS001</t>
  </si>
  <si>
    <t>Rozšírenie kapacity ČOV Lozorno</t>
  </si>
  <si>
    <t>310011A097VMS001</t>
  </si>
  <si>
    <t>Aglomerácia Valaská - Valaská, Hronec - odkanalizovanie</t>
  </si>
  <si>
    <t>310011A101VMS001</t>
  </si>
  <si>
    <t>Dobudovanie kanalizačnej siete obce Branč a rozšírenie ČOV Branč</t>
  </si>
  <si>
    <t>310011A107VMS001</t>
  </si>
  <si>
    <t>Aglomerácia Tornaľa - kanalizácia a ČOV</t>
  </si>
  <si>
    <t>310011A109VMS001</t>
  </si>
  <si>
    <t>Rekonštrukcia a modernizácia čistiarne odpadových vôd v obci Hranovnica</t>
  </si>
  <si>
    <t>310011A110VMS001</t>
  </si>
  <si>
    <t>Kanalizácia a ČOV Moravské Lieskové</t>
  </si>
  <si>
    <t>310011A111VMS001</t>
  </si>
  <si>
    <t>Aglomerácia Nitrianske Pravno - kanalizácia a ČOV</t>
  </si>
  <si>
    <t>310011A119VMS001</t>
  </si>
  <si>
    <t>Okoč kanalizácia</t>
  </si>
  <si>
    <t>310011A121VMS001</t>
  </si>
  <si>
    <t>310011A126VMS001</t>
  </si>
  <si>
    <t>Kanalizácia a ČOV obce Bátorové Kosihy</t>
  </si>
  <si>
    <t>310011A366VMS001</t>
  </si>
  <si>
    <t>310011A373VMS001</t>
  </si>
  <si>
    <t>Modernizácia technológie odlučovacieho zariadenia pre zníženie emisií tuhých znečisťujúcich látok v ŽT, a.s.</t>
  </si>
  <si>
    <t>310011A874VMS001</t>
  </si>
  <si>
    <t>Monitorovanie chemického stavu a hodnotenie kvality podzemných vôd Slovenskej republiky</t>
  </si>
  <si>
    <t>310011A903VMS001</t>
  </si>
  <si>
    <t>Čistiareň odpadových vôd SEVER</t>
  </si>
  <si>
    <t>310011A919VMS001</t>
  </si>
  <si>
    <t>Triedený zber komunálnych odpadov v Žarnovici</t>
  </si>
  <si>
    <t>310011B110VMS001</t>
  </si>
  <si>
    <t>Kompostáreň mesta Fiľakovo - rozvoj odpadového hospodárstva II. etapa</t>
  </si>
  <si>
    <t>310011B185VMS001</t>
  </si>
  <si>
    <t>Zariadenie na zhodnocovanie biologicky rozložiteľného odpadu - kompostáreň</t>
  </si>
  <si>
    <t>310011B200VMS001</t>
  </si>
  <si>
    <t>Rozšírenie systému triedeného zberu KO v Meste Vysoké Tatry</t>
  </si>
  <si>
    <t>310011B372VMS001</t>
  </si>
  <si>
    <t>Zhodnocovanie biologicky rozložiteľného komunálneho odpadu v obci Ráztočno</t>
  </si>
  <si>
    <t>310011B386VMS001</t>
  </si>
  <si>
    <t>Znižovanie emisií zo stacionárnych zdrojov znečisťovania ovzdušia v spoločnosti Schüle Slovakia, s.r.o.</t>
  </si>
  <si>
    <t>310011B426VMS001</t>
  </si>
  <si>
    <t>Zabezpečenie monitorovania environmentálnych záťaží Slovenska - 1. čast</t>
  </si>
  <si>
    <t>310011B457VMS001</t>
  </si>
  <si>
    <t>Zberný dvor Orechová Potôň</t>
  </si>
  <si>
    <t>310011B473VMS001</t>
  </si>
  <si>
    <t>Podpora zhodnocovania biologicky rozložiteľného komunálneho odpadu v obci Beluša</t>
  </si>
  <si>
    <t>310011B555VMS001</t>
  </si>
  <si>
    <t>Zhodnocovanie biologicky rozložiteľného komunálneho odpadu v obci Trakovice</t>
  </si>
  <si>
    <t>310011C158VMS001</t>
  </si>
  <si>
    <t>310011A950</t>
  </si>
  <si>
    <t>310011B014</t>
  </si>
  <si>
    <t>310011B080</t>
  </si>
  <si>
    <t>310011B121</t>
  </si>
  <si>
    <t>310011B142</t>
  </si>
  <si>
    <t>310011B177</t>
  </si>
  <si>
    <t>310011B199</t>
  </si>
  <si>
    <t>310011B419</t>
  </si>
  <si>
    <t>310011B502</t>
  </si>
  <si>
    <t>310011B614</t>
  </si>
  <si>
    <t>310011C895</t>
  </si>
  <si>
    <t>310011C955</t>
  </si>
  <si>
    <t>310011C958</t>
  </si>
  <si>
    <t>310011C989</t>
  </si>
  <si>
    <t>310011C992</t>
  </si>
  <si>
    <t>310011A067VMS002</t>
  </si>
  <si>
    <t>310011B517VMS001</t>
  </si>
  <si>
    <t>Zníženie emisií znečisťujúcich látok zo Spaľovne odpadov - Termovalorizátora, linky kotla K1</t>
  </si>
  <si>
    <t>Kódy ukazovateľov na úrovni projektu</t>
  </si>
  <si>
    <t>P0201, P0292</t>
  </si>
  <si>
    <t>P0304, P0305</t>
  </si>
  <si>
    <t>P0501, P0502</t>
  </si>
  <si>
    <t>P0141, P0142</t>
  </si>
  <si>
    <t>310011C797</t>
  </si>
  <si>
    <t>310011B498</t>
  </si>
  <si>
    <t>310011B593</t>
  </si>
  <si>
    <t>310011C209</t>
  </si>
  <si>
    <t>310011C210</t>
  </si>
  <si>
    <t>310011C213</t>
  </si>
  <si>
    <t>310011C215</t>
  </si>
  <si>
    <t>310011B602</t>
  </si>
  <si>
    <t>310011B868</t>
  </si>
  <si>
    <t>310011C096</t>
  </si>
  <si>
    <t>310011C124</t>
  </si>
  <si>
    <t>310011C156</t>
  </si>
  <si>
    <t>310011C193</t>
  </si>
  <si>
    <t>310011B490</t>
  </si>
  <si>
    <t>310011C228</t>
  </si>
  <si>
    <t>310011C169</t>
  </si>
  <si>
    <t>310011C168</t>
  </si>
  <si>
    <t>310011B748</t>
  </si>
  <si>
    <t>310011B885</t>
  </si>
  <si>
    <t>310011B952</t>
  </si>
  <si>
    <t>310011C128</t>
  </si>
  <si>
    <t>310011C176</t>
  </si>
  <si>
    <t>310011C191</t>
  </si>
  <si>
    <t>310011C199</t>
  </si>
  <si>
    <t>310011B967</t>
  </si>
  <si>
    <t>310011C174</t>
  </si>
  <si>
    <t>310011C195</t>
  </si>
  <si>
    <t>310011C166</t>
  </si>
  <si>
    <t>310011D635</t>
  </si>
  <si>
    <t>310011B514</t>
  </si>
  <si>
    <t>310011F127</t>
  </si>
  <si>
    <t>310011F687</t>
  </si>
  <si>
    <t>310011F270</t>
  </si>
  <si>
    <t>310011C146</t>
  </si>
  <si>
    <t>310011D534</t>
  </si>
  <si>
    <t>310011C204</t>
  </si>
  <si>
    <t>310011D670</t>
  </si>
  <si>
    <t>310011D589</t>
  </si>
  <si>
    <t>Mimoriadne ukončené projekty</t>
  </si>
  <si>
    <t>OPKZP-PO1-SC111-2016-10</t>
  </si>
  <si>
    <t>Obec Rimavská Seč</t>
  </si>
  <si>
    <t>Zbierajme spolu do dvora v Rimavskej Seči</t>
  </si>
  <si>
    <t>Mimoriadne ukončený</t>
  </si>
  <si>
    <t>Obec Podolie</t>
  </si>
  <si>
    <t>Zberný dvor Podolie</t>
  </si>
  <si>
    <t>OPKZP-PO1-SC121/122-2015</t>
  </si>
  <si>
    <t>Obec Víťaz</t>
  </si>
  <si>
    <t>ZDRUŽENIE OBCÍ ENVIROPARK POMORAVIE</t>
  </si>
  <si>
    <t>Obec Oravská Lesná</t>
  </si>
  <si>
    <t>Obec Okoč</t>
  </si>
  <si>
    <t>VÚC</t>
  </si>
  <si>
    <t>BA</t>
  </si>
  <si>
    <t>TT</t>
  </si>
  <si>
    <t>NR</t>
  </si>
  <si>
    <t>TN</t>
  </si>
  <si>
    <t>ZA</t>
  </si>
  <si>
    <t>KE</t>
  </si>
  <si>
    <t>všetky kraje</t>
  </si>
  <si>
    <t>BB</t>
  </si>
  <si>
    <t>NR, TN</t>
  </si>
  <si>
    <t>Zvýšená kapacita recyklácie odpadu (nebezpečný odpad)</t>
  </si>
  <si>
    <t>Zvýšená kapacita recyklácie odpadu (nie nebezpečný odpad a BRKO)</t>
  </si>
  <si>
    <t>Zvýšená kapacita pre zhodnocovanie odpadov (nebezpečný odpad)</t>
  </si>
  <si>
    <t>Zvýšená kapacita pre zhodnocovanie odpadov (nie nebezpečný odpad a BRKO)</t>
  </si>
  <si>
    <t>Zvýšená kapacita pre triedenie komunálnych odpadov (nie nebezpečný odpad a BRKO)</t>
  </si>
  <si>
    <t>Počet zrealizovaných informačných aktivít (nie nebezpečný odpad a BRKO)</t>
  </si>
  <si>
    <t>Počet osôb zapojených do informačných aktivít (nie nebezpečný odpad a BRKO)</t>
  </si>
  <si>
    <t>€</t>
  </si>
  <si>
    <t>Dĺžka novovybudovaných kanalizačných sietí (bez kanal. prípojok) (chránené obl.)</t>
  </si>
  <si>
    <t>Počet zrekonštruovaných alebo novovybudovaných ČOV (chránené obl.)</t>
  </si>
  <si>
    <t>Zvýšený počet obyvateľov so zlepšeným čistením komunálnych odpadových vôd (chránené obl.)</t>
  </si>
  <si>
    <r>
      <t>Zníženie produkcie emisií NH</t>
    </r>
    <r>
      <rPr>
        <vertAlign val="subscript"/>
        <sz val="10"/>
        <rFont val="Arial Narrow"/>
        <family val="2"/>
        <charset val="238"/>
      </rPr>
      <t>3</t>
    </r>
  </si>
  <si>
    <r>
      <t>Zníženie produkcie emisií NO</t>
    </r>
    <r>
      <rPr>
        <vertAlign val="subscript"/>
        <sz val="10"/>
        <rFont val="Arial Narrow"/>
        <family val="2"/>
        <charset val="238"/>
      </rPr>
      <t>x</t>
    </r>
  </si>
  <si>
    <r>
      <t>Zníženie produkcie emisií PM</t>
    </r>
    <r>
      <rPr>
        <vertAlign val="subscript"/>
        <sz val="10"/>
        <rFont val="Arial Narrow"/>
        <family val="2"/>
        <charset val="238"/>
      </rPr>
      <t>10</t>
    </r>
  </si>
  <si>
    <r>
      <t>Zníženie produkcie emisií PM</t>
    </r>
    <r>
      <rPr>
        <vertAlign val="subscript"/>
        <sz val="10"/>
        <rFont val="Arial Narrow"/>
        <family val="2"/>
        <charset val="238"/>
      </rPr>
      <t>2,5</t>
    </r>
  </si>
  <si>
    <r>
      <t>Zníženie produkcie emisií SO</t>
    </r>
    <r>
      <rPr>
        <vertAlign val="subscript"/>
        <sz val="10"/>
        <rFont val="Arial Narrow"/>
        <family val="2"/>
        <charset val="238"/>
      </rPr>
      <t>2</t>
    </r>
  </si>
  <si>
    <t>Odhad plnenia k 31.12.2018</t>
  </si>
  <si>
    <t>okrem rizikových</t>
  </si>
  <si>
    <t>Počet preskúmaných prioritných environmentálnych záťaží</t>
  </si>
  <si>
    <t>Očakávaný stav
2018</t>
  </si>
  <si>
    <t>310031A027</t>
  </si>
  <si>
    <t>310031A113</t>
  </si>
  <si>
    <t>310031H157</t>
  </si>
  <si>
    <t>310031J215</t>
  </si>
  <si>
    <t>310031N067</t>
  </si>
  <si>
    <t>OPKZP-PO3-SC311-2017-24</t>
  </si>
  <si>
    <t>Ministerstvo vnútra SR</t>
  </si>
  <si>
    <t>Budovanie systému pripravenosti dobrovoľných hasičských zborov obcí na zvládanie mimoriadnych udalostí</t>
  </si>
  <si>
    <t>SR</t>
  </si>
  <si>
    <t>BB, NT, PO, TN, TT, KE, ZA</t>
  </si>
  <si>
    <t>Zmluva uzatvorená</t>
  </si>
  <si>
    <t>OPKZP-PO3-SC313-2015-2</t>
  </si>
  <si>
    <t>Operatívny záchranný modul</t>
  </si>
  <si>
    <t>Horská záchranná služba</t>
  </si>
  <si>
    <t>Budovanie modulu leteckého hlásenia požiarov s využitím helikoptér</t>
  </si>
  <si>
    <t>ETC - Dočasný núdzový tábor</t>
  </si>
  <si>
    <t>GFFF-V - Pozemné hlásenie lesných požiarov s využitím vozidiel</t>
  </si>
  <si>
    <t>min</t>
  </si>
  <si>
    <t>t ekviv. CO2</t>
  </si>
  <si>
    <t>podniky</t>
  </si>
  <si>
    <t>310041A077</t>
  </si>
  <si>
    <t>310041A279</t>
  </si>
  <si>
    <t>Podpora výroby a distribúcie energie z obnoviteľnýchch zdrojov</t>
  </si>
  <si>
    <t>SZRB Asset Management, a.s.</t>
  </si>
  <si>
    <t>Zmluva uzavretá</t>
  </si>
  <si>
    <t>Slovenská inovačná a energetická agentúra</t>
  </si>
  <si>
    <t>Zelená domácnostiam</t>
  </si>
  <si>
    <t>OPKZP-PO4-SC411/412-2015-NP1</t>
  </si>
  <si>
    <t>OPKZP-PO4-SC411/421/431-2016-FN</t>
  </si>
  <si>
    <t>310041A281</t>
  </si>
  <si>
    <t>Podpora energetickej efektívnosti a využívania energie z obnoviteľných zdrojov v podnikoch</t>
  </si>
  <si>
    <t>310041A187</t>
  </si>
  <si>
    <t>310041B387</t>
  </si>
  <si>
    <t>310041A154</t>
  </si>
  <si>
    <t>310041A190</t>
  </si>
  <si>
    <t>310041A196</t>
  </si>
  <si>
    <t>310041A201</t>
  </si>
  <si>
    <t>310041A203</t>
  </si>
  <si>
    <t>310041A218</t>
  </si>
  <si>
    <t>310041A220</t>
  </si>
  <si>
    <t>310041A248</t>
  </si>
  <si>
    <t>310041A298</t>
  </si>
  <si>
    <t>310041A411</t>
  </si>
  <si>
    <t>310041A616</t>
  </si>
  <si>
    <t>310041A667</t>
  </si>
  <si>
    <t>310041A710</t>
  </si>
  <si>
    <t>310041A776</t>
  </si>
  <si>
    <t>310041C123</t>
  </si>
  <si>
    <t>310041A141</t>
  </si>
  <si>
    <t>310041A157</t>
  </si>
  <si>
    <t>310041A159</t>
  </si>
  <si>
    <t>310041A161</t>
  </si>
  <si>
    <t>310041A163</t>
  </si>
  <si>
    <t>310041A165</t>
  </si>
  <si>
    <t>310041A169</t>
  </si>
  <si>
    <t>310041A170</t>
  </si>
  <si>
    <t>310041A171</t>
  </si>
  <si>
    <t>310041A174</t>
  </si>
  <si>
    <t>310041A178</t>
  </si>
  <si>
    <t>310041A179</t>
  </si>
  <si>
    <t>310041A185</t>
  </si>
  <si>
    <t>310041A186</t>
  </si>
  <si>
    <t>310041A188</t>
  </si>
  <si>
    <t>310041A189</t>
  </si>
  <si>
    <t>310041A191</t>
  </si>
  <si>
    <t>310041A192</t>
  </si>
  <si>
    <t>310041A194</t>
  </si>
  <si>
    <t>310041A199</t>
  </si>
  <si>
    <t>310041A200</t>
  </si>
  <si>
    <t>310041A202</t>
  </si>
  <si>
    <t>310041A204</t>
  </si>
  <si>
    <t>310041A205</t>
  </si>
  <si>
    <t>310041A207</t>
  </si>
  <si>
    <t>310041A210</t>
  </si>
  <si>
    <t>310041A213</t>
  </si>
  <si>
    <t>310041A214</t>
  </si>
  <si>
    <t>310041A215</t>
  </si>
  <si>
    <t>310041A217</t>
  </si>
  <si>
    <t>310041A219</t>
  </si>
  <si>
    <t>310041A237</t>
  </si>
  <si>
    <t>310041A241</t>
  </si>
  <si>
    <t>310041A243</t>
  </si>
  <si>
    <t>310041A245</t>
  </si>
  <si>
    <t>310041A246</t>
  </si>
  <si>
    <t>310041A254</t>
  </si>
  <si>
    <t>310041A255</t>
  </si>
  <si>
    <t>310041A256</t>
  </si>
  <si>
    <t>310041A261</t>
  </si>
  <si>
    <t>310041A263</t>
  </si>
  <si>
    <t>310041A266</t>
  </si>
  <si>
    <t>310041A267</t>
  </si>
  <si>
    <t>310041A270</t>
  </si>
  <si>
    <t>310041A282</t>
  </si>
  <si>
    <t>310041A284</t>
  </si>
  <si>
    <t>310041A287</t>
  </si>
  <si>
    <t>310041A289</t>
  </si>
  <si>
    <t>310041A290</t>
  </si>
  <si>
    <t>310041A291</t>
  </si>
  <si>
    <t>310041A293</t>
  </si>
  <si>
    <t>310041A294</t>
  </si>
  <si>
    <t>310041A295</t>
  </si>
  <si>
    <t>310041A296</t>
  </si>
  <si>
    <t>310041A297</t>
  </si>
  <si>
    <t>310041A299</t>
  </si>
  <si>
    <t>310041A300</t>
  </si>
  <si>
    <t>310041A301</t>
  </si>
  <si>
    <t>310041A302</t>
  </si>
  <si>
    <t>310041A303</t>
  </si>
  <si>
    <t>310041A304</t>
  </si>
  <si>
    <t>310041A305</t>
  </si>
  <si>
    <t>310041A306</t>
  </si>
  <si>
    <t>310041A307</t>
  </si>
  <si>
    <t>310041A308</t>
  </si>
  <si>
    <t>310041A309</t>
  </si>
  <si>
    <t>310041A311</t>
  </si>
  <si>
    <t>310041A312</t>
  </si>
  <si>
    <t>310041A313</t>
  </si>
  <si>
    <t>310041A314</t>
  </si>
  <si>
    <t>310041A315</t>
  </si>
  <si>
    <t>310041A316</t>
  </si>
  <si>
    <t>310041A317</t>
  </si>
  <si>
    <t>310041A318</t>
  </si>
  <si>
    <t>310041A319</t>
  </si>
  <si>
    <t>310041A320</t>
  </si>
  <si>
    <t>310041A321</t>
  </si>
  <si>
    <t>310041A322</t>
  </si>
  <si>
    <t>310041A325</t>
  </si>
  <si>
    <t>310041A327</t>
  </si>
  <si>
    <t>310041A349</t>
  </si>
  <si>
    <t>310041A353</t>
  </si>
  <si>
    <t>310041A356</t>
  </si>
  <si>
    <t>310041A371</t>
  </si>
  <si>
    <t>310041A372</t>
  </si>
  <si>
    <t>310041A380</t>
  </si>
  <si>
    <t>310041A390</t>
  </si>
  <si>
    <t>310041A393</t>
  </si>
  <si>
    <t>310041A396</t>
  </si>
  <si>
    <t>310041A398</t>
  </si>
  <si>
    <t>310041A399</t>
  </si>
  <si>
    <t>310041A401</t>
  </si>
  <si>
    <t>310041A402</t>
  </si>
  <si>
    <t>310041A403</t>
  </si>
  <si>
    <t>310041A405</t>
  </si>
  <si>
    <t>310041A406</t>
  </si>
  <si>
    <t>310041A410</t>
  </si>
  <si>
    <t>310041A418</t>
  </si>
  <si>
    <t>310041A422</t>
  </si>
  <si>
    <t>310041A427</t>
  </si>
  <si>
    <t>310041A434</t>
  </si>
  <si>
    <t>310041A442</t>
  </si>
  <si>
    <t>310041A444</t>
  </si>
  <si>
    <t>310041A445</t>
  </si>
  <si>
    <t>310041A448</t>
  </si>
  <si>
    <t>310041A449</t>
  </si>
  <si>
    <t>310041A452</t>
  </si>
  <si>
    <t>310041A453</t>
  </si>
  <si>
    <t>310041A457</t>
  </si>
  <si>
    <t>310041A460</t>
  </si>
  <si>
    <t>310041A461</t>
  </si>
  <si>
    <t>310041A462</t>
  </si>
  <si>
    <t>310041A471</t>
  </si>
  <si>
    <t>310041A472</t>
  </si>
  <si>
    <t>310041A475</t>
  </si>
  <si>
    <t>310041A476</t>
  </si>
  <si>
    <t>310041A483</t>
  </si>
  <si>
    <t>310041A487</t>
  </si>
  <si>
    <t>310041A489</t>
  </si>
  <si>
    <t>310041A501</t>
  </si>
  <si>
    <t>310041A502</t>
  </si>
  <si>
    <t>310041A506</t>
  </si>
  <si>
    <t>310041A507</t>
  </si>
  <si>
    <t>310041A508</t>
  </si>
  <si>
    <t>310041A510</t>
  </si>
  <si>
    <t>310041A513</t>
  </si>
  <si>
    <t>310041A518</t>
  </si>
  <si>
    <t>310041A523</t>
  </si>
  <si>
    <t>310041A525</t>
  </si>
  <si>
    <t>310041A526</t>
  </si>
  <si>
    <t>310041A535</t>
  </si>
  <si>
    <t>310041A536</t>
  </si>
  <si>
    <t>310041A537</t>
  </si>
  <si>
    <t>310041A538</t>
  </si>
  <si>
    <t>310041A539</t>
  </si>
  <si>
    <t>310041A540</t>
  </si>
  <si>
    <t>310041A541</t>
  </si>
  <si>
    <t>310041A542</t>
  </si>
  <si>
    <t>310041A543</t>
  </si>
  <si>
    <t>310041A546</t>
  </si>
  <si>
    <t>310041A549</t>
  </si>
  <si>
    <t>310041A550</t>
  </si>
  <si>
    <t>310041A551</t>
  </si>
  <si>
    <t>310041A553</t>
  </si>
  <si>
    <t>310041A554</t>
  </si>
  <si>
    <t>310041A556</t>
  </si>
  <si>
    <t>310041A557</t>
  </si>
  <si>
    <t>310041A558</t>
  </si>
  <si>
    <t>310041A562</t>
  </si>
  <si>
    <t>310041A563</t>
  </si>
  <si>
    <t>310041A564</t>
  </si>
  <si>
    <t>310041A566</t>
  </si>
  <si>
    <t>310041A567</t>
  </si>
  <si>
    <t>310041A572</t>
  </si>
  <si>
    <t>310041A575</t>
  </si>
  <si>
    <t>310041A576</t>
  </si>
  <si>
    <t>310041A579</t>
  </si>
  <si>
    <t>310041A580</t>
  </si>
  <si>
    <t>310041A584</t>
  </si>
  <si>
    <t>310041A587</t>
  </si>
  <si>
    <t>310041A588</t>
  </si>
  <si>
    <t>310041A591</t>
  </si>
  <si>
    <t>310041A593</t>
  </si>
  <si>
    <t>310041A599</t>
  </si>
  <si>
    <t>310041A600</t>
  </si>
  <si>
    <t>310041A602</t>
  </si>
  <si>
    <t>310041A603</t>
  </si>
  <si>
    <t>310041A606</t>
  </si>
  <si>
    <t>310041A607</t>
  </si>
  <si>
    <t>310041A609</t>
  </si>
  <si>
    <t>310041A610</t>
  </si>
  <si>
    <t>310041A611</t>
  </si>
  <si>
    <t>310041A612</t>
  </si>
  <si>
    <t>310041A614</t>
  </si>
  <si>
    <t>310041A624</t>
  </si>
  <si>
    <t>310041A626</t>
  </si>
  <si>
    <t>310041A627</t>
  </si>
  <si>
    <t>310041A628</t>
  </si>
  <si>
    <t>310041A630</t>
  </si>
  <si>
    <t>310041A632</t>
  </si>
  <si>
    <t>310041A633</t>
  </si>
  <si>
    <t>310041A634</t>
  </si>
  <si>
    <t>310041A639</t>
  </si>
  <si>
    <t>310041A644</t>
  </si>
  <si>
    <t>310041A645</t>
  </si>
  <si>
    <t>310041A649</t>
  </si>
  <si>
    <t>310041A650</t>
  </si>
  <si>
    <t>310041A653</t>
  </si>
  <si>
    <t>310041A656</t>
  </si>
  <si>
    <t>310041A658</t>
  </si>
  <si>
    <t>310041A660</t>
  </si>
  <si>
    <t>310041A661</t>
  </si>
  <si>
    <t>310041A662</t>
  </si>
  <si>
    <t>310041A663</t>
  </si>
  <si>
    <t>310041A669</t>
  </si>
  <si>
    <t>310041A670</t>
  </si>
  <si>
    <t>310041A671</t>
  </si>
  <si>
    <t>310041A672</t>
  </si>
  <si>
    <t>310041A673</t>
  </si>
  <si>
    <t>310041A674</t>
  </si>
  <si>
    <t>310041A675</t>
  </si>
  <si>
    <t>310041A676</t>
  </si>
  <si>
    <t>310041A680</t>
  </si>
  <si>
    <t>310041A684</t>
  </si>
  <si>
    <t>310041A685</t>
  </si>
  <si>
    <t>310041A689</t>
  </si>
  <si>
    <t>310041A690</t>
  </si>
  <si>
    <t>310041A694</t>
  </si>
  <si>
    <t>310041A696</t>
  </si>
  <si>
    <t>310041A697</t>
  </si>
  <si>
    <t>310041A700</t>
  </si>
  <si>
    <t>310041A705</t>
  </si>
  <si>
    <t>310041A707</t>
  </si>
  <si>
    <t>310041A709</t>
  </si>
  <si>
    <t>310041A712</t>
  </si>
  <si>
    <t>310041A714</t>
  </si>
  <si>
    <t>310041A717</t>
  </si>
  <si>
    <t>310041A718</t>
  </si>
  <si>
    <t>310041A719</t>
  </si>
  <si>
    <t>310041A723</t>
  </si>
  <si>
    <t>310041A724</t>
  </si>
  <si>
    <t>310041A728</t>
  </si>
  <si>
    <t>310041A731</t>
  </si>
  <si>
    <t>310041A734</t>
  </si>
  <si>
    <t>310041A742</t>
  </si>
  <si>
    <t>310041A744</t>
  </si>
  <si>
    <t>310041A747</t>
  </si>
  <si>
    <t>310041A765</t>
  </si>
  <si>
    <t>310041A766</t>
  </si>
  <si>
    <t>310041A768</t>
  </si>
  <si>
    <t>310041A769</t>
  </si>
  <si>
    <t>310041A771</t>
  </si>
  <si>
    <t>310041A773</t>
  </si>
  <si>
    <t>310041A775</t>
  </si>
  <si>
    <t>310041A784</t>
  </si>
  <si>
    <t>310041A785</t>
  </si>
  <si>
    <t>310041A822</t>
  </si>
  <si>
    <t>310041A972</t>
  </si>
  <si>
    <t>310041A975</t>
  </si>
  <si>
    <t>310041A979</t>
  </si>
  <si>
    <t>310041A980</t>
  </si>
  <si>
    <t>310041A983</t>
  </si>
  <si>
    <t>310041A984</t>
  </si>
  <si>
    <t>310041A985</t>
  </si>
  <si>
    <t>310041A986</t>
  </si>
  <si>
    <t>310041A987</t>
  </si>
  <si>
    <t>310041B074</t>
  </si>
  <si>
    <t>310041B088</t>
  </si>
  <si>
    <t>310041B091</t>
  </si>
  <si>
    <t>310041B304</t>
  </si>
  <si>
    <t>310041B347</t>
  </si>
  <si>
    <t>310041B382</t>
  </si>
  <si>
    <t>310041B403</t>
  </si>
  <si>
    <t>310041B406</t>
  </si>
  <si>
    <t>310041B407</t>
  </si>
  <si>
    <t>310041B413</t>
  </si>
  <si>
    <t>310041B421</t>
  </si>
  <si>
    <t>310041C033</t>
  </si>
  <si>
    <t>310041C075</t>
  </si>
  <si>
    <t>310041C082</t>
  </si>
  <si>
    <t>310041C085</t>
  </si>
  <si>
    <t>310041C086</t>
  </si>
  <si>
    <t>310041C100</t>
  </si>
  <si>
    <t>310041C105</t>
  </si>
  <si>
    <t>310041C109</t>
  </si>
  <si>
    <t>310041C111</t>
  </si>
  <si>
    <t>310041C112</t>
  </si>
  <si>
    <t>310041C127</t>
  </si>
  <si>
    <t>310041C165</t>
  </si>
  <si>
    <t>310041C171</t>
  </si>
  <si>
    <t>310041C211</t>
  </si>
  <si>
    <t>310041C338</t>
  </si>
  <si>
    <t>310041C365</t>
  </si>
  <si>
    <t>310041C448</t>
  </si>
  <si>
    <t>310041C472</t>
  </si>
  <si>
    <t>310041C473</t>
  </si>
  <si>
    <t>310041C489</t>
  </si>
  <si>
    <t>310041C865</t>
  </si>
  <si>
    <t>310041C973</t>
  </si>
  <si>
    <t>Projekt mimoriadne ukončený - neprispel k cieľom OP (K)</t>
  </si>
  <si>
    <t>P0758</t>
  </si>
  <si>
    <t>Počet monitorovaných budov</t>
  </si>
  <si>
    <t>310041J746</t>
  </si>
  <si>
    <t>OPKZP-PO4-SC441-2017-NP2</t>
  </si>
  <si>
    <t xml:space="preserve">Slovenská inovačná a energetická agentúra </t>
  </si>
  <si>
    <t>Žiť energiou</t>
  </si>
  <si>
    <t>310041H138</t>
  </si>
  <si>
    <t>310041H140</t>
  </si>
  <si>
    <t>310041H268</t>
  </si>
  <si>
    <t>310041H357</t>
  </si>
  <si>
    <t>OPKZP-PO4-SC451-2017-20</t>
  </si>
  <si>
    <t>Tepláreň Košice, a. s. v skratke TEKO, a. s.</t>
  </si>
  <si>
    <t>Trnavská teplárenská, a. s.</t>
  </si>
  <si>
    <t>Mestský podnik bytového hospodárstva, s.r.o.</t>
  </si>
  <si>
    <t>TEPELNÉ HOSPODÁRSTVO spoločnosť s ručenímm obmedzeným Košice</t>
  </si>
  <si>
    <t>Rekonštrukcia vonkajších primárnych rozvodov sústavy centrálneho zásobovania teplom (SCZT) v Košiciach</t>
  </si>
  <si>
    <t>Rekonštrukcia horúcovodu DN 600 Mikovýniho až Goliana od šachty š 1004 po šachtu š 1046</t>
  </si>
  <si>
    <t>Rekonštrukcia tepelných rozvodov a využitie geotermálnej energie na vykurovanie mesta Veľký Meder</t>
  </si>
  <si>
    <t>Rekonštrukcia a modernizácia rozvodov tepla na okruhoch KVP</t>
  </si>
  <si>
    <t>P0741</t>
  </si>
  <si>
    <t>Počet refundovaných hodín zamestnancov mimopracovného pomeru</t>
  </si>
  <si>
    <t>P0219</t>
  </si>
  <si>
    <t>Počet nových IKT zariadení</t>
  </si>
  <si>
    <t>P0749</t>
  </si>
  <si>
    <t>Počet dodaných informačných a komunikačných technológii</t>
  </si>
  <si>
    <t>P0851</t>
  </si>
  <si>
    <t>Počet účastníkov zrealizovaných pracovných ciest</t>
  </si>
  <si>
    <t>P0349</t>
  </si>
  <si>
    <t>Počet preložených dokumentov do cudzieho jazyka</t>
  </si>
  <si>
    <t>P0379</t>
  </si>
  <si>
    <t>Počet rokovaní s využitím tlmočníckych služieb</t>
  </si>
  <si>
    <t>Počet zrealizovaných hodnotení, analýz a štúdií</t>
  </si>
  <si>
    <t>P0747</t>
  </si>
  <si>
    <t>Počet zrealizovaných aktivít, alebo poskytnutých služieb</t>
  </si>
  <si>
    <t>5.1.1 A - MRR</t>
  </si>
  <si>
    <t>5.1.1 B - MRR</t>
  </si>
  <si>
    <t>5.1.1 C - MRR</t>
  </si>
  <si>
    <t>5.1.1 D - MRR</t>
  </si>
  <si>
    <t>5.1.1 A - VRR</t>
  </si>
  <si>
    <t>5.1.1 B - VRR</t>
  </si>
  <si>
    <t>5.1.1 C - VRR</t>
  </si>
  <si>
    <t>5.1.1 D - VRR</t>
  </si>
  <si>
    <t>P0184</t>
  </si>
  <si>
    <t>Počet mediálnych výstupov</t>
  </si>
  <si>
    <t>Počet mediálnych kampaní</t>
  </si>
  <si>
    <t>P0877</t>
  </si>
  <si>
    <t>5.1.2 A - MRR</t>
  </si>
  <si>
    <t>5.1.2 B - MRR</t>
  </si>
  <si>
    <t>5.1.2 A - VRR</t>
  </si>
  <si>
    <t>5.1.2 B - VRR</t>
  </si>
  <si>
    <t>Financovanie hrubých miezd, odmien a odvodov zamestnávateľa za oprávnených zamestnancov SIEA a financovanie odmien za práce vykonávané na základe dohody o prácach vykonávaných mimo pracovného pomeru</t>
  </si>
  <si>
    <t>310051A423</t>
  </si>
  <si>
    <t>Projekt riadne ukončený</t>
  </si>
  <si>
    <t>OPKZP-PO4-SC431-2015-6</t>
  </si>
  <si>
    <t>Obec Beluša</t>
  </si>
  <si>
    <t>Obnova Materskej školy - Beluša</t>
  </si>
  <si>
    <t>Trenčiansky kraj</t>
  </si>
  <si>
    <t>Úrad priemyselného vlastníctva SR</t>
  </si>
  <si>
    <t>Zníženie energetickej náročnosti budovy Úradu priemyselného vlastníctva SR</t>
  </si>
  <si>
    <t>Banskobystrický kraj</t>
  </si>
  <si>
    <t>Mesto Liptovský Mikuláš</t>
  </si>
  <si>
    <t>Zníženie energetickej náročnosti budovy mestského úradu Liptovský Mikuláš</t>
  </si>
  <si>
    <t>Žilinský kraj</t>
  </si>
  <si>
    <t>Projekt riadne ukončený (K)</t>
  </si>
  <si>
    <t>Obec Kamenná Poruba</t>
  </si>
  <si>
    <t>Zníženie energetickej náročnosti budovy OU - Kamenná Poruba, ul. Hlavná, sup. č. 136/159</t>
  </si>
  <si>
    <t>Obec Hranovnica</t>
  </si>
  <si>
    <t>Zníženie energetickej náročnosti budovy obecného úradu v obci Hranovnica</t>
  </si>
  <si>
    <t>Prešovský kraj</t>
  </si>
  <si>
    <t>Žilinská univerzita v Žiline</t>
  </si>
  <si>
    <t>Zníženie energetickej náročnosti budovy NS Žilinskej univerzity</t>
  </si>
  <si>
    <t>Zníženie energetickej náročnosti budovy Univerzitnej knižnice Žilinskej univerzity</t>
  </si>
  <si>
    <t>Mesto Gabčíkovo</t>
  </si>
  <si>
    <t>Obnova budovy Obecného úradu – zníženie energetickej náročnosti objektu</t>
  </si>
  <si>
    <t>Trnavský kraj</t>
  </si>
  <si>
    <t>Mesto Kysucké Nové Mesto</t>
  </si>
  <si>
    <t>Obnova komplexu Materskej školy 9. mája 1292 v Kysuckom Novom Meste</t>
  </si>
  <si>
    <t>Obec Pribylina</t>
  </si>
  <si>
    <t>Znižovanie energetickej náročnosti pri prevádzke MŠ J. Lajčiaka</t>
  </si>
  <si>
    <t>Obec Kotešová</t>
  </si>
  <si>
    <t>Zníženie energetickej náročnosti budovy obecného úradu v Kotešovej</t>
  </si>
  <si>
    <t>Obec Drienovská Nová Ves</t>
  </si>
  <si>
    <t>Rekonštrukcia verejnej budovy v obci Drienovská Nová Ves za účelom zníženia energetickej náročnosti</t>
  </si>
  <si>
    <t>Obec Tôň</t>
  </si>
  <si>
    <t>Rekonštrukcia obecného úradu v obci Tôň</t>
  </si>
  <si>
    <t>Nitriansky kraj</t>
  </si>
  <si>
    <t>Baška</t>
  </si>
  <si>
    <t>Zníženie spotreby energie pri prevádzke budovy Obecného úradu v Baške</t>
  </si>
  <si>
    <t>Košický kraj</t>
  </si>
  <si>
    <t>Obec Kozárovce</t>
  </si>
  <si>
    <t>Zateplenie, výmena okien a vykurovanie v objekte obecného úradu v Kozárovciach</t>
  </si>
  <si>
    <t>Obec Lesenice</t>
  </si>
  <si>
    <t>Rekonštrukcia a zateplenie budovy škôlky</t>
  </si>
  <si>
    <t>obec Raková</t>
  </si>
  <si>
    <t>Zníženie energetickej náročnosti verejných budov v obci Raková - Materská škola Korcháň č. 1070.</t>
  </si>
  <si>
    <t>obec Buková</t>
  </si>
  <si>
    <t>Obnova budovy obecného úradu Buková</t>
  </si>
  <si>
    <t>Mesto Svidník</t>
  </si>
  <si>
    <t>Svidník - MŠ na Ul. generála Svobodu – zateplenie</t>
  </si>
  <si>
    <t>Mesto Košice</t>
  </si>
  <si>
    <t>Zníženie energetickej náročnosti administratívnej budovy Správa mestskej zelene, Rastislavova 79,  Košice</t>
  </si>
  <si>
    <t>Mesto Čadca</t>
  </si>
  <si>
    <t>Zníženie energetickej náročnosti budovy Mestského domu v Čadci</t>
  </si>
  <si>
    <t>Obec Rakúsy</t>
  </si>
  <si>
    <t>Zateplenie obecnej budovy v športovom areáli</t>
  </si>
  <si>
    <t>Mesto Trenčianske Teplice</t>
  </si>
  <si>
    <t>Obnova Mestského úradu</t>
  </si>
  <si>
    <t>obec Krakovany</t>
  </si>
  <si>
    <t>Zníženie energetickej náročnosti materskej školy v Krakovanoch</t>
  </si>
  <si>
    <t>Mesto Vráble</t>
  </si>
  <si>
    <t>Zníženie spotreby energie pri prevádzke budovy MsÚ vo Vrábľoch</t>
  </si>
  <si>
    <t>Obec Bardoňovo</t>
  </si>
  <si>
    <t>Zníženie spotreby energie pri prevádzke MŠ v obci Bardoňovo</t>
  </si>
  <si>
    <t>Mesto Vranov nad Topľou</t>
  </si>
  <si>
    <t>Rekonštrukcia Materskej školy Sídlisko 1. Mája Vranov nad Topľou</t>
  </si>
  <si>
    <t>Spojená škola, SNP 16, Sabinov s organizačnými zložkami Stredná odborná škola, SNP 16, Sabinov a Obchodná akadémia, SNP 16, Sabinov</t>
  </si>
  <si>
    <t>Obnova budovy školských dielní SOŠ spojenej s OA, SNP 16, Sabinov – zníženie energetickej náročnosti</t>
  </si>
  <si>
    <t>Obec Kameničná</t>
  </si>
  <si>
    <t>Zníženie energetickej náročnosti objektu škôlky v Kameničnej</t>
  </si>
  <si>
    <t>Obec Lednické Rovne</t>
  </si>
  <si>
    <t>Zníženie energetickej náročnosti budovy Materskej školy Lednické Rovne</t>
  </si>
  <si>
    <t>Obec Oravské Veselé</t>
  </si>
  <si>
    <t>Zníženie energetickej náročnosti viacúčelovej budovy v obci Oravské Veselé</t>
  </si>
  <si>
    <t>Brvnište</t>
  </si>
  <si>
    <t>Zníženie energetickej náročnosti verejných budov- Materská škola v obci Brvnište</t>
  </si>
  <si>
    <t>Obec Ladce</t>
  </si>
  <si>
    <t>Modernizácia a energetická optimalizácia kultúrneho domu Ladce</t>
  </si>
  <si>
    <t>Obec Marcelová</t>
  </si>
  <si>
    <t>Zníženie energetickej náročnosti budovy obecného úradu v Marcelovej</t>
  </si>
  <si>
    <t>Mesto Považská Bystrica</t>
  </si>
  <si>
    <t>Zníženie energetickej náročnosti budovy  MsÚ Považská Bystrica</t>
  </si>
  <si>
    <t>Mesto Skalica</t>
  </si>
  <si>
    <t>Zvýšenie energetickej účinnosti budovy Mestského úradu v Skalici</t>
  </si>
  <si>
    <t>Školský internát</t>
  </si>
  <si>
    <t>Školský internát Poprad – zníženie energetickej náročnosti (riešenie havarijného stavu)</t>
  </si>
  <si>
    <t>Gymnázium</t>
  </si>
  <si>
    <t>Vranov nad Topľou, Gymnázium, ul. Dr. Cyrila Daxnera 88 – zníženie energetickej náročnosti</t>
  </si>
  <si>
    <t>Mesto Veľký Krtíš</t>
  </si>
  <si>
    <t>Obnova budovy Mestského úradu Veľký Krtíš</t>
  </si>
  <si>
    <t>Materská škola, Matice slovenskej 740/7, Stropkov</t>
  </si>
  <si>
    <t>Stropkov – Materská škola, Matice slovenskej 740/7</t>
  </si>
  <si>
    <t>Mesto Nemšová</t>
  </si>
  <si>
    <t>ZNÍŽENIE ENERGETICKEJ NÁROČNOSTI OBJEKTU MŠ NA TRENČIANSKEJ ULICI, NEMŠOVÁ</t>
  </si>
  <si>
    <t>Hvezdáreň a planetárium v Prešove</t>
  </si>
  <si>
    <t>Obnova budovy a zníženie jej energetickej náročnosti - Hvezdáreň a planetárium Prešov</t>
  </si>
  <si>
    <t>Stredná priemyselná škola</t>
  </si>
  <si>
    <t>Obnova Školského internátu s jedálňou, SPŠ Komenského 5, Bardejov - zníženie energetickej náročnosti</t>
  </si>
  <si>
    <t>Zníženie energetickej náročnosti budovy obecného úradu v obci Víťaz</t>
  </si>
  <si>
    <t>Obec Cífer</t>
  </si>
  <si>
    <t>Zateplenie a obnova Kultúrneho domu s obecným úradom a rekonštrukcia UK v obci Cífer</t>
  </si>
  <si>
    <t>Obec Lúč na Ostrove</t>
  </si>
  <si>
    <t>Zníženie energetickej náročnosti materskej školy</t>
  </si>
  <si>
    <t>Mesto Žilina</t>
  </si>
  <si>
    <t>Zníženie energetickej náročnosti budovy MsÚ v Žiline</t>
  </si>
  <si>
    <t>Mesto Krásno nad Kysucou</t>
  </si>
  <si>
    <t>Zníženie energetickej náročnosti budovy Materskej školy v Krásne nad Kysucou</t>
  </si>
  <si>
    <t>Obec Vrbová nad Váhom</t>
  </si>
  <si>
    <t>Zateplenie materskej školy - Vrbová nad Váhom</t>
  </si>
  <si>
    <t>Obec Dubovica</t>
  </si>
  <si>
    <t>Obnova materskej školy, Dubovica  zvýšenie energetickej účinnosti budov</t>
  </si>
  <si>
    <t>Mesto Nové Zámky</t>
  </si>
  <si>
    <t>Zateplenie objektu MSÚ Nové Zámky</t>
  </si>
  <si>
    <t>Obec Medzibrodie nad Oravou</t>
  </si>
  <si>
    <t>Zníženie energetickej náročnosti verejných budov- budovy materskej školy a obecného úradu</t>
  </si>
  <si>
    <t>Obec Selice</t>
  </si>
  <si>
    <t>Zníženie energetickej náročnosti verejných budov - Obecný úrad Selice</t>
  </si>
  <si>
    <t>Obec Lakšárska Nová Ves</t>
  </si>
  <si>
    <t>Zlepšenie energetickej hospodárnosti budovy materskej školy v Lakšárskej Novej Vsi</t>
  </si>
  <si>
    <t>Obec Nová Dedina</t>
  </si>
  <si>
    <t>Obecný úrad Nová Dedina - stavebné úpravy</t>
  </si>
  <si>
    <t>Obec Hermanovce nad Topľou</t>
  </si>
  <si>
    <t>ZNÍŽENIE  ENERGETCKEJ  NÁROČNOSTI  OBECNEJ  BUDOVY  s.č. 195</t>
  </si>
  <si>
    <t>Mesto Bardejov</t>
  </si>
  <si>
    <t>Zníženie energetických nákladov na prevádzku mestského podniku BAPOS v Bardejove</t>
  </si>
  <si>
    <t>Obec Plaveč</t>
  </si>
  <si>
    <t>Zateplenie obecného úradu v obci Plaveč</t>
  </si>
  <si>
    <t>Obec Bystré</t>
  </si>
  <si>
    <t>Zníženie energetickej náročnosti verejnej budovy - Budova obecného úradu obce Bystré</t>
  </si>
  <si>
    <t>Obec Jasenov</t>
  </si>
  <si>
    <t>Zníženie energetickej náročnosti objektu Materskej školy v obci Jasenov</t>
  </si>
  <si>
    <t>Zníženie energetickej náročnosti budovy mestského úradu v Krásne nad Kysucou</t>
  </si>
  <si>
    <t>Podpora energetickej efektívnosti, inteligentného riadenia energie a využívania energie z obnoviteľných zdrojov vo verejných infraštruktúrach, vrátane verejných budov</t>
  </si>
  <si>
    <t>Obec Dunajský Klátov</t>
  </si>
  <si>
    <t>Zlepšenie energetickej hospodárnosti- rekonštrukcia obecného úradu - Dunajský Klátov</t>
  </si>
  <si>
    <t>Zníženie energetickej náročnosti verejných budov –  Trenčianska cesta 46, Bánovce nad Bebravou</t>
  </si>
  <si>
    <t>Zníženie energetickej náročnosti verejných budov – Úzka 3, Želiezovce</t>
  </si>
  <si>
    <t>Zníženie energetickej náročnosti verejných budov – Pažitie 7, Myjava</t>
  </si>
  <si>
    <t>Zníženie energetickej náročnosti verejných budov –  Pelhřimovská č. 2054, Dolný Kubín</t>
  </si>
  <si>
    <t>Zníženie energetickej náročnosti verejných budov –  Slovenská 11, Markušovce</t>
  </si>
  <si>
    <t>Zníženie energetickej náročnosti verejných budov –  Rastislavova 344, Lužianky</t>
  </si>
  <si>
    <t>Zníženie energetickej náročnosti verejných budov – Banská 1401, Turčianske Teplice</t>
  </si>
  <si>
    <t>Zníženie energetickej náročnosti verejných budov – Slovenská 39, Gelnica</t>
  </si>
  <si>
    <t>Zníženie energetickej náročnosti verejných budov – Petöfiho 2, Šahy</t>
  </si>
  <si>
    <t>Zníženie energetickej náročnosti verejných budov – Liptovská Osada 550</t>
  </si>
  <si>
    <t>Zníženie energetickej náročnosti verejných budov – Hlavná 358, Jasov</t>
  </si>
  <si>
    <t>Zníženie energetickej náročnosti verejných budov –  SNP 32, Šaľa</t>
  </si>
  <si>
    <t>Zníženie energetickej náročnosti verejných budov – Námestie slobody 14, Krompachy</t>
  </si>
  <si>
    <t>Zníženie energetickej náročnosti verejných budov – Hlavná 2282, Kráľovský Chlmec</t>
  </si>
  <si>
    <t>Zníženie energetickej náročnosti verejných budov – Belanská štvrť 20, Liptovský Hrádok</t>
  </si>
  <si>
    <t>Zníženie energetickej náročnosti verejných budov – Užhorodská 5, Michalovce</t>
  </si>
  <si>
    <t>Zníženie energetickej náročnosti verejných budov –  Rožňavská 30, Moldava nad Bodvou</t>
  </si>
  <si>
    <t>Zníženie energetickej náročnosti verejných budov – Štefánika č.89, Turzovka</t>
  </si>
  <si>
    <t>Zníženie energetickej náročnosti verejných budov – Brezová 842, Pavlovce nad Uhom</t>
  </si>
  <si>
    <t>Zníženie energetickej náročnosti verejných budov – Družstevná 27, Dvory nad Žitavou</t>
  </si>
  <si>
    <t>Zníženie energetickej náročnosti verejných budov – Tichá 419, Trhovište</t>
  </si>
  <si>
    <t>Zníženie energetickej náročnosti verejných budov –  Hlubockého 13, Stará Turá</t>
  </si>
  <si>
    <t>Zníženie energetickej náročnosti verejných budov – Okružná 441, Strážske</t>
  </si>
  <si>
    <t>Zníženie energetickej náročnosti verejných budov – Vrbická 1993, Liptovský Mikuláš</t>
  </si>
  <si>
    <t>Ústav na výkon trestu odňatia slobody</t>
  </si>
  <si>
    <t>Komplexná obnova objektu č. 48 - Sociálno-prevádzková budova</t>
  </si>
  <si>
    <t>Komplexná obnova administratívnej budovy s ubytovňou Santovka</t>
  </si>
  <si>
    <t>Mesto Hnúšťa</t>
  </si>
  <si>
    <t>Zvyšovanie energetickej účinnosti existujúcej verejnej budovy, Materská škola, Klokočova, Hnúšťa</t>
  </si>
  <si>
    <t>Zníženie energetickej náročnosti verejných budov –  Konkolyho 5, Hurbanovo</t>
  </si>
  <si>
    <t>Zníženie energetickej náročnosti verejných budov – Nitrianska 13, Šurany</t>
  </si>
  <si>
    <t>Zníženie energetickej náročnosti verejných budov – Športová 2, Stropkov</t>
  </si>
  <si>
    <t>Zníženie energetickej náročnosti verejných budov – Pri kaštieli 41, Holíč</t>
  </si>
  <si>
    <t>Zníženie energetickej náročnosti verejných budov – Podjavorinskej 2576, Čadca</t>
  </si>
  <si>
    <t>Obec Mužla</t>
  </si>
  <si>
    <t>Zateplenie Obecného úradu a výmena vykurovacieho systému Mužla</t>
  </si>
  <si>
    <t>Mesto Brezová pod Bradlom</t>
  </si>
  <si>
    <t>Zníženie spotreby energie pri prevádzke verejnej budovy v meste Brezová pod Bradlom – budova Centra voľného času – Pavilón 1 a Pavilón 2</t>
  </si>
  <si>
    <t>Mesto Medzilaborce</t>
  </si>
  <si>
    <t>Zateplenie Kultúrneho domu</t>
  </si>
  <si>
    <t>Mesto Dolný Kubín</t>
  </si>
  <si>
    <t>Zníženie energetickej náročnosti budovy Mestského úradu Dolný Kubín</t>
  </si>
  <si>
    <t>Zníženie energetických nákladov na prevádzku Mestského úradu v Bardejove - dvorný trakt</t>
  </si>
  <si>
    <t>Obec Petrovany</t>
  </si>
  <si>
    <t>Zníženie energetickej náročnosti budovy obecného úradu v obci Petrovany</t>
  </si>
  <si>
    <t>Prešovská univerzita v Prešove</t>
  </si>
  <si>
    <t>Zníženie energetickej náročnosti Študentského domova Prešovskej univerzity v Prešove</t>
  </si>
  <si>
    <t>Obec Bošany</t>
  </si>
  <si>
    <t>Materská škola - zvýšenie energetickej účinnosti verejnej budovy</t>
  </si>
  <si>
    <t>Obec Číž</t>
  </si>
  <si>
    <t>Obnova obalových konštrukcií obecného úradu v obci Číž - zníženie energetickej náročnosti</t>
  </si>
  <si>
    <t>Obec Varhaňovce</t>
  </si>
  <si>
    <t>Zníženie energetickej náročnosti budovy obecného úradu v obci Varhaňovce</t>
  </si>
  <si>
    <t>obec Trenčianska Turná</t>
  </si>
  <si>
    <t>Obecný úrad a kultúrny dom v obci Trenčianska Turná - zvýšenie energetickej účinnosti objektu</t>
  </si>
  <si>
    <t>Obec Podhoroď</t>
  </si>
  <si>
    <t>Zmena palivovej základne a zlepšenie tepelno-technických vlastností OcÚ Podhoroď</t>
  </si>
  <si>
    <t>Mesto Hriňová</t>
  </si>
  <si>
    <t>Zlepšenie energetickej efektívnosti budovy  MsÚ Hriňová</t>
  </si>
  <si>
    <t>Zníženie energetickej náročnosti budovy NG Žilinskej univerzity v Žiline</t>
  </si>
  <si>
    <t>Zníženie energetickej náročnosti budovy NR Žilinskej univerzity v Žiline</t>
  </si>
  <si>
    <t>Zníženie energetickej náročnosti budovy Fakulty bezpečnostného inžinierstva, blok B  Žilinskej univerzity v Žiline</t>
  </si>
  <si>
    <t>Technická univerzita vo Zvolene</t>
  </si>
  <si>
    <t>Zníženie energetickej náročnosti budovy  TU vo Zvolene - objekt Bariny</t>
  </si>
  <si>
    <t>Mesto Gbely</t>
  </si>
  <si>
    <t>Mestský úrad Gbely – zníženie spotreby energie v objekte</t>
  </si>
  <si>
    <t>Obec Imeľ</t>
  </si>
  <si>
    <t>Zníženie energetickej náročnosti budovy Materskej školy</t>
  </si>
  <si>
    <t>Stredná odborná škola služieb, Ul. sv. Michala 36, Levice</t>
  </si>
  <si>
    <t>Zníženie energetickej náročnosti dielní SOŠ Levice</t>
  </si>
  <si>
    <t>Mesto Spišská Stará Ves</t>
  </si>
  <si>
    <t>Opatrenia na zníženie energetickej náročnosti mestského úradu Spišská Stará Ves</t>
  </si>
  <si>
    <t>Obec Dvory nad Žitavou</t>
  </si>
  <si>
    <t>Zvýšenie energetickej hospodárnosti budovy Obecného úradu v obci Dvory nad Žitavou</t>
  </si>
  <si>
    <t>Komplexná obnova administratívnej budovy Banská Bystrica–Kráľová</t>
  </si>
  <si>
    <t>Obec Vlachy</t>
  </si>
  <si>
    <t>Zníženie energetickej náročnosti objektu materskej školy</t>
  </si>
  <si>
    <t>Mesto Veľké Kapušany</t>
  </si>
  <si>
    <t>Rekonštrukcia  MŠ L.N. Tolstého , Veľké  Kapušany</t>
  </si>
  <si>
    <t>Rekonštrukcia MŠ P.O. Hviezdoslavova , Veľké Kapušany</t>
  </si>
  <si>
    <t>Obec Muráň</t>
  </si>
  <si>
    <t>Oprava Kultúrneho domu v obci Muráň</t>
  </si>
  <si>
    <t>Obec Staškov</t>
  </si>
  <si>
    <t>Zníženie energetickej náročnosti administratívnej budovy s.č. 90 v obci Staškov</t>
  </si>
  <si>
    <t>Obec Demandice</t>
  </si>
  <si>
    <t>Zníženie energetickej náročnosti budovy MŠ v obci Demandice</t>
  </si>
  <si>
    <t>Obec Kaluža</t>
  </si>
  <si>
    <t>Zvyšovanie energetickej účinnosti existujúcej budovy kultúrneho domu v Kaluži vrátane zatepľovania</t>
  </si>
  <si>
    <t>Obec Važec</t>
  </si>
  <si>
    <t>Zvýšenie energetickej efektívnosti budovy obecného úradu Važec</t>
  </si>
  <si>
    <t>Prešovský samosprávny kraj</t>
  </si>
  <si>
    <t>Obnova administratívnej budovy areálu SÚCPSK 789, Bardejov</t>
  </si>
  <si>
    <t>Medzilaborce – Areál SÚC PSK, Ševčenkova č. 939/16</t>
  </si>
  <si>
    <t>STAKČÍN – Areál SÚC PSK, ul. SNP č. 640/81 – zníženie energetickej náročnosti</t>
  </si>
  <si>
    <t>Mesto Banská Bystrica</t>
  </si>
  <si>
    <t>Zvyšovanie energetickej efektívnosti MŠ Tatranská 63, Banská Bystrica</t>
  </si>
  <si>
    <t>Obec Dulovce</t>
  </si>
  <si>
    <t>Zlepšenie energetickej hospodárnosti Obecného úradu Dulovce - obec Dulovce</t>
  </si>
  <si>
    <t>Obec Žemberovce</t>
  </si>
  <si>
    <t>Zlepšenie energetickej hospodárnosti objektu obecného úradu v Žemberovciach</t>
  </si>
  <si>
    <t>Trenčiansky samosprávny kraj</t>
  </si>
  <si>
    <t>Zníženie energetickej náročnosti školy Obchodná akadémia Prievidza</t>
  </si>
  <si>
    <t>Komplexné zníženie energetickej náročnosti budovy OcÚ v Pohronskej Polhore</t>
  </si>
  <si>
    <t>Obec Kružlová</t>
  </si>
  <si>
    <t>Znižovanie energetickej náročnosti OcÚ Kružlová</t>
  </si>
  <si>
    <t>Obec Tomášovce</t>
  </si>
  <si>
    <t>Zvýšenie energetickej hospodárnosti budovy Obecného úradu Tomášovce – zmena stavby pred jej dokončením</t>
  </si>
  <si>
    <t>Komplexné riešenie školského areálu Trenčín-Zámostie - 1. etapa</t>
  </si>
  <si>
    <t>Žilinský samosprávny kraj</t>
  </si>
  <si>
    <t>Spojená škola, Rosinská, Žilina - stavebné úpravy, zvýšenie EHB</t>
  </si>
  <si>
    <t>Obec Žaškov</t>
  </si>
  <si>
    <t>Zvýšenie energetickej efektívnosti kultúrneho domu</t>
  </si>
  <si>
    <t>Obec Nižný Hrušov</t>
  </si>
  <si>
    <t>Zníženie primárnej energetickej náročnosti v objektoch OcÚ N. Hrušov</t>
  </si>
  <si>
    <t>Obec Turčianske Jaseno</t>
  </si>
  <si>
    <t>Materská škola Turčianske Jaseno, zníženie energetickej náročnosti stavby</t>
  </si>
  <si>
    <t>Spojená škola, Hattalova 471, Nižná - stavebné úpravy, zvýšenie EHB</t>
  </si>
  <si>
    <t>Obec Hendrichovce</t>
  </si>
  <si>
    <t>Zníženie energetickej náročnosti kaštieľa v obci Hendrichovce</t>
  </si>
  <si>
    <t>Obec Šuňava</t>
  </si>
  <si>
    <t>Zvýšenie energetickej účinnosti objektu AB obce Šuňava</t>
  </si>
  <si>
    <t>Obec Skalité</t>
  </si>
  <si>
    <t>Zníženie energetickej náročnosti budovy Materská škola č.s. 632</t>
  </si>
  <si>
    <t>Mesto Levice</t>
  </si>
  <si>
    <t>Rekonštrukcia a modernizácia materskej školy na ulici P. O. Hviezdoslava 20 v Leviciach</t>
  </si>
  <si>
    <t>Obec Tekovské Lužany</t>
  </si>
  <si>
    <t>Zlepšenie tepelnotechnických vlastností a modernizácia materskej školy v Tekovských Lužanoch</t>
  </si>
  <si>
    <t>Obec Pribeta</t>
  </si>
  <si>
    <t>Zníženie energetickej náročnosti budovy OcÚ Pribeta</t>
  </si>
  <si>
    <t>Mesto Levoča</t>
  </si>
  <si>
    <t>Materská škola, Ul. Železničný riadok 3, Levoča, Elokované pracovisko, Ul. Gašpara Haina 36, Levoča – znižovanie energetickej náročnosti verejných budov</t>
  </si>
  <si>
    <t>Mesto Prešov</t>
  </si>
  <si>
    <t>MŠ Bernolákova 19, Prešov – zníženie energetickej náročnosti objektu</t>
  </si>
  <si>
    <t>MŠ Volgogradská 48, Prešov – zníženie energetickej náročnosti objektu</t>
  </si>
  <si>
    <t>Obec Poruba</t>
  </si>
  <si>
    <t>Obnova Obecného úradu Poruba</t>
  </si>
  <si>
    <t>Obec Liešťany</t>
  </si>
  <si>
    <t>Zvýšenie energetickej účinnosti objektu materskej školy v Liešťanoch</t>
  </si>
  <si>
    <t>Obec Gemerská Hôrka</t>
  </si>
  <si>
    <t>Obnova obalových konštrukcií Kultúrneho domu v obci Gemerská Hôrka - zníženie energetickej náročnosti</t>
  </si>
  <si>
    <t>Obec Banské</t>
  </si>
  <si>
    <t>ZNÍŽENIE ENERGETICKEJ NÁROČNOSTI BUDOVY MŠ V BANSKOM</t>
  </si>
  <si>
    <t>Mesto Partizánske</t>
  </si>
  <si>
    <t>Zlepšenie energetickej hospodárnosti MŠ Malinovského</t>
  </si>
  <si>
    <t>Mesto Trenčín</t>
  </si>
  <si>
    <t>Obnova Materskej školy, Šafárikova11, Trenčín</t>
  </si>
  <si>
    <t>Obec Nové Sady</t>
  </si>
  <si>
    <t>Obecný úrad Nové Sady - zníženie energetickej náročnosti</t>
  </si>
  <si>
    <t>Obec Vinodol</t>
  </si>
  <si>
    <t>Obnova budovy Materskej školy v obci Vinodol</t>
  </si>
  <si>
    <t>Obec Hájske</t>
  </si>
  <si>
    <t>MŠ a OcÚ Hájske, zníženie energetickej náročnosti</t>
  </si>
  <si>
    <t>Obec Diviacka Nová Ves</t>
  </si>
  <si>
    <t>Zníženie energetickej náročnosti objektu Obecného úradu a kultúrneho domu v obci Diviacka Nová Ves</t>
  </si>
  <si>
    <t>Obec Ráztočno</t>
  </si>
  <si>
    <t>Zníženie energetickej náročnosti verejnej budovy obce Ráztočno</t>
  </si>
  <si>
    <t>Obec Pružina</t>
  </si>
  <si>
    <t>Zníženie energetickej náročnosti budovy Obecného úradu v Pružine</t>
  </si>
  <si>
    <t>Obec Ohrady</t>
  </si>
  <si>
    <t>Rekonštrukcia objektu – materskej školy Ohrady</t>
  </si>
  <si>
    <t>Obec Borský Mikuláš</t>
  </si>
  <si>
    <t>Zníženie energetickej náročnosti budovy obecného úradu Borský Mikuláš</t>
  </si>
  <si>
    <t>Mesto Zvolen</t>
  </si>
  <si>
    <t>Zníženie energetickej náročnosti budov: Materská škola Hrnčiarska a Materská škola Fullu vo Zvolene</t>
  </si>
  <si>
    <t>Mesto Kolárovo</t>
  </si>
  <si>
    <t>Rekonštrukcia budovy Mestského úradu Kolárovo</t>
  </si>
  <si>
    <t>Obec Breza</t>
  </si>
  <si>
    <t>Komplexné zníženie spotreby energie pri prevádzke materskej školy v Breze</t>
  </si>
  <si>
    <t>Mesto Bytča</t>
  </si>
  <si>
    <t>Zníženie energetickej náročnosti MŠ Hurbanova 247/5, Bytča</t>
  </si>
  <si>
    <t>Mesto Moldava nad Bodvou</t>
  </si>
  <si>
    <t>Zníženie energetickej náročnosti MŠ IV - Moldava nad Bodvou</t>
  </si>
  <si>
    <t>Obec Rybník</t>
  </si>
  <si>
    <t>Zníženie energetickej náročnosti objektu obecného úradu a kultúrneho domu v obci Rybník</t>
  </si>
  <si>
    <t>ZNÍŽENIE ENERGETICKEJ NÁROČNOSTI OBJEKTU KULTÚRNEHO DOMU V NEMŠOVEJ</t>
  </si>
  <si>
    <t>Gymnázium Ľudovíta Jaroslava Šuleka Komárno</t>
  </si>
  <si>
    <t>Modernizácia budovy – výmena okien, dverí, rekonštrukcia a zateplenie fasády budovy so zameraním na zníženie energetickej náročnosti</t>
  </si>
  <si>
    <t>Mesto Snina</t>
  </si>
  <si>
    <t>Zníženie energetickej náročnosti MŠ Kukučínova - Snina</t>
  </si>
  <si>
    <t>Obec Nesvady</t>
  </si>
  <si>
    <t>Materská škola Nesvady súp. č.995 - sanácia, oprava a technická modernizácia budovy materskej školy</t>
  </si>
  <si>
    <t>Obec Búč</t>
  </si>
  <si>
    <t>Rekonštrukcia obecného úradu v obci Búč</t>
  </si>
  <si>
    <t>Obec Kolbovce</t>
  </si>
  <si>
    <t>Znižovanie energetickej náročnosti OcÚ Kolbovce</t>
  </si>
  <si>
    <t>Obec Zemianska Olča</t>
  </si>
  <si>
    <t>ZNÍŽENIE ENERGETICKEJ NÁROČNOSTI BUDOVY MATERSKEJ ŠKOLY</t>
  </si>
  <si>
    <t>Mesto Želiezovce</t>
  </si>
  <si>
    <t>Zníženie spotreby energie pri prevádzke Mestského úradu</t>
  </si>
  <si>
    <t>Obec Vinohrady nad Váhom</t>
  </si>
  <si>
    <t>Zníženie energetickej náročnosti budovy Materskej školy Vinohrady nad Váhom</t>
  </si>
  <si>
    <t>Obec Klin</t>
  </si>
  <si>
    <t>Zvýšenie energetickej efektívnosti materskej školy v obci Klin</t>
  </si>
  <si>
    <t>Obec Nová Lesná</t>
  </si>
  <si>
    <t>Zateplenie budovy obecného úradu Nová Lesná</t>
  </si>
  <si>
    <t>Mesto Modrý Kameň</t>
  </si>
  <si>
    <t>Zníženie energetickej náročnosti budovy kultúrneho domu v Modrom Kameni</t>
  </si>
  <si>
    <t>Obec Vyšná Olšava</t>
  </si>
  <si>
    <t>Znižovanie energetickej náročnosti OcÚ Vyšná Olšava</t>
  </si>
  <si>
    <t>Mesto Turany</t>
  </si>
  <si>
    <t>Obnova a zníženie energetickej náročnosti Mestského úradu v Turanoch</t>
  </si>
  <si>
    <t>Obec Bobrov</t>
  </si>
  <si>
    <t>Komplexné zníženie spotreby energie pri prevádzke Obecného úradu v Bobrove</t>
  </si>
  <si>
    <t>Obec Trakovice</t>
  </si>
  <si>
    <t>Rekonštrukcia MŠ Trakovice</t>
  </si>
  <si>
    <t>Obec Pliešovce</t>
  </si>
  <si>
    <t>Zníženie energetickej náročnosti budovy Obecného úradu Pliešovce</t>
  </si>
  <si>
    <t>Mesto SABINOV</t>
  </si>
  <si>
    <t>Rekonštrukcia Mestského kultúrneho strediska v Sabinove</t>
  </si>
  <si>
    <t>Mesto Svit</t>
  </si>
  <si>
    <t>Zateplenie budovy MsÚ vo Svite - Zníženie energetickej náročnosti</t>
  </si>
  <si>
    <t>Obec Lesíček</t>
  </si>
  <si>
    <t>Zníženie energetickej náročnosti budovy obecného úradu Lesíček</t>
  </si>
  <si>
    <t>Mesto Šahy</t>
  </si>
  <si>
    <t>Zníženie energetickej náročnosti budovy MŠ - Óvoda, Nám. M. R. Štefánika 14, Šahy</t>
  </si>
  <si>
    <t>Obec Pohranice</t>
  </si>
  <si>
    <t>Zníženie energetickej náročnosti škôlky v obci Pohranice</t>
  </si>
  <si>
    <t>Mesto Veľký Meder</t>
  </si>
  <si>
    <t>Rekonštrukcia mestského úradu - zlepšenie tepelnotechnických vlastností</t>
  </si>
  <si>
    <t>Obec Trenčianske Stankovce</t>
  </si>
  <si>
    <t>Materská škola Trenčianske Stankovce - Zvýšenie energetickej účinnosti budovy</t>
  </si>
  <si>
    <t>Obec Kvetoslavov</t>
  </si>
  <si>
    <t>MŠ Kvetoslavov – Modernizácia budovy materskej školy</t>
  </si>
  <si>
    <t>Obec Oščadnica</t>
  </si>
  <si>
    <t>Zvýšenie energetickej efektívnosti pre budovu Obecného úradu v Oščadnici</t>
  </si>
  <si>
    <t>Obec Ražňany</t>
  </si>
  <si>
    <t>Zníženie energetickej náročnosti hospodárskeho pavilónu MŠ v obci Ražňany</t>
  </si>
  <si>
    <t>Obec Tisinec</t>
  </si>
  <si>
    <t>Znižovanie energetickej náročnosti budovy OcÚ Tisinec</t>
  </si>
  <si>
    <t>Mesto Žarnovica</t>
  </si>
  <si>
    <t>Zníženie energetickej náročnosti budovy Materskej školy Žarnovica, ul. Jilemnického 660/2</t>
  </si>
  <si>
    <t>Obec Čáry</t>
  </si>
  <si>
    <t>Zníženie energetickej náročnosti verejnej budovy č. 284 - Čáry</t>
  </si>
  <si>
    <t>Obec Biely Kostol</t>
  </si>
  <si>
    <t>Stavebné úpravy a rekonštrukcia - Zníženie energetickej náročnosti administratívnej budovy Pionierské námestie č. 5474/17</t>
  </si>
  <si>
    <t>Obnova materskej školy Opatovská 654/39 Trenčín 911 01- Kubrá</t>
  </si>
  <si>
    <t>Mesto Sereď</t>
  </si>
  <si>
    <t>Zníženie energetickej náročnosti Materskej školy Komenského "A" v Seredi</t>
  </si>
  <si>
    <t>Obec Čavoj</t>
  </si>
  <si>
    <t>Zníženie energetickej náročnosti objektu  OÚ Čavoj</t>
  </si>
  <si>
    <t>Mesto Strážske</t>
  </si>
  <si>
    <t>Zvyšovanie energetickej účinnosti objektu Mestského úradu v Strážskom, stavebné úpravy a zateplenie objektu</t>
  </si>
  <si>
    <t>Mesto Sečovce</t>
  </si>
  <si>
    <t>Zníženie energetickej náročnosti budovy materskej školy Obchodná 26, Sečovce</t>
  </si>
  <si>
    <t>Obec Jelka</t>
  </si>
  <si>
    <t>Komplexné zníženie energetickej náročnosti objektu materskej školy v Jelke</t>
  </si>
  <si>
    <t>Obec Chotín</t>
  </si>
  <si>
    <t>Obnova obecného úradu Chotín</t>
  </si>
  <si>
    <t>Obec Hronský Beňadik</t>
  </si>
  <si>
    <t>Zníženie energetickej náročnosti objektu kultúrneho domu v obci Hronský Beňadik</t>
  </si>
  <si>
    <t>Obec Vyšný Žipov</t>
  </si>
  <si>
    <t>Rekonštrukcia Kultúrno-správnej budovy v obci Vyšný Žipov</t>
  </si>
  <si>
    <t>Obec Klasov</t>
  </si>
  <si>
    <t>Rekonštrukcia viacúčelovej administratívnej budovy za účelom zníženia energetickej náročnosti</t>
  </si>
  <si>
    <t>Obec Čebovce</t>
  </si>
  <si>
    <t>Rekonštrukcia budovy obecného úradu Čebovce</t>
  </si>
  <si>
    <t>Obec Nižný Slavkov</t>
  </si>
  <si>
    <t>Zmena spôsobu vykurovania budovy Nižný Slavkov</t>
  </si>
  <si>
    <t>Obec Vyšná Šebastová</t>
  </si>
  <si>
    <t>Materská škola Vyšná Šebastová - zníženie energetickej náročnosti objektu</t>
  </si>
  <si>
    <t>Mesto Šaľa</t>
  </si>
  <si>
    <t>Zníženie energetickej náročnosti budovy MsÚ Šaľa</t>
  </si>
  <si>
    <t>Zníženie energetickej náročnosti verejných budov – Obrancov mieru 12, Dolný Kubín</t>
  </si>
  <si>
    <t>Mesto Spišské Podhradie</t>
  </si>
  <si>
    <t>Rekonštrukcia budovy Mestského úradu na Mariánskom námestí 37 v Spišskom Podhradí</t>
  </si>
  <si>
    <t>Obec  Poloma</t>
  </si>
  <si>
    <t>Zmena spôsobu vykurovania budovy obecného úradu Poloma</t>
  </si>
  <si>
    <t>MESTO  BOJNICE</t>
  </si>
  <si>
    <t>Zníženie energetickej náročnosti objektu Mestský úrad v Bojniciach</t>
  </si>
  <si>
    <t>Obec Bátorove Kosihy</t>
  </si>
  <si>
    <t>Zníženie energetickej náročnosti verejných budov - Kultúrneho domu v Bátorových Kosihách</t>
  </si>
  <si>
    <t>Obec Čečejovce</t>
  </si>
  <si>
    <t>Zníženie energetickej náročnosti verejných budov v obci Čečejovce</t>
  </si>
  <si>
    <t>Obec Hliník nad Hronom</t>
  </si>
  <si>
    <t>Zvýšenie energetickej efektívnosti budovy obecného úradu Hliník nad Hronom</t>
  </si>
  <si>
    <t>Mesto Ružomberok</t>
  </si>
  <si>
    <t>Zníženie energetickej náročnosti budovy materskej školy na ulici Hrabovská cesta 2 v Ružomberku</t>
  </si>
  <si>
    <t>Obec Brusnica</t>
  </si>
  <si>
    <t>Znižovanie energetickej náročnosti OcÚ Brusnica</t>
  </si>
  <si>
    <t>Obec Kručov</t>
  </si>
  <si>
    <t>Znižovanie energetickej náročnosti OcÚ Kručov</t>
  </si>
  <si>
    <t>Obec Výčapy-Opatovce</t>
  </si>
  <si>
    <t>Zníženie energetickej náročnosti budovy obecného úradu Výčapy - Opatovce</t>
  </si>
  <si>
    <t>Obec Vyšný Hrušov</t>
  </si>
  <si>
    <t>Znižovanie energetickej náročnosti OcÚ Vyšný Hrušov</t>
  </si>
  <si>
    <t>Mesto Sobrance</t>
  </si>
  <si>
    <t>Sobrance – Materská škola - Zníženie energetickej náročnosti objektov</t>
  </si>
  <si>
    <t>Obec Koprivnica</t>
  </si>
  <si>
    <t>ZNÍŽENIE ENERGETICKEJ NÁROČNOSTI BUDOVY MŠ V KOPRIVNICI</t>
  </si>
  <si>
    <t>Obec Dúbrava</t>
  </si>
  <si>
    <t>Teplotechnické úpravy objektového súboru p.č. 113/2, 112 – Dúbrava 54</t>
  </si>
  <si>
    <t>Obec Veľký Blh</t>
  </si>
  <si>
    <t>Obnova obalových konštrukcií materskej školy v obci Veľký Blh – zníženie energetickej náročnosti</t>
  </si>
  <si>
    <t>Obec Gerlachov</t>
  </si>
  <si>
    <t>Zníženie energetickej náročnosti kultúrno-správnej budovy v Gerlachove</t>
  </si>
  <si>
    <t>Rozhlas a televízia Slovenska</t>
  </si>
  <si>
    <t>RTVS Košice – obnova administratívnej budovy za účelom zlepšenia jej energetickej efektívnosti</t>
  </si>
  <si>
    <t>Obec Letanovce</t>
  </si>
  <si>
    <t>Rekonštrukcia objektu Obecného úradu Letanovce</t>
  </si>
  <si>
    <t>Obec Vlachovo</t>
  </si>
  <si>
    <t>Zníženie energetickej náročnosti budovy obecného úradu vo Vlachove</t>
  </si>
  <si>
    <t>Obec Malý Lipník</t>
  </si>
  <si>
    <t>Zabezpečenie energetickej hospodárnosti budovy obecného úradu v obci Malý Lipník</t>
  </si>
  <si>
    <t>Obec Jarabina</t>
  </si>
  <si>
    <t>Opatrenia na zníženie spotreby energie pri prevádzke Materskej školy Jarabina</t>
  </si>
  <si>
    <t>Obec Oslany</t>
  </si>
  <si>
    <t>Zníženie energetickej náročnosti objektu verejnej budovy obce Oslany</t>
  </si>
  <si>
    <t>Obec Tomášikovo</t>
  </si>
  <si>
    <t>Zvýšenie energetickej hospodárnosti budovy obecného úradu - Tomášikovo</t>
  </si>
  <si>
    <t>MESTO RIMAVSKÁ SOBOTA</t>
  </si>
  <si>
    <t>Zníženie energetickej náročnosti budov MsÚ Rimavská Sobota</t>
  </si>
  <si>
    <t>Obec Chrenovec-Brusno</t>
  </si>
  <si>
    <t>Zníženie energetickej náročnosti OÚ Chrenovec-Brusno</t>
  </si>
  <si>
    <t>Obec Záriečie</t>
  </si>
  <si>
    <t>Zníženie energetickej náročnosti verejných budov – administratívna budova v obci Záriečie</t>
  </si>
  <si>
    <t>Obec Kláštor pod Znievom</t>
  </si>
  <si>
    <t>Obnova budovy Obecného úradu</t>
  </si>
  <si>
    <t>Svidník - MŠ na Ul. 8. mája - zateplenie</t>
  </si>
  <si>
    <t>Zníženie energetickej náročnosti budovy obecného úradu s kultúrnym domov</t>
  </si>
  <si>
    <t>obec Stráňavy</t>
  </si>
  <si>
    <t>Stavebné úpravy objektu Obecného úradu v Stráňavách - zníženie energetickej náročnosti</t>
  </si>
  <si>
    <t>Obec Dobrohošť</t>
  </si>
  <si>
    <t>Zníženie spotreby energie budovy Obecného úradu Dobrohošť</t>
  </si>
  <si>
    <t>Obec Slovenské Pravno</t>
  </si>
  <si>
    <t>Obnova budovy materskej školy</t>
  </si>
  <si>
    <t>Obec Šamudovce</t>
  </si>
  <si>
    <t>Rekonštrukcia obecného úradu s kultúrnym domom Šamudovce za účelom zvýšenia energetickej účinnosti</t>
  </si>
  <si>
    <t>Obec Cigeľ</t>
  </si>
  <si>
    <t>Zvýšenie energetickej účinnosti budovy - Obecný úrad a Kultúrny dom</t>
  </si>
  <si>
    <t>Obec Čaka</t>
  </si>
  <si>
    <t>Znižovanie energetickej náročnosti administratívnej budovy v obci Čaka</t>
  </si>
  <si>
    <t>COMORRA SERVIS</t>
  </si>
  <si>
    <t>Rekonštrukcia a zateplenie autobusovej stanice s bezbariérovým prístupom</t>
  </si>
  <si>
    <t>Znižovanie energetickej náročnosti MŠ Radvanská 28, Banská Bystrica</t>
  </si>
  <si>
    <t>Zníženie energetickej náročnosti verejných budov –  D. Poľského č. 1371, Kysucké Nové Mesto</t>
  </si>
  <si>
    <t>Zníženie energetickej náročnosti verejných budov –  Palárikova 25, Čadca</t>
  </si>
  <si>
    <t>Zníženie energetickej náročnosti verejných budov –  Jesenského č.36, Trenčín</t>
  </si>
  <si>
    <t>Zníženie energetickej náročnosti verejných budov –  Predmestská 1613, Žilina</t>
  </si>
  <si>
    <t>Zníženie energetickej náročnosti verejných budov – Okružná č. 19, Banská Bystrica</t>
  </si>
  <si>
    <t>Zníženie energetickej náročnosti verejných budov –  Bysterecká 2067, Dolný Kubín</t>
  </si>
  <si>
    <t>Zníženie energetickej náročnosti verejných budov –  Hostinského č.4, Rimavská Sobota</t>
  </si>
  <si>
    <t>Zníženie energetickej náročnosti verejných budov –  Vajanského č.2, Trnava</t>
  </si>
  <si>
    <t>Zníženie energetickej náročnosti verejných budov –  Záhradnícka č.6, Komárno</t>
  </si>
  <si>
    <t>Zníženie energetickej náročnosti administratívnej budovy obecného úradu Svätý Peter</t>
  </si>
  <si>
    <t>Spojená škola internátna, M.R.Štefánika 140, 093 41 Vranov nad Topľou</t>
  </si>
  <si>
    <t>Zníženie energetickej náročnosti budovy - Spojená škola internátna</t>
  </si>
  <si>
    <t>Zvyšovanie energetickej efektívnosti MŠ Na Lúčkach 2, Banská Bystrica</t>
  </si>
  <si>
    <t>Spojená škola</t>
  </si>
  <si>
    <t>Zníženie energetickej náročnosti budovy Spojenej školy v Spišskej Novej Vsi</t>
  </si>
  <si>
    <t>Obec Drienov</t>
  </si>
  <si>
    <t>Obnova obecného úradu Drienov - zníženie energetickej náročnosti budovy</t>
  </si>
  <si>
    <t>Obec Baka</t>
  </si>
  <si>
    <t>Rekonštrukcia budovy obecného úradu v Bake za účelu zníženia energetickej náročnosti</t>
  </si>
  <si>
    <t>Obec Orechová Potôň</t>
  </si>
  <si>
    <t>Obnova Obecného úradu</t>
  </si>
  <si>
    <t>Zníženie energetickej náročnosti verejných budov –  Janka Kráľa č.1, Rožňava</t>
  </si>
  <si>
    <t>Zníženie energetickej náročnosti verejných budov – Zádielska č.1, Košice</t>
  </si>
  <si>
    <t>Spojená škola internátna, SNP 1653/152, Považská Bystrica</t>
  </si>
  <si>
    <t>Zníženie energetickej náročnosti verejných budov – Spojená škola internátna v Považskej Bystrici</t>
  </si>
  <si>
    <t>Zníženie energetickej náročnosti verejných budov –  Komenského č.52, Košice</t>
  </si>
  <si>
    <t>Obec Opatovská Nová Ves</t>
  </si>
  <si>
    <t>Zlepšenie tepelnotechnických vlastností budovy MŠ v Opatovskej Novej Vsi</t>
  </si>
  <si>
    <t>Zníženie energetickej náročnosti verejných budov – Kalvárska 2, Nitra</t>
  </si>
  <si>
    <t>Zníženie energetickej náročnosti verejných budov – sv.Michala 35, Levice</t>
  </si>
  <si>
    <t>Zníženie energetickej náročnosti budovy internátu SO 01 Blok A,B Žilinskej univerzity v Žiline</t>
  </si>
  <si>
    <t>Zníženie energetickej náročnosti budovy internátu SO 02 Blok C,D Žilinskej univerzity v Žiline</t>
  </si>
  <si>
    <t>Zníženie energetickej náročnosti verejných budov – Tuhárske námestie 12, Lučenec</t>
  </si>
  <si>
    <t>Zníženie energetickej náročnosti verejných budov – Starohájska č.3, Trnava</t>
  </si>
  <si>
    <t>Zníženie energetickej náročnosti verejných budov – Hostinského 2, Rimavská Sobota</t>
  </si>
  <si>
    <t>Zníženie energetickej náročnosti verejných budov – M.R.Štefánika 180, Trebišov</t>
  </si>
  <si>
    <t>Zníženie energetickej náročnosti verejných budov –  Partizánska cesta 106, Banská Bystrica</t>
  </si>
  <si>
    <t>Zníženie energetickej náročnosti verejných budov – Okružná 18, Banská Bystrica</t>
  </si>
  <si>
    <t>Obec Ružiná</t>
  </si>
  <si>
    <t>Rekonštrukcia a zvýšenie energetickej hospodárnosti budovy materskej školy v obci Ružiná</t>
  </si>
  <si>
    <t>Obec Opatovce nad Nitrou</t>
  </si>
  <si>
    <t>Zníženie energetickej náročnosti Obecného úradu v obci Opatovce nad Nitrou</t>
  </si>
  <si>
    <t>Obec Kuzmice</t>
  </si>
  <si>
    <t>Zníženie energetickej náročnosti verejných budov - Obecný úrad a Kultúrny dom Kuzmice</t>
  </si>
  <si>
    <t>Regionálny úrad verejného zdravotníctva so sídlom v Banskej Bystrici</t>
  </si>
  <si>
    <t>Realizácia opatrení na úsporu energií budovy A, B, C, RUVZ Banská Bystrica</t>
  </si>
  <si>
    <t>Zníženie energetickej náročnosti administratívnej budovy s.č.797, Spišské Podhradie</t>
  </si>
  <si>
    <t>Zníženie energetickej náročnosti účelového zariadenia Športovej haly Prešovskej univerzity</t>
  </si>
  <si>
    <t>Mesto Myjava</t>
  </si>
  <si>
    <t>Zníženie energetickej náročnosti budovy Mestského úradu v Myjave</t>
  </si>
  <si>
    <t>Materská škola, Bradáčova 773/30, 90701 Myjava</t>
  </si>
  <si>
    <t>Zníženie energetickej náročnosti budov MŠ v Myjave</t>
  </si>
  <si>
    <t>Obec Rohovce</t>
  </si>
  <si>
    <t>Zníženie energetickej náročnosti budovy Obecného úradu v obci Rohovce</t>
  </si>
  <si>
    <t>Univerzita Mateja Bela v Banskej Bystrici</t>
  </si>
  <si>
    <t>Zvýšenie energetickej efektívnosti budovy Právnickej fakulty UMB, Komenského 20, 974 01 Banská Bystrica</t>
  </si>
  <si>
    <t>Zvýšenie energetickej efektívnosti budovy Filozofickej fakulty UMB, Tajovského 57, 974 01 Banská Bystrica</t>
  </si>
  <si>
    <t>OPKZP-PO1-SC142-2015-4</t>
  </si>
  <si>
    <t>Realizácia</t>
  </si>
  <si>
    <t>OPKZP-PO1-SC142-2015-3</t>
  </si>
  <si>
    <t>Zazmluvnená hodnota k 31.12.2017</t>
  </si>
  <si>
    <t>Skutočný stav k 31.12.2017</t>
  </si>
  <si>
    <t>Počet projektov prispievajúcich k MU</t>
  </si>
  <si>
    <t>STAV K:</t>
  </si>
  <si>
    <t>AKTUALIZÁCIA:</t>
  </si>
  <si>
    <t>Zelenou farbou sú zvýraznené ukazovatele výkonnostného rámca.</t>
  </si>
  <si>
    <t>Červenou farbou sú zvýraznené štaistické/pomocné ukazovatele</t>
  </si>
  <si>
    <t>Fialovou farbou sú vyznačené chýbajúce údaje a nezrovnalosti</t>
  </si>
  <si>
    <t>STAV K 28.02.2017 A 30.06.2017</t>
  </si>
  <si>
    <t>Prioritná os</t>
  </si>
  <si>
    <t>Investičná priorita</t>
  </si>
  <si>
    <t>Špecifický cieľ</t>
  </si>
  <si>
    <t>Typ aktivity</t>
  </si>
  <si>
    <t>Cieľová hodnota ukazovateľa 
k 31.12.2023</t>
  </si>
  <si>
    <t>Čiastková hodnota ukazovateľa (míľnika) 
k 31.12.2018</t>
  </si>
  <si>
    <t>Cieľová hodnota kľúčového implementačného kroku (míľnika) 
k 31.12.2018</t>
  </si>
  <si>
    <t>Skutočný stav implementácie projektov k 28.02.2017 (vrátane ukončených)</t>
  </si>
  <si>
    <t xml:space="preserve">Zazmluvnené projekty </t>
  </si>
  <si>
    <t>Schválené ŽoNFP</t>
  </si>
  <si>
    <t>Zazmluvnené projekty &amp; schválené ŽoNFP</t>
  </si>
  <si>
    <t>Stav ŽoNFP v zásobníku k 28.2.2017</t>
  </si>
  <si>
    <t>Doručené ŽoNFP</t>
  </si>
  <si>
    <t xml:space="preserve">Skutočný stav 
</t>
  </si>
  <si>
    <t>Naplnenie cieľovej hodnoty (%)</t>
  </si>
  <si>
    <t>Naplnenie míľnika 31.12.2018  (%)</t>
  </si>
  <si>
    <t>Naplnenie KIK 31.12.2018  (%)</t>
  </si>
  <si>
    <t xml:space="preserve">Zazmluvnené spolu  </t>
  </si>
  <si>
    <t xml:space="preserve">Naplnenie míľnika/KIK 31.12.2018 </t>
  </si>
  <si>
    <t>Zazmluvnené s plánovaným ukončením do 31.12.2018</t>
  </si>
  <si>
    <t>Spolu</t>
  </si>
  <si>
    <t>(TC6) UDRŽATEĽNÉ VYUŽÍVANIE PRÍRODNÝCH ZDROJOV PROSTREDNÍCTVOM ROZVOJA ENVIRONMENTÁLNEJ INFRAšTRUKTÚRY</t>
  </si>
  <si>
    <r>
      <t>(</t>
    </r>
    <r>
      <rPr>
        <b/>
        <sz val="10"/>
        <color theme="1"/>
        <rFont val="Arial Narrow"/>
        <family val="2"/>
        <charset val="238"/>
      </rPr>
      <t xml:space="preserve">6a)  </t>
    </r>
    <r>
      <rPr>
        <sz val="10"/>
        <color theme="1"/>
        <rFont val="Arial Narrow"/>
        <family val="2"/>
        <charset val="238"/>
      </rPr>
      <t xml:space="preserve">Investovanie do sektora </t>
    </r>
    <r>
      <rPr>
        <b/>
        <sz val="10"/>
        <color theme="1"/>
        <rFont val="Arial Narrow"/>
        <family val="2"/>
        <charset val="238"/>
      </rPr>
      <t xml:space="preserve">odpadového hospodárstva </t>
    </r>
    <r>
      <rPr>
        <sz val="10"/>
        <color theme="1"/>
        <rFont val="Arial Narrow"/>
        <family val="2"/>
        <charset val="238"/>
      </rPr>
      <t xml:space="preserve">s cieľom splniť požiadavky environmentálneho acquis Únie a pokryť potreby, ktoré členské štáty špecifikovali v súvislosti s investíciami nad rámec uvedených požiadaviek </t>
    </r>
  </si>
  <si>
    <r>
      <t xml:space="preserve"> Zvýšenie miery </t>
    </r>
    <r>
      <rPr>
        <b/>
        <sz val="10"/>
        <color theme="1"/>
        <rFont val="Arial Narrow"/>
        <family val="2"/>
        <charset val="238"/>
      </rPr>
      <t>zhodnocovania</t>
    </r>
    <r>
      <rPr>
        <sz val="10"/>
        <color theme="1"/>
        <rFont val="Arial Narrow"/>
        <family val="2"/>
        <charset val="238"/>
      </rPr>
      <t xml:space="preserve"> odpadov so zameraním na ich prípravu na opätovné použitie a recykláciu a podpora predchádzania vzniku odpadov</t>
    </r>
  </si>
  <si>
    <t>A</t>
  </si>
  <si>
    <t>Podpora nástrojov informačného charakteru so zameraním na predchádzanie vzniku odpadov, na podporu triedeného zberu odpadov a zhodnocovania odpadov</t>
  </si>
  <si>
    <t>B</t>
  </si>
  <si>
    <t>Príprava na opätovné použite a zhodnocovanie so zameraním na recykláciu nie nebezpečných odpadov vrátane podpory systémov triedeného zberu komunálnych odpadov a podpory predchádzania vzniku biologicky rozložiteľných komunálnych odpadov</t>
  </si>
  <si>
    <t>B+C</t>
  </si>
  <si>
    <t>Príprava na opätovné použite a zhodnocovanie so zameraním na recykláciu nie nebezpečných odpadov vrátane podpory systémov triedeného zberu komunálnych odpadov a podpory predchádzania vzniku biologicky rozložiteľných komunálnych odpadov                                                                                                                                     +   Príprava na opätovné použite a recyklácia nebezpečných odpadov</t>
  </si>
  <si>
    <t xml:space="preserve">Zvýšená kapacita recyklácie odpadu </t>
  </si>
  <si>
    <t>D</t>
  </si>
  <si>
    <r>
      <t xml:space="preserve">Vybudovanie a zavedenie jednotného environmentálneho </t>
    </r>
    <r>
      <rPr>
        <b/>
        <sz val="10"/>
        <color theme="1"/>
        <rFont val="Arial Narrow"/>
        <family val="2"/>
        <charset val="238"/>
      </rPr>
      <t>monitorovacieho a informačného systému</t>
    </r>
    <r>
      <rPr>
        <sz val="10"/>
        <color theme="1"/>
        <rFont val="Arial Narrow"/>
        <family val="2"/>
        <charset val="238"/>
      </rPr>
      <t xml:space="preserve"> v odpadovom hospodárstve</t>
    </r>
  </si>
  <si>
    <t>(6b) Investovanie do sektora vodného hospodárstva s cieľom splniť požiadavky environmentálneho acquis Únie a pokryť potreby, ktoré členské štáty špecifikovali v súvislosti s investíciami nad rámec uvedených požiadaviek</t>
  </si>
  <si>
    <t>Zlepšenie odvádzania a čistenia komunálnych odpadových vôd v aglomeráciách nad 2 000 EO v zmysle záväzkov SR voči EÚ</t>
  </si>
  <si>
    <t>A+B</t>
  </si>
  <si>
    <t>Budovanie verejných kanalizácií a čistiarní odpadových vôd pre aglomerácie nad 2 000 EO v zmysle záväzkov SR voči EÚ                                              +                         Podpora realizácie infraštruktúry v oblasti odkanalizovania a čistenia odpadových vôd, ktoré prispejú k zlepšeniu kvality vody v chránených vodohospodárskych oblastiach, v ktorých sú veľkokapacitné zdroje podzemných vôd, kde nebol identifikovaný dobrý stav vôd alebo bol identifikovaný vodný útvar ako rizikový</t>
  </si>
  <si>
    <t>CO19/K0007</t>
  </si>
  <si>
    <t>Zvýšenie spoľahlivosti úpravy vody odoberanej z veľkokapacitných zdrojov povrchových vôd v záujme zvýšenia bezpečnosti dodávky pitnej vody verejnými vodovodmi</t>
  </si>
  <si>
    <t>Zabezpečenie podmienok v oblasti zásobovania obyvateľov SR bezpečnou pitnou vodou z verejných vodovodov</t>
  </si>
  <si>
    <t>Vytvorenie východísk pre stanovenie opatrení smerujúcich k dosiahnutiu dobrého stavu podzemných a povrchových vôd</t>
  </si>
  <si>
    <t>Monitorovanie a hodnotenie vôd, vrátane skvalitňovania monitorovacej siete</t>
  </si>
  <si>
    <t>Počet analyzovaných vzoriek povrchových a podzemných vôd</t>
  </si>
  <si>
    <t>Počet vyhodnotených vodných útvarov  povrchových a podzemných vôd</t>
  </si>
  <si>
    <t>Zabezpečenie pozdĺžnej a laterálnej kontinuity vodných tokov a odstraňovanie bariér vo vodných tokoch za účelom podpory biodiverzity a zabezpečovania ekosystémových služieb</t>
  </si>
  <si>
    <t>C</t>
  </si>
  <si>
    <t>Podpora zefektívnenia nástrojov koncepčného a informačného charakteru uplatňovaných v oblasti ochrany vôd a vodného hospodárstva</t>
  </si>
  <si>
    <t>(6d) Ochrana a obnova biodiverzity a pôdy a podpora ekosystémových služieb, a to aj prostredníctvom sústavy NATURA 2000 a zelenej infraštruktúry</t>
  </si>
  <si>
    <t>ŠC 5 Zlepšenie stavu ochrany druhov a biotopov a posilnenie biodiverzity najmä v rámci sústavy Natura 2000</t>
  </si>
  <si>
    <t>Dobudovanie sústavy Natura 2000 a zabezpečenie starostlivosti o sústavu Natura 2000 a ďalšie chránené územia (vrátane území medzinárodného významu), ako aj chránené druhy   +  Zachovanie a obnova biodiverzity a ekosystémov a ich služieb prostredníctvom ich revitalizácie, obnovy a budovania zelenej infraštruktúry</t>
  </si>
  <si>
    <t>Zachovanie a obnova biodiverzity a ekosystémov a ich služieb prostredníctvom ich revitalizácie, obnovy a budovania zelenej infraštruktúry</t>
  </si>
  <si>
    <t>Dobudovanie a skvalitnenie systému monitoringu druhov a biotopov európskeho významu a reportingu</t>
  </si>
  <si>
    <t xml:space="preserve">Zlepšenie informovanosti a zapojenia kľúčových sektorov a verejnosti na úseku ochrany prírody a krajiny </t>
  </si>
  <si>
    <r>
      <rPr>
        <b/>
        <sz val="10"/>
        <color theme="1"/>
        <rFont val="Arial Narrow"/>
        <family val="2"/>
        <charset val="238"/>
      </rPr>
      <t xml:space="preserve">(6e) </t>
    </r>
    <r>
      <rPr>
        <sz val="10"/>
        <color theme="1"/>
        <rFont val="Arial Narrow"/>
        <family val="2"/>
        <charset val="238"/>
      </rPr>
      <t xml:space="preserve">Prijatie opatrení na zlepšenie </t>
    </r>
    <r>
      <rPr>
        <b/>
        <sz val="10"/>
        <color theme="1"/>
        <rFont val="Arial Narrow"/>
        <family val="2"/>
        <charset val="238"/>
      </rPr>
      <t xml:space="preserve">mestského prostredia, revitalizácie </t>
    </r>
    <r>
      <rPr>
        <sz val="10"/>
        <color theme="1"/>
        <rFont val="Arial Narrow"/>
        <family val="2"/>
        <charset val="238"/>
      </rPr>
      <t xml:space="preserve">miest, oživenia a </t>
    </r>
    <r>
      <rPr>
        <b/>
        <sz val="10"/>
        <color theme="1"/>
        <rFont val="Arial Narrow"/>
        <family val="2"/>
        <charset val="238"/>
      </rPr>
      <t>dekontaminácie opustených priemyselných areálov</t>
    </r>
    <r>
      <rPr>
        <sz val="10"/>
        <color theme="1"/>
        <rFont val="Arial Narrow"/>
        <family val="2"/>
        <charset val="238"/>
      </rPr>
      <t xml:space="preserve"> (vrátane oblastí, ktoré prechádzajú zmenou), zníženie miery znečistenia ovzdušia a podpory opatrení na zníženie hluku</t>
    </r>
  </si>
  <si>
    <t>ŠC 6 Zníženie znečisťovania ovzdušia a zlepšenie jeho kvality</t>
  </si>
  <si>
    <t>Technologické a technické opatrenia na redukciu emisií znečisťujúcich látok do ovzdušia realizované na zdrojoch znečisťovania ovzdušia, najmä za účelom plnenia požiadaviek smernice o národných emisných stropoch a/alebo smernice o kvalite okolitého ovzdušia a čistejšom ovzduší v Európe (vrátane aktivít s predpokladom realizácie prostredníctvom SIH vo výške 15 784 600 Eur)</t>
  </si>
  <si>
    <t>Počet podporených zariadení stredných a veľkých stacionárnych zdrojov znečisťovania ovzdušia za účelom zníženia emisií</t>
  </si>
  <si>
    <t>Skvalitňovanie monitorovania ovzdušia</t>
  </si>
  <si>
    <t xml:space="preserve">Počet aplikovaných modulov NEIS podľa požiadaviek na informovanie verejnosti a reportingových povinností </t>
  </si>
  <si>
    <t>ŠC 7 Zabezpečenie sanácie environmentálnych záťaží v mestskom prostredí, ako aj v opustených priemyselných lokalitách (vrátane oblastí, ktoré prechádzajú zmenou)</t>
  </si>
  <si>
    <t>Prieskum, sanácia a monitorovanie environmentálnych záťaží v mestskom prostredí, ako aj v opustených priemyselných lokalitách (vrátane oblastí, ktoré prechádzajú zmenou)</t>
  </si>
  <si>
    <t>1.4.1+ 1.4.2</t>
  </si>
  <si>
    <t>B+B</t>
  </si>
  <si>
    <t>Informovanie o ochrane ovzdušia a integrovanej prevencii a kontrole znečisťovania                  +                                                                                                                                                           Zlepšenie informovanosti o problematike environmentálnych záťaží</t>
  </si>
  <si>
    <t>Celková suma oprávnených výdavkov po ich certifikácii certifikačným orgánom (EÚ + SR + vlastné zdroje)</t>
  </si>
  <si>
    <t>(TC 5a) ADAPTÁCIA NA NEPRIAZNIVÉ DOSLEDKY ZMENY KLÍMY SO ZAMERANÍM NA OCHRANU PRED POVODŇAMI</t>
  </si>
  <si>
    <t>(5a)  Podpora investícií na prispôsobovanie sa zmene klímy vrátane ekosystémových prístupov</t>
  </si>
  <si>
    <t>ŠC 1 Zníženie rizika povodní a negatívnych dôsledkov zmeny klímy</t>
  </si>
  <si>
    <t xml:space="preserve">Preventívne opatrenia na ochranu pred povodňami viazané na vodný tok m                            +                                                                                                                                             Preventívne opatrenia na ochranu pred povodňami realizované mimo vodných tokov                </t>
  </si>
  <si>
    <t xml:space="preserve">Počet obyvateľov využívajúcich opatrenia protipovodňovej ochrany </t>
  </si>
  <si>
    <t xml:space="preserve">Vodozádržné opatrenia v urbanizovanej krajine (intraviláne obcí) </t>
  </si>
  <si>
    <t>Aktualizácia máp povodňového ohrozenia a máp povodňového rizika a aktualizácia plánov manažmentu povodňových rizík</t>
  </si>
  <si>
    <t>E</t>
  </si>
  <si>
    <t>Rozvoj metodík pre hodnotenie investičných rizík spojených s nepriaznivými dôsledkami zmeny klímy</t>
  </si>
  <si>
    <t>F</t>
  </si>
  <si>
    <t>Informačné programy o nepriaznivých dôsledkoch zmeny klímy a možnostiach proaktívnej adaptácie</t>
  </si>
  <si>
    <t>ŠC 2 Zlepšenie účinnosti sanácie, revitalizácie a zabezpečenia úložísk ťažobného odpadu</t>
  </si>
  <si>
    <t>Rekultivácia uzavretých úložísk a opustených úložísk ťažobného odpadu (v súlade s princípom „znečisťovateľ platí“)</t>
  </si>
  <si>
    <t>(TC 5b)</t>
  </si>
  <si>
    <t>5b) Podpora investícií na riešenie osobitných rizík, zabezpečiť predchádzanie vzniku katastrof a vyvíjanie systémov zvládania katastrof</t>
  </si>
  <si>
    <t>ŠC 1 Zvýšenie úrovne pripravenosti na zvládanie mimoriadnych udalostí ovplyvnených zmenou klímy</t>
  </si>
  <si>
    <t>Modelovanie vývoja mimoriadnych udalostí, monitorovanie a vyhodnocovanie rizík viazaných na zmenu klímy a jej dôsledkov</t>
  </si>
  <si>
    <t>Počet vytvorených modelov vývoja  mimoriadnych udalostí ovplyvnených zmenou klímy</t>
  </si>
  <si>
    <t>Budovanie systémov vyhodnocovania rizík a včasného varovania a pripravenosti na zvládanie mimoriadnych udalostí ovplyvnených zmenou klímy</t>
  </si>
  <si>
    <t xml:space="preserve">Počet systémov včasného varovania </t>
  </si>
  <si>
    <t>ŠC 2 Zvýšenie účinnosti 
preventívnych a adaptačných opatrení na elimináciu environmentálnych rizík (okrem protipovodňových opatrení)</t>
  </si>
  <si>
    <t>Podpora prevencie, prieskumu a sanácie havarijných zosuvov súvisiacich so zmenou klímy</t>
  </si>
  <si>
    <t>Celkový povrch rekultivovanej pôdy/Celková plocha rekultivovanej pôdy</t>
  </si>
  <si>
    <t>Hydrogeologický prieskum zameraný na vymedzenie deficitných oblastí a zabezpečenie zdrojov pitnej vody, ich akumuláciu a vodohospodársku bilanciu</t>
  </si>
  <si>
    <t>ŠC 3 Zvýšenie efektívnosti 
manažmentu mimoriadnych udalostí ovplyvnených zmenou klímy</t>
  </si>
  <si>
    <t>Optimalizácia systémov, služieb a posilnenie intervenčných kapacít pre manažment mimoriadnych udalostí na lokálnej a regionálnej úrovni</t>
  </si>
  <si>
    <t>Počet subjektov so zlepšeným vybavením intervenčnými kapacitami</t>
  </si>
  <si>
    <t>Vybudovanie technickej a inštitucionálnej podpory špecializovaných záchranných modulov</t>
  </si>
  <si>
    <t xml:space="preserve">Počet vytvorených špecializovaných  záchranných modulov </t>
  </si>
  <si>
    <t xml:space="preserve"> (TC4) Energeticky efektívne nízkouhlíkové hospodárstvo vo všetkých sektoroch</t>
  </si>
  <si>
    <t>4a) Podpora výroby a distribúcie energie z obnoviteľných zdrojov</t>
  </si>
  <si>
    <t>4.1.1 (MRR)</t>
  </si>
  <si>
    <t>ŠC 1 Zvýšenie podielu OZE na hrubej konečnej energetickej spotrebe</t>
  </si>
  <si>
    <t>Inštalácia malých zariadení na využívanie OZE</t>
  </si>
  <si>
    <t>O0028 (MRR)</t>
  </si>
  <si>
    <t>Počet malých zariadení na využívanie OZE (MRR)</t>
  </si>
  <si>
    <t>O0188 (MRR)</t>
  </si>
  <si>
    <t>Zvýšená kapacita výroby elektriny z obnoviteľných zdrojov (MRR)</t>
  </si>
  <si>
    <r>
      <t>MW</t>
    </r>
    <r>
      <rPr>
        <vertAlign val="subscript"/>
        <sz val="10"/>
        <color rgb="FF7030A0"/>
        <rFont val="Arial Narrow"/>
        <family val="2"/>
        <charset val="238"/>
      </rPr>
      <t>e</t>
    </r>
  </si>
  <si>
    <t>A+B+C</t>
  </si>
  <si>
    <t>O0189 (MRR)</t>
  </si>
  <si>
    <t>Zvýšená kapacita výroby tepla z obnoviteľných zdrojov (MRR)</t>
  </si>
  <si>
    <r>
      <t>MW</t>
    </r>
    <r>
      <rPr>
        <vertAlign val="subscript"/>
        <sz val="10"/>
        <rFont val="Arial Narrow"/>
        <family val="2"/>
        <charset val="238"/>
      </rPr>
      <t>t</t>
    </r>
  </si>
  <si>
    <t>CO30 (MRR)</t>
  </si>
  <si>
    <t>Zvýšená kapacita výroby energie z obnoviteľných zdrojov (MRR)</t>
  </si>
  <si>
    <t>Odhadované ročné zníženie emisií skleníkových plynov (MRR)</t>
  </si>
  <si>
    <t xml:space="preserve">Výstavba zariadení využívajúcich biomasu prostredníctvom rekonštrukcie a modernizácie existujúcich energetických zariadení s maximálnym tepelným príkonom 20 MW na báze fosílnych palív  </t>
  </si>
  <si>
    <t>4.1.2 (VRR)</t>
  </si>
  <si>
    <t>ŠC 2 Zvýšenie výkonu malých zariadení na využívanie OZE v Bratislavskom samosprávnom kraji</t>
  </si>
  <si>
    <t xml:space="preserve">  Inštalácia malých zariadení na využívanie OZE</t>
  </si>
  <si>
    <t>CO30 (VRR)</t>
  </si>
  <si>
    <t>CO34 (VRR)</t>
  </si>
  <si>
    <t>Odhadované ročné zníženie emisií skleníkových plynov (VRR)</t>
  </si>
  <si>
    <t>O0028 (VRR)</t>
  </si>
  <si>
    <t>Počet malých zariadení na využívanie OZE (VRR)</t>
  </si>
  <si>
    <t>O0188 (VRR)</t>
  </si>
  <si>
    <t>Zvýšená kapacita výroby elektriny z obnoviteľných zdrojov (VRR)</t>
  </si>
  <si>
    <r>
      <t>MW</t>
    </r>
    <r>
      <rPr>
        <vertAlign val="subscript"/>
        <sz val="10"/>
        <rFont val="Arial Narrow"/>
        <family val="2"/>
        <charset val="238"/>
      </rPr>
      <t>e</t>
    </r>
  </si>
  <si>
    <t>O0189 (VRR)</t>
  </si>
  <si>
    <t>Zvýšená kapacita výroby tepla z obnoviteľných zdrojov (VRR)</t>
  </si>
  <si>
    <t>4b) Podpora energetickej efektívnosti a využívania energie z obnoviteľných zdrojov v podnikoch</t>
  </si>
  <si>
    <t>ŠC 1 Zníženie energetickej náročnosti a zvýšenie využívania OZE v podnikoch</t>
  </si>
  <si>
    <t>Zabezpečenie energetických auditov v MSP</t>
  </si>
  <si>
    <t>Implementácia opatrení z energetických auditov</t>
  </si>
  <si>
    <t xml:space="preserve">Počet opatrení energetickej efektívnosti realizovaných v podnikoch </t>
  </si>
  <si>
    <t xml:space="preserve">Úspora PEZ v podniku </t>
  </si>
  <si>
    <t>4c) Podpora energetickej efektívnosti, inteligentného riadenia energie a využívania energie z obnoviteľných zdrojov vo verejných infraštruktúrach, vrátane verejných budov a v sektore bývania</t>
  </si>
  <si>
    <t>ŠC 1 Zníženie spotreby energie pri prevádzke verejných budov</t>
  </si>
  <si>
    <t>Zníženie energetickej náročnosti verejných budov</t>
  </si>
  <si>
    <t>m2</t>
  </si>
  <si>
    <t>Zníženie konečnej spotreby energie vo verejných budovách  </t>
  </si>
  <si>
    <t>4e) Podpora nízkouhlíkových stratégií pre všetky typy území, najmä pre mestské oblasti, vrátane podpory udržateľnej multimodálnej mestskej mobility a adaptačných opatrení, ktorých cieľom je zmiernenie zmeny klímy</t>
  </si>
  <si>
    <t>ŠC 1 Znižovanie emisií skleníkových plynov systematickým plánovaním a vyhodnocovaním nízkouhlíkových opatrení pre všetky typy území</t>
  </si>
  <si>
    <t>Vypracovanie a implementácia nízkouhlíkových stratégií pre všetky typy území, najmä pre mestské oblasti vrátane aktualizácie a implementácie koncepcií rozvoja obcí v oblasti tepelnej energetiky</t>
  </si>
  <si>
    <t>Zavádzanie systémov energetického a environmentálneho manažérstva vrátane energetických auditov a schémy EÚ pre environmentálne manažérstvo a audit (EMAS)</t>
  </si>
  <si>
    <t>P0370, P0574</t>
  </si>
  <si>
    <t>Rozvoj energetických služieb na regionálnej a miestnej úrovni</t>
  </si>
  <si>
    <t>Zvyšovanie informovanosti v oblasti nízkouhlíkových opatrení najmä energetickej efektívnosti a využívania OZE vrátane poradenstva, informačných kampaní, odborných seminárov, konferencií a aktivít pre deti a mládež</t>
  </si>
  <si>
    <t>Zavádzanie systému pravidelného poradenstva a zvyšovania informovanosti pre verejný sektor, energetických manažérov, audítorov, poskytovateľov energetických služieb</t>
  </si>
  <si>
    <t>Rozšírenie monitorovania energetickej efektívnosti o využívanie OZE a iné nízkouhlíkové opatrenia</t>
  </si>
  <si>
    <t>4g) Podpora využívania vysoko účinnej kombinovanej výroby tepla a elektrickej energie na základe dopytu po využiteľnom teple</t>
  </si>
  <si>
    <t>ŠC 1 Rozvoj účinnejších systémov centralizovaného zásobovania teplom založených na dopyte po využiteľnom teple</t>
  </si>
  <si>
    <t>Výstavba, rekonštrukcia a modernizácia rozvodov tepla</t>
  </si>
  <si>
    <t>Výstavba, rekonštrukcia a modernizácia zariadení na výrobu elektriny a tepla vysoko účinnou kombinovanou výrobou s maximálnym tepelným príkonom 20 MW</t>
  </si>
  <si>
    <t>Celková suma oprávnených výdavkov po ich certifikácii certifikačným orgánom (EÚ + SR + vlastné zdroje) MRR</t>
  </si>
  <si>
    <t>Celková suma oprávnených výdavkov po ich certifikácii certifikačným orgánom (EÚ + SR + vlastné zdroje) VRR</t>
  </si>
  <si>
    <t>Technická pomoc</t>
  </si>
  <si>
    <t>Zabezpečenie efektívnej implementácie programu</t>
  </si>
  <si>
    <t>Vzdelávanie zamestnancov</t>
  </si>
  <si>
    <t>Zavedenie a realizácia spravodlivého a motivačného systému odmeňovania zamestnancov vrátane financovania ich miezd</t>
  </si>
  <si>
    <t>Počet administratívnych kapacít financovaných z technickej pomoci</t>
  </si>
  <si>
    <t>Materiálno-technické zabezpečenie a prevádzková podpora implementácie OP</t>
  </si>
  <si>
    <t>Podiel administratívnych kapacít vybavených materiálno-technickým vybavením z TP</t>
  </si>
  <si>
    <t>Externé služby na podporu implementácie OP</t>
  </si>
  <si>
    <t>Zabezpečenie širokej informovanosti o programe a podpora budovania administratívnych kapacít prijímateľov</t>
  </si>
  <si>
    <t>Informačné a komunikačné nástroje</t>
  </si>
  <si>
    <t>Posilnenie administratívnych kapacít prijímateľov</t>
  </si>
  <si>
    <t>Celkový súčet</t>
  </si>
  <si>
    <t>(prázdne)</t>
  </si>
  <si>
    <t>Súčet z Skutočný stav k 31.12.2017</t>
  </si>
  <si>
    <t>Súčet z Očakávaný stav k 31.12.2018</t>
  </si>
  <si>
    <t>Súčet z Zazmluvnená hodnota k 31.12.2017</t>
  </si>
  <si>
    <t>1.1.1 Celková hodnota</t>
  </si>
  <si>
    <t>1.2.1 Celková hodnota</t>
  </si>
  <si>
    <t>1.2.2 Celková hodnota</t>
  </si>
  <si>
    <t>1.2.3 Celková hodnota</t>
  </si>
  <si>
    <t>1.3.1 Celková hodnota</t>
  </si>
  <si>
    <t>1.4.1 Celková hodnota</t>
  </si>
  <si>
    <t>1.4.2 Celková hodnota</t>
  </si>
  <si>
    <t>2.1.1 Celková hodnota</t>
  </si>
  <si>
    <t>2.1.2 Celková hodnota</t>
  </si>
  <si>
    <t>3.1.1 Celková hodnota</t>
  </si>
  <si>
    <t>3.1.2 Celková hodnota</t>
  </si>
  <si>
    <t>3.1.3 Celková hodnota</t>
  </si>
  <si>
    <t>4.1.1 Celková hodnota</t>
  </si>
  <si>
    <t>4.1.2 Celková hodnota</t>
  </si>
  <si>
    <t>4.2.1 Celková hodnota</t>
  </si>
  <si>
    <t>4.3.1 Celková hodnota</t>
  </si>
  <si>
    <t>4.4.1 Celková hodnota</t>
  </si>
  <si>
    <t>4.5.1 Celková hodnota</t>
  </si>
  <si>
    <t>5.1.2 Celková hodnota</t>
  </si>
  <si>
    <t>Kód ukazovateľa výstupu projektu</t>
  </si>
  <si>
    <t>Názov ukazovateľa výstupu projektu</t>
  </si>
  <si>
    <t>Kód ukazovateľa výstupu programu</t>
  </si>
  <si>
    <t>Očakávaný stav k 31.12.2018
Ukončené a zazmluvnené projekty s plánovaným ukončení k a odhad plnenia ukazovateľov projektov s harmonogramom presahujúcim 31.12.2018</t>
  </si>
  <si>
    <t>Názov ukazovateľa výstupu programu</t>
  </si>
  <si>
    <t>CO34 (MRR)</t>
  </si>
  <si>
    <t>Výstavba zariadení využívajúcich biomasu prostredníctvom rekonštrukcie a modernizácie existujúcich energetických zariadení s maximálnym tepelným príkonom 20 MW na báze fosílnych palív          
+       Výstavba zariadení na:
•výrobu biometánu;  •využitie vodnej energie;  •využitie aerotermálnej, hydrotermálnej alebo geotermálnej energie s použitím tepelného čerpadla;
•využitie geotermálnej energie priamym využitím na výrobu tepla a prípadne aj v kombinácii s tepelným čerpadlom;  •výrobu a energetické využívanie bioplynu, skládkového plynu a plynu z čistiarní odpadových vôd             
+         Inštalácia malých zariadení na využívanie OZE</t>
  </si>
  <si>
    <t>C+E</t>
  </si>
  <si>
    <t>Podiel administratívnych kapacít vybavených materiálno-technickým vybavením z TP (!!! M.j. na projektovej úrovni je počet)</t>
  </si>
  <si>
    <t>Čiastková hodnota ukazovateľa (míľnika) alebo KIK 
k 31.12.2018</t>
  </si>
  <si>
    <t>Naplnenie míľnika 31.12.2018 skutočným stavom</t>
  </si>
  <si>
    <t>Naplnenie míľnika 31.12.2018 očakávaným stavom zazmluvnených projektov</t>
  </si>
  <si>
    <t>Naplnenie cieľovej hodnoty 31.12.2023 zazmluvnenými projektmi</t>
  </si>
  <si>
    <t xml:space="preserve">O0175  </t>
  </si>
  <si>
    <t xml:space="preserve">O0182 </t>
  </si>
  <si>
    <t xml:space="preserve">O0163 </t>
  </si>
  <si>
    <t xml:space="preserve">O0175 </t>
  </si>
  <si>
    <t xml:space="preserve">O0181 </t>
  </si>
  <si>
    <t>MRR</t>
  </si>
  <si>
    <t>VRR</t>
  </si>
  <si>
    <t>CO20/K0006</t>
  </si>
  <si>
    <t xml:space="preserve">Celková suma oprávnených výdavkov po ich certifikácii certifikačným orgánom </t>
  </si>
  <si>
    <t>Názov ukazovateľa</t>
  </si>
  <si>
    <t>Čiastkový cieľ pre rok
2018</t>
  </si>
  <si>
    <t>Cieľová hodnota pre rok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</si>
</sst>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"/>
    <numFmt numFmtId="166" formatCode="#,##0.000"/>
    <numFmt numFmtId="167" formatCode="d\.m\.yyyy"/>
    <numFmt numFmtId="168" formatCode="m\/yyyy"/>
    <numFmt numFmtId="169" formatCode="mm\/yyyy"/>
  </numFmts>
  <fonts count="4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vertAlign val="sub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5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rgb="FF7030A0"/>
      <name val="Arial Narrow"/>
      <family val="2"/>
      <charset val="238"/>
    </font>
    <font>
      <vertAlign val="subscript"/>
      <sz val="10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0"/>
      <color rgb="FF0070C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F0"/>
      <name val="Arial Narrow"/>
      <family val="2"/>
      <charset val="238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50"/>
      <name val="Arial Narrow"/>
      <family val="2"/>
      <charset val="238"/>
    </font>
    <font>
      <sz val="10"/>
      <color rgb="FF00B0F0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A30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0" borderId="0"/>
    <xf numFmtId="0" fontId="5" fillId="0" borderId="0"/>
    <xf numFmtId="9" fontId="18" fillId="0" borderId="0" applyFont="0" applyFill="0" applyBorder="0" applyAlignment="0" applyProtection="0"/>
  </cellStyleXfs>
  <cellXfs count="1219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 wrapText="1"/>
    </xf>
    <xf numFmtId="49" fontId="4" fillId="4" borderId="2" xfId="3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4" fillId="0" borderId="2" xfId="3" applyNumberFormat="1" applyFont="1" applyFill="1" applyBorder="1" applyAlignment="1">
      <alignment horizontal="center" vertical="center" wrapText="1"/>
    </xf>
    <xf numFmtId="165" fontId="4" fillId="0" borderId="0" xfId="3" applyNumberFormat="1" applyFont="1" applyFill="1" applyBorder="1" applyAlignment="1">
      <alignment horizontal="center" vertical="center" wrapText="1"/>
    </xf>
    <xf numFmtId="165" fontId="11" fillId="0" borderId="2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3" xfId="2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" fontId="4" fillId="5" borderId="2" xfId="2" applyNumberFormat="1" applyFont="1" applyFill="1" applyBorder="1" applyAlignment="1">
      <alignment horizontal="center" vertical="center" wrapText="1"/>
    </xf>
    <xf numFmtId="3" fontId="4" fillId="5" borderId="2" xfId="2" applyNumberFormat="1" applyFont="1" applyFill="1" applyBorder="1" applyAlignment="1">
      <alignment horizontal="center" vertical="center" wrapText="1"/>
    </xf>
    <xf numFmtId="165" fontId="4" fillId="5" borderId="2" xfId="2" applyNumberFormat="1" applyFont="1" applyFill="1" applyBorder="1" applyAlignment="1">
      <alignment horizontal="center" vertical="center" wrapText="1"/>
    </xf>
    <xf numFmtId="166" fontId="4" fillId="5" borderId="2" xfId="2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4" fontId="4" fillId="6" borderId="2" xfId="2" applyNumberFormat="1" applyFont="1" applyFill="1" applyBorder="1" applyAlignment="1">
      <alignment horizontal="center" vertical="center" wrapText="1"/>
    </xf>
    <xf numFmtId="3" fontId="4" fillId="6" borderId="2" xfId="2" applyNumberFormat="1" applyFont="1" applyFill="1" applyBorder="1" applyAlignment="1">
      <alignment horizontal="center" vertical="center" wrapText="1"/>
    </xf>
    <xf numFmtId="166" fontId="4" fillId="6" borderId="2" xfId="2" applyNumberFormat="1" applyFont="1" applyFill="1" applyBorder="1" applyAlignment="1">
      <alignment horizontal="center" vertical="center" wrapText="1"/>
    </xf>
    <xf numFmtId="165" fontId="4" fillId="6" borderId="2" xfId="2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4" borderId="2" xfId="3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4" fontId="4" fillId="4" borderId="2" xfId="2" applyNumberFormat="1" applyFont="1" applyFill="1" applyBorder="1" applyAlignment="1">
      <alignment horizontal="center" vertical="center" wrapText="1"/>
    </xf>
    <xf numFmtId="3" fontId="4" fillId="4" borderId="8" xfId="2" applyNumberFormat="1" applyFont="1" applyFill="1" applyBorder="1" applyAlignment="1">
      <alignment horizontal="center" vertical="center" wrapText="1"/>
    </xf>
    <xf numFmtId="3" fontId="4" fillId="4" borderId="13" xfId="2" applyNumberFormat="1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167" fontId="0" fillId="0" borderId="0" xfId="0" applyNumberFormat="1"/>
    <xf numFmtId="0" fontId="0" fillId="4" borderId="0" xfId="0" applyFill="1"/>
    <xf numFmtId="165" fontId="4" fillId="0" borderId="5" xfId="3" applyNumberFormat="1" applyFont="1" applyFill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/>
    </xf>
    <xf numFmtId="0" fontId="15" fillId="0" borderId="0" xfId="0" applyFont="1"/>
    <xf numFmtId="0" fontId="0" fillId="0" borderId="0" xfId="0" applyFill="1"/>
    <xf numFmtId="0" fontId="2" fillId="0" borderId="2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4" fillId="4" borderId="19" xfId="2" applyFont="1" applyFill="1" applyBorder="1" applyAlignment="1">
      <alignment horizontal="center" vertical="center" wrapText="1"/>
    </xf>
    <xf numFmtId="3" fontId="4" fillId="4" borderId="20" xfId="2" applyNumberFormat="1" applyFont="1" applyFill="1" applyBorder="1" applyAlignment="1">
      <alignment horizontal="center" vertical="center" wrapText="1"/>
    </xf>
    <xf numFmtId="4" fontId="4" fillId="4" borderId="20" xfId="2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4" fontId="12" fillId="0" borderId="0" xfId="0" applyNumberFormat="1" applyFont="1" applyAlignment="1">
      <alignment horizontal="center"/>
    </xf>
    <xf numFmtId="166" fontId="11" fillId="0" borderId="0" xfId="0" applyNumberFormat="1" applyFont="1"/>
    <xf numFmtId="4" fontId="11" fillId="0" borderId="0" xfId="0" applyNumberFormat="1" applyFont="1"/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0" xfId="0" applyFont="1"/>
    <xf numFmtId="49" fontId="4" fillId="0" borderId="2" xfId="3" applyNumberFormat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49" fontId="16" fillId="4" borderId="2" xfId="3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left" vertical="center" wrapText="1"/>
    </xf>
    <xf numFmtId="49" fontId="16" fillId="0" borderId="2" xfId="3" applyNumberFormat="1" applyFont="1" applyFill="1" applyBorder="1" applyAlignment="1">
      <alignment horizontal="center" vertical="center" wrapText="1"/>
    </xf>
    <xf numFmtId="3" fontId="16" fillId="0" borderId="2" xfId="2" applyNumberFormat="1" applyFont="1" applyFill="1" applyBorder="1" applyAlignment="1">
      <alignment horizontal="center" vertical="center" wrapText="1"/>
    </xf>
    <xf numFmtId="4" fontId="16" fillId="5" borderId="2" xfId="2" applyNumberFormat="1" applyFont="1" applyFill="1" applyBorder="1" applyAlignment="1">
      <alignment horizontal="center" vertical="center" wrapText="1"/>
    </xf>
    <xf numFmtId="4" fontId="16" fillId="6" borderId="2" xfId="2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2" fillId="0" borderId="0" xfId="0" applyFont="1"/>
    <xf numFmtId="0" fontId="4" fillId="0" borderId="5" xfId="2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left" vertical="center" wrapText="1"/>
    </xf>
    <xf numFmtId="49" fontId="4" fillId="0" borderId="6" xfId="3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49" fontId="4" fillId="0" borderId="26" xfId="3" applyNumberFormat="1" applyFont="1" applyFill="1" applyBorder="1" applyAlignment="1">
      <alignment horizontal="center" vertical="center" wrapText="1"/>
    </xf>
    <xf numFmtId="49" fontId="4" fillId="0" borderId="26" xfId="3" applyNumberFormat="1" applyFont="1" applyFill="1" applyBorder="1" applyAlignment="1">
      <alignment horizontal="center" vertical="center"/>
    </xf>
    <xf numFmtId="14" fontId="4" fillId="0" borderId="2" xfId="3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4" fillId="6" borderId="2" xfId="3" applyNumberFormat="1" applyFont="1" applyFill="1" applyBorder="1" applyAlignment="1">
      <alignment horizontal="center" vertical="center" wrapText="1"/>
    </xf>
    <xf numFmtId="165" fontId="4" fillId="5" borderId="2" xfId="3" applyNumberFormat="1" applyFont="1" applyFill="1" applyBorder="1" applyAlignment="1">
      <alignment horizontal="center" vertical="center" wrapText="1"/>
    </xf>
    <xf numFmtId="168" fontId="12" fillId="5" borderId="2" xfId="0" applyNumberFormat="1" applyFont="1" applyFill="1" applyBorder="1" applyAlignment="1">
      <alignment horizontal="center" vertical="center"/>
    </xf>
    <xf numFmtId="168" fontId="12" fillId="6" borderId="2" xfId="0" applyNumberFormat="1" applyFont="1" applyFill="1" applyBorder="1" applyAlignment="1">
      <alignment horizontal="center" vertical="center"/>
    </xf>
    <xf numFmtId="168" fontId="4" fillId="7" borderId="2" xfId="0" applyNumberFormat="1" applyFont="1" applyFill="1" applyBorder="1" applyAlignment="1">
      <alignment horizontal="center" vertical="center"/>
    </xf>
    <xf numFmtId="165" fontId="4" fillId="7" borderId="2" xfId="3" applyNumberFormat="1" applyFont="1" applyFill="1" applyBorder="1" applyAlignment="1">
      <alignment horizontal="center" vertical="center" wrapText="1"/>
    </xf>
    <xf numFmtId="165" fontId="4" fillId="3" borderId="2" xfId="3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9" fontId="4" fillId="0" borderId="2" xfId="3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4" fillId="0" borderId="0" xfId="1" applyFont="1" applyFill="1" applyBorder="1" applyAlignment="1">
      <alignment horizontal="center" vertical="center" wrapText="1"/>
    </xf>
    <xf numFmtId="169" fontId="4" fillId="0" borderId="0" xfId="3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left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 wrapText="1"/>
    </xf>
    <xf numFmtId="49" fontId="11" fillId="0" borderId="26" xfId="3" applyNumberFormat="1" applyFont="1" applyFill="1" applyBorder="1" applyAlignment="1">
      <alignment horizontal="center" vertical="center"/>
    </xf>
    <xf numFmtId="2" fontId="4" fillId="0" borderId="26" xfId="3" applyNumberFormat="1" applyFont="1" applyFill="1" applyBorder="1" applyAlignment="1">
      <alignment horizontal="center" vertical="center" wrapText="1"/>
    </xf>
    <xf numFmtId="2" fontId="4" fillId="0" borderId="26" xfId="3" applyNumberFormat="1" applyFont="1" applyFill="1" applyBorder="1" applyAlignment="1">
      <alignment horizontal="center" vertical="center"/>
    </xf>
    <xf numFmtId="4" fontId="16" fillId="6" borderId="0" xfId="2" applyNumberFormat="1" applyFont="1" applyFill="1" applyBorder="1" applyAlignment="1">
      <alignment horizontal="center" vertical="center" wrapText="1"/>
    </xf>
    <xf numFmtId="0" fontId="20" fillId="0" borderId="0" xfId="0" applyFont="1"/>
    <xf numFmtId="14" fontId="2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/>
    <xf numFmtId="0" fontId="12" fillId="10" borderId="27" xfId="0" applyFont="1" applyFill="1" applyBorder="1"/>
    <xf numFmtId="0" fontId="21" fillId="10" borderId="28" xfId="0" applyFont="1" applyFill="1" applyBorder="1"/>
    <xf numFmtId="0" fontId="12" fillId="10" borderId="28" xfId="0" applyFont="1" applyFill="1" applyBorder="1"/>
    <xf numFmtId="0" fontId="2" fillId="10" borderId="28" xfId="0" applyFont="1" applyFill="1" applyBorder="1"/>
    <xf numFmtId="0" fontId="12" fillId="10" borderId="29" xfId="0" applyFont="1" applyFill="1" applyBorder="1"/>
    <xf numFmtId="0" fontId="22" fillId="0" borderId="0" xfId="0" applyFont="1"/>
    <xf numFmtId="14" fontId="22" fillId="0" borderId="0" xfId="0" applyNumberFormat="1" applyFont="1" applyAlignment="1">
      <alignment horizontal="left"/>
    </xf>
    <xf numFmtId="3" fontId="19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2" fillId="10" borderId="30" xfId="0" applyFont="1" applyFill="1" applyBorder="1"/>
    <xf numFmtId="0" fontId="21" fillId="10" borderId="0" xfId="0" applyFont="1" applyFill="1" applyBorder="1"/>
    <xf numFmtId="0" fontId="12" fillId="10" borderId="0" xfId="0" applyFont="1" applyFill="1" applyBorder="1"/>
    <xf numFmtId="0" fontId="2" fillId="10" borderId="0" xfId="0" applyFont="1" applyFill="1" applyBorder="1"/>
    <xf numFmtId="0" fontId="12" fillId="10" borderId="31" xfId="0" applyFont="1" applyFill="1" applyBorder="1"/>
    <xf numFmtId="14" fontId="12" fillId="0" borderId="0" xfId="0" applyNumberFormat="1" applyFont="1"/>
    <xf numFmtId="0" fontId="12" fillId="11" borderId="0" xfId="0" applyFont="1" applyFill="1" applyBorder="1" applyAlignment="1">
      <alignment horizontal="left" vertical="center"/>
    </xf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center"/>
    </xf>
    <xf numFmtId="3" fontId="21" fillId="0" borderId="0" xfId="0" applyNumberFormat="1" applyFont="1"/>
    <xf numFmtId="3" fontId="12" fillId="10" borderId="30" xfId="0" applyNumberFormat="1" applyFont="1" applyFill="1" applyBorder="1"/>
    <xf numFmtId="3" fontId="21" fillId="10" borderId="0" xfId="0" applyNumberFormat="1" applyFont="1" applyFill="1" applyBorder="1"/>
    <xf numFmtId="0" fontId="23" fillId="12" borderId="0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10" fontId="21" fillId="10" borderId="53" xfId="4" applyNumberFormat="1" applyFont="1" applyFill="1" applyBorder="1" applyAlignment="1">
      <alignment horizontal="center" vertical="center" wrapText="1"/>
    </xf>
    <xf numFmtId="10" fontId="21" fillId="8" borderId="52" xfId="4" applyNumberFormat="1" applyFont="1" applyFill="1" applyBorder="1" applyAlignment="1">
      <alignment horizontal="center" vertical="center" wrapText="1"/>
    </xf>
    <xf numFmtId="10" fontId="21" fillId="7" borderId="52" xfId="4" applyNumberFormat="1" applyFont="1" applyFill="1" applyBorder="1" applyAlignment="1">
      <alignment horizontal="center" vertical="center" wrapText="1"/>
    </xf>
    <xf numFmtId="10" fontId="21" fillId="3" borderId="52" xfId="4" applyNumberFormat="1" applyFont="1" applyFill="1" applyBorder="1" applyAlignment="1">
      <alignment horizontal="center" vertical="center" wrapText="1"/>
    </xf>
    <xf numFmtId="10" fontId="21" fillId="10" borderId="54" xfId="4" applyNumberFormat="1" applyFont="1" applyFill="1" applyBorder="1" applyAlignment="1">
      <alignment horizontal="center" vertical="center" wrapText="1"/>
    </xf>
    <xf numFmtId="10" fontId="21" fillId="10" borderId="52" xfId="4" applyNumberFormat="1" applyFont="1" applyFill="1" applyBorder="1" applyAlignment="1">
      <alignment horizontal="center" vertical="center" wrapText="1"/>
    </xf>
    <xf numFmtId="10" fontId="21" fillId="3" borderId="55" xfId="4" applyNumberFormat="1" applyFont="1" applyFill="1" applyBorder="1" applyAlignment="1">
      <alignment horizontal="center" vertical="center" wrapText="1"/>
    </xf>
    <xf numFmtId="10" fontId="2" fillId="8" borderId="57" xfId="4" applyNumberFormat="1" applyFont="1" applyFill="1" applyBorder="1" applyAlignment="1">
      <alignment horizontal="center" vertical="center" wrapText="1"/>
    </xf>
    <xf numFmtId="10" fontId="12" fillId="15" borderId="37" xfId="4" applyNumberFormat="1" applyFont="1" applyFill="1" applyBorder="1" applyAlignment="1">
      <alignment vertical="top" wrapText="1"/>
    </xf>
    <xf numFmtId="0" fontId="12" fillId="15" borderId="37" xfId="0" applyFont="1" applyFill="1" applyBorder="1" applyAlignment="1">
      <alignment horizontal="left" vertical="top" wrapText="1"/>
    </xf>
    <xf numFmtId="0" fontId="12" fillId="15" borderId="37" xfId="0" applyFont="1" applyFill="1" applyBorder="1" applyAlignment="1">
      <alignment horizontal="center" vertical="top"/>
    </xf>
    <xf numFmtId="3" fontId="21" fillId="15" borderId="37" xfId="0" applyNumberFormat="1" applyFont="1" applyFill="1" applyBorder="1" applyAlignment="1">
      <alignment horizontal="right" vertical="top"/>
    </xf>
    <xf numFmtId="3" fontId="21" fillId="15" borderId="39" xfId="0" applyNumberFormat="1" applyFont="1" applyFill="1" applyBorder="1" applyAlignment="1">
      <alignment horizontal="right" vertical="top"/>
    </xf>
    <xf numFmtId="4" fontId="12" fillId="15" borderId="61" xfId="0" applyNumberFormat="1" applyFont="1" applyFill="1" applyBorder="1" applyAlignment="1">
      <alignment horizontal="right" vertical="top"/>
    </xf>
    <xf numFmtId="10" fontId="21" fillId="15" borderId="37" xfId="0" applyNumberFormat="1" applyFont="1" applyFill="1" applyBorder="1" applyAlignment="1">
      <alignment horizontal="right" vertical="top"/>
    </xf>
    <xf numFmtId="10" fontId="21" fillId="15" borderId="39" xfId="0" applyNumberFormat="1" applyFont="1" applyFill="1" applyBorder="1" applyAlignment="1">
      <alignment horizontal="right" vertical="top"/>
    </xf>
    <xf numFmtId="4" fontId="12" fillId="15" borderId="62" xfId="0" applyNumberFormat="1" applyFont="1" applyFill="1" applyBorder="1" applyAlignment="1">
      <alignment horizontal="right" vertical="top"/>
    </xf>
    <xf numFmtId="10" fontId="12" fillId="15" borderId="37" xfId="0" applyNumberFormat="1" applyFont="1" applyFill="1" applyBorder="1" applyAlignment="1">
      <alignment horizontal="right" vertical="top"/>
    </xf>
    <xf numFmtId="10" fontId="12" fillId="15" borderId="39" xfId="0" applyNumberFormat="1" applyFont="1" applyFill="1" applyBorder="1" applyAlignment="1">
      <alignment horizontal="right" vertical="top"/>
    </xf>
    <xf numFmtId="4" fontId="12" fillId="15" borderId="39" xfId="0" applyNumberFormat="1" applyFont="1" applyFill="1" applyBorder="1" applyAlignment="1">
      <alignment horizontal="right" vertical="top"/>
    </xf>
    <xf numFmtId="10" fontId="12" fillId="15" borderId="63" xfId="0" applyNumberFormat="1" applyFont="1" applyFill="1" applyBorder="1" applyAlignment="1">
      <alignment horizontal="right" vertical="top"/>
    </xf>
    <xf numFmtId="4" fontId="12" fillId="15" borderId="64" xfId="0" applyNumberFormat="1" applyFont="1" applyFill="1" applyBorder="1" applyAlignment="1">
      <alignment horizontal="right" vertical="top"/>
    </xf>
    <xf numFmtId="4" fontId="21" fillId="15" borderId="65" xfId="0" applyNumberFormat="1" applyFont="1" applyFill="1" applyBorder="1" applyAlignment="1">
      <alignment horizontal="right" vertical="top"/>
    </xf>
    <xf numFmtId="10" fontId="21" fillId="15" borderId="66" xfId="0" applyNumberFormat="1" applyFont="1" applyFill="1" applyBorder="1" applyAlignment="1">
      <alignment horizontal="right" vertical="top"/>
    </xf>
    <xf numFmtId="4" fontId="12" fillId="15" borderId="67" xfId="0" applyNumberFormat="1" applyFont="1" applyFill="1" applyBorder="1" applyAlignment="1">
      <alignment horizontal="right" vertical="top"/>
    </xf>
    <xf numFmtId="4" fontId="12" fillId="15" borderId="66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10" fontId="12" fillId="15" borderId="6" xfId="4" applyNumberFormat="1" applyFont="1" applyFill="1" applyBorder="1" applyAlignment="1">
      <alignment vertical="top" wrapText="1"/>
    </xf>
    <xf numFmtId="0" fontId="12" fillId="15" borderId="6" xfId="0" applyFont="1" applyFill="1" applyBorder="1" applyAlignment="1">
      <alignment horizontal="left" vertical="top" wrapText="1"/>
    </xf>
    <xf numFmtId="0" fontId="12" fillId="9" borderId="2" xfId="0" applyFont="1" applyFill="1" applyBorder="1" applyAlignment="1">
      <alignment horizontal="left" vertical="top" wrapText="1"/>
    </xf>
    <xf numFmtId="0" fontId="12" fillId="9" borderId="2" xfId="0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right" vertical="top"/>
    </xf>
    <xf numFmtId="3" fontId="21" fillId="9" borderId="3" xfId="0" applyNumberFormat="1" applyFont="1" applyFill="1" applyBorder="1" applyAlignment="1">
      <alignment horizontal="right" vertical="top"/>
    </xf>
    <xf numFmtId="4" fontId="21" fillId="9" borderId="69" xfId="0" applyNumberFormat="1" applyFont="1" applyFill="1" applyBorder="1" applyAlignment="1">
      <alignment horizontal="right" vertical="top"/>
    </xf>
    <xf numFmtId="10" fontId="21" fillId="9" borderId="2" xfId="0" applyNumberFormat="1" applyFont="1" applyFill="1" applyBorder="1" applyAlignment="1">
      <alignment horizontal="right" vertical="top"/>
    </xf>
    <xf numFmtId="10" fontId="21" fillId="9" borderId="3" xfId="0" applyNumberFormat="1" applyFont="1" applyFill="1" applyBorder="1" applyAlignment="1">
      <alignment horizontal="right" vertical="top"/>
    </xf>
    <xf numFmtId="4" fontId="21" fillId="9" borderId="8" xfId="0" applyNumberFormat="1" applyFont="1" applyFill="1" applyBorder="1" applyAlignment="1">
      <alignment horizontal="right" vertical="top"/>
    </xf>
    <xf numFmtId="10" fontId="12" fillId="9" borderId="2" xfId="0" applyNumberFormat="1" applyFont="1" applyFill="1" applyBorder="1" applyAlignment="1">
      <alignment horizontal="right" vertical="top"/>
    </xf>
    <xf numFmtId="10" fontId="12" fillId="9" borderId="3" xfId="0" applyNumberFormat="1" applyFont="1" applyFill="1" applyBorder="1" applyAlignment="1">
      <alignment horizontal="right" vertical="top"/>
    </xf>
    <xf numFmtId="4" fontId="21" fillId="9" borderId="3" xfId="0" applyNumberFormat="1" applyFont="1" applyFill="1" applyBorder="1" applyAlignment="1">
      <alignment horizontal="right" vertical="top"/>
    </xf>
    <xf numFmtId="10" fontId="21" fillId="9" borderId="9" xfId="0" applyNumberFormat="1" applyFont="1" applyFill="1" applyBorder="1" applyAlignment="1">
      <alignment horizontal="right" vertical="top"/>
    </xf>
    <xf numFmtId="4" fontId="21" fillId="9" borderId="70" xfId="0" applyNumberFormat="1" applyFont="1" applyFill="1" applyBorder="1" applyAlignment="1">
      <alignment horizontal="right" vertical="top"/>
    </xf>
    <xf numFmtId="4" fontId="21" fillId="9" borderId="71" xfId="0" applyNumberFormat="1" applyFont="1" applyFill="1" applyBorder="1" applyAlignment="1">
      <alignment horizontal="right" vertical="top"/>
    </xf>
    <xf numFmtId="10" fontId="21" fillId="9" borderId="72" xfId="0" applyNumberFormat="1" applyFont="1" applyFill="1" applyBorder="1" applyAlignment="1">
      <alignment horizontal="right" vertical="top"/>
    </xf>
    <xf numFmtId="4" fontId="21" fillId="9" borderId="26" xfId="0" applyNumberFormat="1" applyFont="1" applyFill="1" applyBorder="1" applyAlignment="1">
      <alignment horizontal="right" vertical="top"/>
    </xf>
    <xf numFmtId="4" fontId="21" fillId="9" borderId="72" xfId="0" applyNumberFormat="1" applyFont="1" applyFill="1" applyBorder="1" applyAlignment="1">
      <alignment horizontal="right" vertical="top"/>
    </xf>
    <xf numFmtId="3" fontId="21" fillId="9" borderId="6" xfId="0" applyNumberFormat="1" applyFont="1" applyFill="1" applyBorder="1" applyAlignment="1">
      <alignment horizontal="right" vertical="top"/>
    </xf>
    <xf numFmtId="4" fontId="21" fillId="9" borderId="5" xfId="0" applyNumberFormat="1" applyFont="1" applyFill="1" applyBorder="1" applyAlignment="1">
      <alignment horizontal="right" vertical="top"/>
    </xf>
    <xf numFmtId="0" fontId="12" fillId="15" borderId="2" xfId="0" applyFont="1" applyFill="1" applyBorder="1" applyAlignment="1">
      <alignment horizontal="left" vertical="top" wrapText="1"/>
    </xf>
    <xf numFmtId="0" fontId="12" fillId="15" borderId="2" xfId="0" applyFont="1" applyFill="1" applyBorder="1" applyAlignment="1">
      <alignment horizontal="center" vertical="top" wrapText="1"/>
    </xf>
    <xf numFmtId="3" fontId="21" fillId="15" borderId="6" xfId="0" applyNumberFormat="1" applyFont="1" applyFill="1" applyBorder="1" applyAlignment="1">
      <alignment horizontal="right" vertical="top"/>
    </xf>
    <xf numFmtId="3" fontId="21" fillId="15" borderId="2" xfId="0" applyNumberFormat="1" applyFont="1" applyFill="1" applyBorder="1" applyAlignment="1">
      <alignment horizontal="right" vertical="top"/>
    </xf>
    <xf numFmtId="3" fontId="21" fillId="15" borderId="3" xfId="0" applyNumberFormat="1" applyFont="1" applyFill="1" applyBorder="1" applyAlignment="1">
      <alignment horizontal="right" vertical="top"/>
    </xf>
    <xf numFmtId="4" fontId="21" fillId="15" borderId="69" xfId="0" applyNumberFormat="1" applyFont="1" applyFill="1" applyBorder="1" applyAlignment="1">
      <alignment horizontal="right" vertical="top"/>
    </xf>
    <xf numFmtId="10" fontId="21" fillId="15" borderId="2" xfId="0" applyNumberFormat="1" applyFont="1" applyFill="1" applyBorder="1" applyAlignment="1">
      <alignment horizontal="right" vertical="top"/>
    </xf>
    <xf numFmtId="10" fontId="21" fillId="15" borderId="3" xfId="0" applyNumberFormat="1" applyFont="1" applyFill="1" applyBorder="1" applyAlignment="1">
      <alignment horizontal="right" vertical="top"/>
    </xf>
    <xf numFmtId="4" fontId="21" fillId="15" borderId="8" xfId="0" applyNumberFormat="1" applyFont="1" applyFill="1" applyBorder="1" applyAlignment="1">
      <alignment horizontal="right" vertical="top"/>
    </xf>
    <xf numFmtId="10" fontId="12" fillId="15" borderId="2" xfId="0" applyNumberFormat="1" applyFont="1" applyFill="1" applyBorder="1" applyAlignment="1">
      <alignment horizontal="right" vertical="top"/>
    </xf>
    <xf numFmtId="3" fontId="12" fillId="15" borderId="2" xfId="0" applyNumberFormat="1" applyFont="1" applyFill="1" applyBorder="1" applyAlignment="1">
      <alignment horizontal="right" vertical="top"/>
    </xf>
    <xf numFmtId="4" fontId="21" fillId="15" borderId="2" xfId="0" applyNumberFormat="1" applyFont="1" applyFill="1" applyBorder="1" applyAlignment="1">
      <alignment horizontal="right" vertical="top"/>
    </xf>
    <xf numFmtId="10" fontId="21" fillId="15" borderId="9" xfId="0" applyNumberFormat="1" applyFont="1" applyFill="1" applyBorder="1" applyAlignment="1">
      <alignment horizontal="right" vertical="top"/>
    </xf>
    <xf numFmtId="4" fontId="21" fillId="15" borderId="70" xfId="0" applyNumberFormat="1" applyFont="1" applyFill="1" applyBorder="1" applyAlignment="1">
      <alignment horizontal="right" vertical="top"/>
    </xf>
    <xf numFmtId="10" fontId="21" fillId="15" borderId="72" xfId="0" applyNumberFormat="1" applyFont="1" applyFill="1" applyBorder="1" applyAlignment="1">
      <alignment horizontal="right" vertical="top"/>
    </xf>
    <xf numFmtId="4" fontId="21" fillId="15" borderId="5" xfId="0" applyNumberFormat="1" applyFont="1" applyFill="1" applyBorder="1" applyAlignment="1">
      <alignment horizontal="right" vertical="top"/>
    </xf>
    <xf numFmtId="4" fontId="21" fillId="15" borderId="72" xfId="0" applyNumberFormat="1" applyFont="1" applyFill="1" applyBorder="1" applyAlignment="1">
      <alignment horizontal="right" vertical="top"/>
    </xf>
    <xf numFmtId="10" fontId="12" fillId="15" borderId="20" xfId="4" applyNumberFormat="1" applyFont="1" applyFill="1" applyBorder="1" applyAlignment="1">
      <alignment vertical="top" wrapText="1"/>
    </xf>
    <xf numFmtId="0" fontId="12" fillId="15" borderId="20" xfId="0" applyFont="1" applyFill="1" applyBorder="1" applyAlignment="1">
      <alignment horizontal="left" vertical="top" wrapText="1"/>
    </xf>
    <xf numFmtId="0" fontId="12" fillId="15" borderId="20" xfId="0" applyFont="1" applyFill="1" applyBorder="1" applyAlignment="1">
      <alignment horizontal="center" vertical="top" wrapText="1"/>
    </xf>
    <xf numFmtId="3" fontId="21" fillId="15" borderId="20" xfId="0" applyNumberFormat="1" applyFont="1" applyFill="1" applyBorder="1" applyAlignment="1">
      <alignment horizontal="right" vertical="top"/>
    </xf>
    <xf numFmtId="3" fontId="21" fillId="15" borderId="73" xfId="0" applyNumberFormat="1" applyFont="1" applyFill="1" applyBorder="1" applyAlignment="1">
      <alignment horizontal="right" vertical="top"/>
    </xf>
    <xf numFmtId="4" fontId="21" fillId="15" borderId="74" xfId="0" applyNumberFormat="1" applyFont="1" applyFill="1" applyBorder="1" applyAlignment="1">
      <alignment horizontal="right" vertical="top"/>
    </xf>
    <xf numFmtId="10" fontId="21" fillId="15" borderId="20" xfId="0" applyNumberFormat="1" applyFont="1" applyFill="1" applyBorder="1" applyAlignment="1">
      <alignment horizontal="right" vertical="top"/>
    </xf>
    <xf numFmtId="10" fontId="21" fillId="15" borderId="73" xfId="0" applyNumberFormat="1" applyFont="1" applyFill="1" applyBorder="1" applyAlignment="1">
      <alignment horizontal="right" vertical="top"/>
    </xf>
    <xf numFmtId="4" fontId="21" fillId="15" borderId="19" xfId="0" applyNumberFormat="1" applyFont="1" applyFill="1" applyBorder="1" applyAlignment="1">
      <alignment horizontal="right" vertical="top"/>
    </xf>
    <xf numFmtId="10" fontId="12" fillId="15" borderId="20" xfId="0" applyNumberFormat="1" applyFont="1" applyFill="1" applyBorder="1" applyAlignment="1">
      <alignment horizontal="right" vertical="top"/>
    </xf>
    <xf numFmtId="3" fontId="12" fillId="15" borderId="73" xfId="0" applyNumberFormat="1" applyFont="1" applyFill="1" applyBorder="1" applyAlignment="1">
      <alignment horizontal="right" vertical="top"/>
    </xf>
    <xf numFmtId="4" fontId="21" fillId="15" borderId="73" xfId="0" applyNumberFormat="1" applyFont="1" applyFill="1" applyBorder="1" applyAlignment="1">
      <alignment horizontal="right" vertical="top"/>
    </xf>
    <xf numFmtId="10" fontId="21" fillId="15" borderId="22" xfId="0" applyNumberFormat="1" applyFont="1" applyFill="1" applyBorder="1" applyAlignment="1">
      <alignment horizontal="right" vertical="top"/>
    </xf>
    <xf numFmtId="4" fontId="21" fillId="15" borderId="75" xfId="0" applyNumberFormat="1" applyFont="1" applyFill="1" applyBorder="1" applyAlignment="1">
      <alignment horizontal="right" vertical="top"/>
    </xf>
    <xf numFmtId="4" fontId="21" fillId="15" borderId="76" xfId="0" applyNumberFormat="1" applyFont="1" applyFill="1" applyBorder="1" applyAlignment="1">
      <alignment horizontal="right" vertical="top"/>
    </xf>
    <xf numFmtId="10" fontId="21" fillId="15" borderId="77" xfId="0" applyNumberFormat="1" applyFont="1" applyFill="1" applyBorder="1" applyAlignment="1">
      <alignment horizontal="right" vertical="top"/>
    </xf>
    <xf numFmtId="4" fontId="21" fillId="15" borderId="78" xfId="0" applyNumberFormat="1" applyFont="1" applyFill="1" applyBorder="1" applyAlignment="1">
      <alignment horizontal="right" vertical="top"/>
    </xf>
    <xf numFmtId="4" fontId="21" fillId="15" borderId="77" xfId="0" applyNumberFormat="1" applyFont="1" applyFill="1" applyBorder="1" applyAlignment="1">
      <alignment horizontal="right" vertical="top"/>
    </xf>
    <xf numFmtId="16" fontId="21" fillId="15" borderId="7" xfId="0" applyNumberFormat="1" applyFont="1" applyFill="1" applyBorder="1" applyAlignment="1">
      <alignment vertical="top" wrapText="1"/>
    </xf>
    <xf numFmtId="49" fontId="12" fillId="15" borderId="17" xfId="0" applyNumberFormat="1" applyFont="1" applyFill="1" applyBorder="1" applyAlignment="1">
      <alignment vertical="top" wrapText="1"/>
    </xf>
    <xf numFmtId="10" fontId="12" fillId="15" borderId="17" xfId="4" applyNumberFormat="1" applyFont="1" applyFill="1" applyBorder="1" applyAlignment="1">
      <alignment vertical="top" wrapText="1"/>
    </xf>
    <xf numFmtId="0" fontId="12" fillId="15" borderId="6" xfId="0" applyFont="1" applyFill="1" applyBorder="1" applyAlignment="1">
      <alignment vertical="top" wrapText="1"/>
    </xf>
    <xf numFmtId="4" fontId="21" fillId="9" borderId="2" xfId="0" applyNumberFormat="1" applyFont="1" applyFill="1" applyBorder="1" applyAlignment="1">
      <alignment horizontal="right" vertical="top"/>
    </xf>
    <xf numFmtId="49" fontId="12" fillId="15" borderId="6" xfId="0" applyNumberFormat="1" applyFont="1" applyFill="1" applyBorder="1" applyAlignment="1">
      <alignment vertical="top" wrapText="1"/>
    </xf>
    <xf numFmtId="10" fontId="12" fillId="15" borderId="2" xfId="4" applyNumberFormat="1" applyFont="1" applyFill="1" applyBorder="1" applyAlignment="1">
      <alignment horizontal="left" vertical="top" wrapText="1"/>
    </xf>
    <xf numFmtId="16" fontId="21" fillId="15" borderId="21" xfId="0" applyNumberFormat="1" applyFont="1" applyFill="1" applyBorder="1" applyAlignment="1">
      <alignment vertical="top" wrapText="1"/>
    </xf>
    <xf numFmtId="3" fontId="12" fillId="15" borderId="20" xfId="0" applyNumberFormat="1" applyFont="1" applyFill="1" applyBorder="1" applyAlignment="1">
      <alignment horizontal="right" vertical="top"/>
    </xf>
    <xf numFmtId="4" fontId="21" fillId="15" borderId="20" xfId="0" applyNumberFormat="1" applyFont="1" applyFill="1" applyBorder="1" applyAlignment="1">
      <alignment horizontal="right" vertical="top"/>
    </xf>
    <xf numFmtId="4" fontId="21" fillId="15" borderId="80" xfId="0" applyNumberFormat="1" applyFont="1" applyFill="1" applyBorder="1" applyAlignment="1">
      <alignment horizontal="right" vertical="top"/>
    </xf>
    <xf numFmtId="49" fontId="12" fillId="15" borderId="7" xfId="0" applyNumberFormat="1" applyFont="1" applyFill="1" applyBorder="1" applyAlignment="1">
      <alignment vertical="top" wrapText="1"/>
    </xf>
    <xf numFmtId="10" fontId="12" fillId="15" borderId="7" xfId="4" applyNumberFormat="1" applyFont="1" applyFill="1" applyBorder="1" applyAlignment="1">
      <alignment vertical="top" wrapText="1"/>
    </xf>
    <xf numFmtId="0" fontId="12" fillId="15" borderId="7" xfId="0" applyFont="1" applyFill="1" applyBorder="1" applyAlignment="1">
      <alignment vertical="top" wrapText="1"/>
    </xf>
    <xf numFmtId="3" fontId="21" fillId="15" borderId="24" xfId="0" applyNumberFormat="1" applyFont="1" applyFill="1" applyBorder="1" applyAlignment="1">
      <alignment horizontal="right" vertical="top"/>
    </xf>
    <xf numFmtId="10" fontId="21" fillId="15" borderId="2" xfId="4" applyNumberFormat="1" applyFont="1" applyFill="1" applyBorder="1" applyAlignment="1">
      <alignment vertical="top" wrapText="1"/>
    </xf>
    <xf numFmtId="0" fontId="12" fillId="15" borderId="2" xfId="0" applyFont="1" applyFill="1" applyBorder="1" applyAlignment="1">
      <alignment vertical="top" wrapText="1"/>
    </xf>
    <xf numFmtId="49" fontId="12" fillId="15" borderId="21" xfId="0" applyNumberFormat="1" applyFont="1" applyFill="1" applyBorder="1" applyAlignment="1">
      <alignment vertical="top" wrapText="1"/>
    </xf>
    <xf numFmtId="10" fontId="12" fillId="15" borderId="21" xfId="4" applyNumberFormat="1" applyFont="1" applyFill="1" applyBorder="1" applyAlignment="1">
      <alignment vertical="top" wrapText="1"/>
    </xf>
    <xf numFmtId="0" fontId="12" fillId="15" borderId="4" xfId="0" applyFont="1" applyFill="1" applyBorder="1" applyAlignment="1">
      <alignment horizontal="left" vertical="top" wrapText="1"/>
    </xf>
    <xf numFmtId="0" fontId="12" fillId="15" borderId="4" xfId="0" applyFont="1" applyFill="1" applyBorder="1" applyAlignment="1">
      <alignment horizontal="center" vertical="top" wrapText="1"/>
    </xf>
    <xf numFmtId="3" fontId="21" fillId="15" borderId="4" xfId="0" applyNumberFormat="1" applyFont="1" applyFill="1" applyBorder="1" applyAlignment="1">
      <alignment horizontal="right" vertical="top"/>
    </xf>
    <xf numFmtId="4" fontId="21" fillId="15" borderId="81" xfId="0" applyNumberFormat="1" applyFont="1" applyFill="1" applyBorder="1" applyAlignment="1">
      <alignment horizontal="right" vertical="top"/>
    </xf>
    <xf numFmtId="10" fontId="21" fillId="15" borderId="4" xfId="0" applyNumberFormat="1" applyFont="1" applyFill="1" applyBorder="1" applyAlignment="1">
      <alignment horizontal="right" vertical="top"/>
    </xf>
    <xf numFmtId="10" fontId="21" fillId="15" borderId="24" xfId="0" applyNumberFormat="1" applyFont="1" applyFill="1" applyBorder="1" applyAlignment="1">
      <alignment horizontal="right" vertical="top"/>
    </xf>
    <xf numFmtId="4" fontId="21" fillId="15" borderId="82" xfId="0" applyNumberFormat="1" applyFont="1" applyFill="1" applyBorder="1" applyAlignment="1">
      <alignment horizontal="right" vertical="top"/>
    </xf>
    <xf numFmtId="10" fontId="12" fillId="15" borderId="4" xfId="0" applyNumberFormat="1" applyFont="1" applyFill="1" applyBorder="1" applyAlignment="1">
      <alignment horizontal="right" vertical="top"/>
    </xf>
    <xf numFmtId="3" fontId="12" fillId="15" borderId="24" xfId="0" applyNumberFormat="1" applyFont="1" applyFill="1" applyBorder="1" applyAlignment="1">
      <alignment horizontal="right" vertical="top"/>
    </xf>
    <xf numFmtId="4" fontId="21" fillId="15" borderId="24" xfId="0" applyNumberFormat="1" applyFont="1" applyFill="1" applyBorder="1" applyAlignment="1">
      <alignment horizontal="right" vertical="top"/>
    </xf>
    <xf numFmtId="10" fontId="21" fillId="15" borderId="10" xfId="0" applyNumberFormat="1" applyFont="1" applyFill="1" applyBorder="1" applyAlignment="1">
      <alignment horizontal="right" vertical="top"/>
    </xf>
    <xf numFmtId="4" fontId="21" fillId="15" borderId="83" xfId="0" applyNumberFormat="1" applyFont="1" applyFill="1" applyBorder="1" applyAlignment="1">
      <alignment horizontal="right" vertical="top"/>
    </xf>
    <xf numFmtId="4" fontId="21" fillId="15" borderId="42" xfId="0" applyNumberFormat="1" applyFont="1" applyFill="1" applyBorder="1" applyAlignment="1">
      <alignment horizontal="right" vertical="top"/>
    </xf>
    <xf numFmtId="10" fontId="21" fillId="15" borderId="84" xfId="0" applyNumberFormat="1" applyFont="1" applyFill="1" applyBorder="1" applyAlignment="1">
      <alignment horizontal="right" vertical="top"/>
    </xf>
    <xf numFmtId="4" fontId="21" fillId="15" borderId="41" xfId="0" applyNumberFormat="1" applyFont="1" applyFill="1" applyBorder="1" applyAlignment="1">
      <alignment horizontal="right" vertical="top"/>
    </xf>
    <xf numFmtId="4" fontId="21" fillId="15" borderId="84" xfId="0" applyNumberFormat="1" applyFont="1" applyFill="1" applyBorder="1" applyAlignment="1">
      <alignment horizontal="right" vertical="top"/>
    </xf>
    <xf numFmtId="3" fontId="12" fillId="15" borderId="3" xfId="0" applyNumberFormat="1" applyFont="1" applyFill="1" applyBorder="1" applyAlignment="1">
      <alignment horizontal="right" vertical="top"/>
    </xf>
    <xf numFmtId="4" fontId="21" fillId="15" borderId="3" xfId="0" applyNumberFormat="1" applyFont="1" applyFill="1" applyBorder="1" applyAlignment="1">
      <alignment horizontal="right" vertical="top"/>
    </xf>
    <xf numFmtId="4" fontId="21" fillId="15" borderId="71" xfId="0" applyNumberFormat="1" applyFont="1" applyFill="1" applyBorder="1" applyAlignment="1">
      <alignment horizontal="right" vertical="top"/>
    </xf>
    <xf numFmtId="4" fontId="21" fillId="15" borderId="26" xfId="0" applyNumberFormat="1" applyFont="1" applyFill="1" applyBorder="1" applyAlignment="1">
      <alignment horizontal="right" vertical="top"/>
    </xf>
    <xf numFmtId="4" fontId="12" fillId="15" borderId="69" xfId="0" applyNumberFormat="1" applyFont="1" applyFill="1" applyBorder="1" applyAlignment="1">
      <alignment horizontal="right" vertical="top"/>
    </xf>
    <xf numFmtId="4" fontId="12" fillId="15" borderId="8" xfId="0" applyNumberFormat="1" applyFont="1" applyFill="1" applyBorder="1" applyAlignment="1">
      <alignment horizontal="right" vertical="top"/>
    </xf>
    <xf numFmtId="4" fontId="12" fillId="15" borderId="3" xfId="0" applyNumberFormat="1" applyFont="1" applyFill="1" applyBorder="1" applyAlignment="1">
      <alignment horizontal="right" vertical="top"/>
    </xf>
    <xf numFmtId="10" fontId="12" fillId="15" borderId="9" xfId="0" applyNumberFormat="1" applyFont="1" applyFill="1" applyBorder="1" applyAlignment="1">
      <alignment horizontal="right" vertical="top"/>
    </xf>
    <xf numFmtId="4" fontId="12" fillId="15" borderId="70" xfId="0" applyNumberFormat="1" applyFont="1" applyFill="1" applyBorder="1" applyAlignment="1">
      <alignment horizontal="right" vertical="top"/>
    </xf>
    <xf numFmtId="4" fontId="12" fillId="15" borderId="26" xfId="0" applyNumberFormat="1" applyFont="1" applyFill="1" applyBorder="1" applyAlignment="1">
      <alignment horizontal="right" vertical="top"/>
    </xf>
    <xf numFmtId="4" fontId="12" fillId="15" borderId="72" xfId="0" applyNumberFormat="1" applyFont="1" applyFill="1" applyBorder="1" applyAlignment="1">
      <alignment horizontal="right" vertical="top"/>
    </xf>
    <xf numFmtId="49" fontId="12" fillId="15" borderId="2" xfId="0" applyNumberFormat="1" applyFont="1" applyFill="1" applyBorder="1" applyAlignment="1">
      <alignment horizontal="left" vertical="top" wrapText="1"/>
    </xf>
    <xf numFmtId="0" fontId="12" fillId="15" borderId="25" xfId="0" applyFont="1" applyFill="1" applyBorder="1" applyAlignment="1">
      <alignment horizontal="left" vertical="top" wrapText="1"/>
    </xf>
    <xf numFmtId="0" fontId="12" fillId="15" borderId="6" xfId="0" applyFont="1" applyFill="1" applyBorder="1" applyAlignment="1">
      <alignment horizontal="center" vertical="top" wrapText="1"/>
    </xf>
    <xf numFmtId="4" fontId="12" fillId="15" borderId="74" xfId="0" applyNumberFormat="1" applyFont="1" applyFill="1" applyBorder="1" applyAlignment="1">
      <alignment horizontal="right" vertical="top"/>
    </xf>
    <xf numFmtId="4" fontId="12" fillId="15" borderId="19" xfId="0" applyNumberFormat="1" applyFont="1" applyFill="1" applyBorder="1" applyAlignment="1">
      <alignment horizontal="right" vertical="top"/>
    </xf>
    <xf numFmtId="4" fontId="12" fillId="15" borderId="73" xfId="0" applyNumberFormat="1" applyFont="1" applyFill="1" applyBorder="1" applyAlignment="1">
      <alignment horizontal="right" vertical="top"/>
    </xf>
    <xf numFmtId="10" fontId="12" fillId="15" borderId="22" xfId="0" applyNumberFormat="1" applyFont="1" applyFill="1" applyBorder="1" applyAlignment="1">
      <alignment horizontal="right" vertical="top"/>
    </xf>
    <xf numFmtId="4" fontId="12" fillId="15" borderId="75" xfId="0" applyNumberFormat="1" applyFont="1" applyFill="1" applyBorder="1" applyAlignment="1">
      <alignment horizontal="right" vertical="top"/>
    </xf>
    <xf numFmtId="4" fontId="21" fillId="15" borderId="30" xfId="0" applyNumberFormat="1" applyFont="1" applyFill="1" applyBorder="1" applyAlignment="1">
      <alignment horizontal="right" vertical="top"/>
    </xf>
    <xf numFmtId="10" fontId="21" fillId="15" borderId="47" xfId="0" applyNumberFormat="1" applyFont="1" applyFill="1" applyBorder="1" applyAlignment="1">
      <alignment horizontal="right" vertical="top"/>
    </xf>
    <xf numFmtId="4" fontId="12" fillId="15" borderId="0" xfId="0" applyNumberFormat="1" applyFont="1" applyFill="1" applyBorder="1" applyAlignment="1">
      <alignment horizontal="right" vertical="top"/>
    </xf>
    <xf numFmtId="4" fontId="12" fillId="15" borderId="47" xfId="0" applyNumberFormat="1" applyFont="1" applyFill="1" applyBorder="1" applyAlignment="1">
      <alignment horizontal="right" vertical="top"/>
    </xf>
    <xf numFmtId="0" fontId="4" fillId="9" borderId="88" xfId="0" applyFont="1" applyFill="1" applyBorder="1" applyAlignment="1">
      <alignment horizontal="left" vertical="top" wrapText="1"/>
    </xf>
    <xf numFmtId="0" fontId="4" fillId="9" borderId="88" xfId="0" applyFont="1" applyFill="1" applyBorder="1" applyAlignment="1">
      <alignment horizontal="center" vertical="top" wrapText="1"/>
    </xf>
    <xf numFmtId="3" fontId="2" fillId="9" borderId="88" xfId="0" applyNumberFormat="1" applyFont="1" applyFill="1" applyBorder="1" applyAlignment="1">
      <alignment horizontal="right" vertical="top"/>
    </xf>
    <xf numFmtId="3" fontId="2" fillId="9" borderId="89" xfId="0" applyNumberFormat="1" applyFont="1" applyFill="1" applyBorder="1" applyAlignment="1">
      <alignment horizontal="right" vertical="top"/>
    </xf>
    <xf numFmtId="4" fontId="4" fillId="9" borderId="90" xfId="0" applyNumberFormat="1" applyFont="1" applyFill="1" applyBorder="1" applyAlignment="1">
      <alignment horizontal="right" vertical="top"/>
    </xf>
    <xf numFmtId="10" fontId="2" fillId="9" borderId="88" xfId="0" applyNumberFormat="1" applyFont="1" applyFill="1" applyBorder="1" applyAlignment="1">
      <alignment horizontal="right" vertical="top"/>
    </xf>
    <xf numFmtId="10" fontId="2" fillId="9" borderId="89" xfId="0" applyNumberFormat="1" applyFont="1" applyFill="1" applyBorder="1" applyAlignment="1">
      <alignment horizontal="right" vertical="top"/>
    </xf>
    <xf numFmtId="4" fontId="23" fillId="9" borderId="91" xfId="0" applyNumberFormat="1" applyFont="1" applyFill="1" applyBorder="1" applyAlignment="1">
      <alignment horizontal="right" vertical="top"/>
    </xf>
    <xf numFmtId="10" fontId="23" fillId="9" borderId="88" xfId="0" applyNumberFormat="1" applyFont="1" applyFill="1" applyBorder="1" applyAlignment="1">
      <alignment horizontal="right" vertical="top"/>
    </xf>
    <xf numFmtId="3" fontId="23" fillId="9" borderId="89" xfId="0" applyNumberFormat="1" applyFont="1" applyFill="1" applyBorder="1" applyAlignment="1">
      <alignment horizontal="right" vertical="top"/>
    </xf>
    <xf numFmtId="4" fontId="23" fillId="9" borderId="89" xfId="0" applyNumberFormat="1" applyFont="1" applyFill="1" applyBorder="1" applyAlignment="1">
      <alignment horizontal="right" vertical="top"/>
    </xf>
    <xf numFmtId="10" fontId="26" fillId="9" borderId="88" xfId="0" applyNumberFormat="1" applyFont="1" applyFill="1" applyBorder="1" applyAlignment="1">
      <alignment horizontal="right" vertical="top"/>
    </xf>
    <xf numFmtId="10" fontId="23" fillId="9" borderId="92" xfId="0" applyNumberFormat="1" applyFont="1" applyFill="1" applyBorder="1" applyAlignment="1">
      <alignment horizontal="right" vertical="top"/>
    </xf>
    <xf numFmtId="4" fontId="23" fillId="9" borderId="93" xfId="0" applyNumberFormat="1" applyFont="1" applyFill="1" applyBorder="1" applyAlignment="1">
      <alignment horizontal="right" vertical="top"/>
    </xf>
    <xf numFmtId="4" fontId="26" fillId="9" borderId="94" xfId="0" applyNumberFormat="1" applyFont="1" applyFill="1" applyBorder="1" applyAlignment="1">
      <alignment horizontal="right" vertical="top"/>
    </xf>
    <xf numFmtId="10" fontId="26" fillId="9" borderId="95" xfId="0" applyNumberFormat="1" applyFont="1" applyFill="1" applyBorder="1" applyAlignment="1">
      <alignment horizontal="right" vertical="top"/>
    </xf>
    <xf numFmtId="4" fontId="4" fillId="9" borderId="96" xfId="0" applyNumberFormat="1" applyFont="1" applyFill="1" applyBorder="1" applyAlignment="1">
      <alignment horizontal="right" vertical="top"/>
    </xf>
    <xf numFmtId="4" fontId="4" fillId="9" borderId="95" xfId="0" applyNumberFormat="1" applyFont="1" applyFill="1" applyBorder="1" applyAlignment="1">
      <alignment horizontal="right" vertical="top"/>
    </xf>
    <xf numFmtId="10" fontId="21" fillId="9" borderId="88" xfId="0" applyNumberFormat="1" applyFont="1" applyFill="1" applyBorder="1" applyAlignment="1">
      <alignment horizontal="right" vertical="top"/>
    </xf>
    <xf numFmtId="0" fontId="4" fillId="0" borderId="0" xfId="0" applyFont="1"/>
    <xf numFmtId="10" fontId="4" fillId="16" borderId="2" xfId="4" applyNumberFormat="1" applyFont="1" applyFill="1" applyBorder="1" applyAlignment="1">
      <alignment horizontal="left" vertical="top" wrapText="1"/>
    </xf>
    <xf numFmtId="0" fontId="4" fillId="16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3" fontId="2" fillId="9" borderId="2" xfId="0" applyNumberFormat="1" applyFont="1" applyFill="1" applyBorder="1" applyAlignment="1">
      <alignment horizontal="right" vertical="top"/>
    </xf>
    <xf numFmtId="3" fontId="2" fillId="9" borderId="3" xfId="0" applyNumberFormat="1" applyFont="1" applyFill="1" applyBorder="1" applyAlignment="1">
      <alignment horizontal="right" vertical="top"/>
    </xf>
    <xf numFmtId="4" fontId="4" fillId="9" borderId="97" xfId="0" applyNumberFormat="1" applyFont="1" applyFill="1" applyBorder="1" applyAlignment="1">
      <alignment horizontal="right" vertical="top"/>
    </xf>
    <xf numFmtId="10" fontId="2" fillId="9" borderId="2" xfId="0" applyNumberFormat="1" applyFont="1" applyFill="1" applyBorder="1" applyAlignment="1">
      <alignment horizontal="right" vertical="top"/>
    </xf>
    <xf numFmtId="10" fontId="2" fillId="9" borderId="3" xfId="0" applyNumberFormat="1" applyFont="1" applyFill="1" applyBorder="1" applyAlignment="1">
      <alignment horizontal="right" vertical="top"/>
    </xf>
    <xf numFmtId="4" fontId="4" fillId="9" borderId="71" xfId="0" applyNumberFormat="1" applyFont="1" applyFill="1" applyBorder="1" applyAlignment="1">
      <alignment horizontal="right" vertical="top"/>
    </xf>
    <xf numFmtId="10" fontId="4" fillId="9" borderId="2" xfId="0" applyNumberFormat="1" applyFont="1" applyFill="1" applyBorder="1" applyAlignment="1">
      <alignment horizontal="right" vertical="top"/>
    </xf>
    <xf numFmtId="10" fontId="4" fillId="9" borderId="24" xfId="0" applyNumberFormat="1" applyFont="1" applyFill="1" applyBorder="1" applyAlignment="1">
      <alignment horizontal="right" vertical="top"/>
    </xf>
    <xf numFmtId="3" fontId="4" fillId="9" borderId="3" xfId="0" applyNumberFormat="1" applyFont="1" applyFill="1" applyBorder="1" applyAlignment="1">
      <alignment horizontal="right" vertical="top"/>
    </xf>
    <xf numFmtId="4" fontId="4" fillId="9" borderId="3" xfId="0" applyNumberFormat="1" applyFont="1" applyFill="1" applyBorder="1" applyAlignment="1">
      <alignment horizontal="right" vertical="top"/>
    </xf>
    <xf numFmtId="10" fontId="4" fillId="9" borderId="9" xfId="0" applyNumberFormat="1" applyFont="1" applyFill="1" applyBorder="1" applyAlignment="1">
      <alignment horizontal="right" vertical="top"/>
    </xf>
    <xf numFmtId="4" fontId="4" fillId="9" borderId="70" xfId="0" applyNumberFormat="1" applyFont="1" applyFill="1" applyBorder="1" applyAlignment="1">
      <alignment horizontal="right" vertical="top"/>
    </xf>
    <xf numFmtId="4" fontId="2" fillId="9" borderId="71" xfId="0" applyNumberFormat="1" applyFont="1" applyFill="1" applyBorder="1" applyAlignment="1">
      <alignment horizontal="right" vertical="top"/>
    </xf>
    <xf numFmtId="10" fontId="2" fillId="9" borderId="72" xfId="0" applyNumberFormat="1" applyFont="1" applyFill="1" applyBorder="1" applyAlignment="1">
      <alignment horizontal="right" vertical="top"/>
    </xf>
    <xf numFmtId="4" fontId="4" fillId="9" borderId="26" xfId="0" applyNumberFormat="1" applyFont="1" applyFill="1" applyBorder="1" applyAlignment="1">
      <alignment horizontal="right" vertical="top"/>
    </xf>
    <xf numFmtId="4" fontId="4" fillId="9" borderId="72" xfId="0" applyNumberFormat="1" applyFont="1" applyFill="1" applyBorder="1" applyAlignment="1">
      <alignment horizontal="right" vertical="top"/>
    </xf>
    <xf numFmtId="10" fontId="4" fillId="9" borderId="3" xfId="0" applyNumberFormat="1" applyFont="1" applyFill="1" applyBorder="1" applyAlignment="1">
      <alignment horizontal="right" vertical="top"/>
    </xf>
    <xf numFmtId="0" fontId="4" fillId="16" borderId="2" xfId="0" applyFont="1" applyFill="1" applyBorder="1" applyAlignment="1">
      <alignment horizontal="center" vertical="top" wrapText="1"/>
    </xf>
    <xf numFmtId="3" fontId="2" fillId="16" borderId="2" xfId="0" applyNumberFormat="1" applyFont="1" applyFill="1" applyBorder="1" applyAlignment="1">
      <alignment horizontal="right" vertical="top"/>
    </xf>
    <xf numFmtId="3" fontId="2" fillId="16" borderId="3" xfId="0" applyNumberFormat="1" applyFont="1" applyFill="1" applyBorder="1" applyAlignment="1">
      <alignment horizontal="right" vertical="top"/>
    </xf>
    <xf numFmtId="4" fontId="4" fillId="16" borderId="69" xfId="0" applyNumberFormat="1" applyFont="1" applyFill="1" applyBorder="1" applyAlignment="1">
      <alignment horizontal="right" vertical="top"/>
    </xf>
    <xf numFmtId="10" fontId="2" fillId="16" borderId="2" xfId="0" applyNumberFormat="1" applyFont="1" applyFill="1" applyBorder="1" applyAlignment="1">
      <alignment horizontal="right" vertical="top"/>
    </xf>
    <xf numFmtId="10" fontId="2" fillId="16" borderId="3" xfId="0" applyNumberFormat="1" applyFont="1" applyFill="1" applyBorder="1" applyAlignment="1">
      <alignment horizontal="right" vertical="top"/>
    </xf>
    <xf numFmtId="4" fontId="4" fillId="16" borderId="8" xfId="0" applyNumberFormat="1" applyFont="1" applyFill="1" applyBorder="1" applyAlignment="1">
      <alignment horizontal="right" vertical="top"/>
    </xf>
    <xf numFmtId="10" fontId="4" fillId="16" borderId="2" xfId="0" applyNumberFormat="1" applyFont="1" applyFill="1" applyBorder="1" applyAlignment="1">
      <alignment horizontal="right" vertical="top"/>
    </xf>
    <xf numFmtId="3" fontId="4" fillId="16" borderId="3" xfId="0" applyNumberFormat="1" applyFont="1" applyFill="1" applyBorder="1" applyAlignment="1">
      <alignment horizontal="right" vertical="top"/>
    </xf>
    <xf numFmtId="4" fontId="4" fillId="16" borderId="3" xfId="0" applyNumberFormat="1" applyFont="1" applyFill="1" applyBorder="1" applyAlignment="1">
      <alignment horizontal="right" vertical="top"/>
    </xf>
    <xf numFmtId="10" fontId="4" fillId="16" borderId="9" xfId="0" applyNumberFormat="1" applyFont="1" applyFill="1" applyBorder="1" applyAlignment="1">
      <alignment horizontal="right" vertical="top"/>
    </xf>
    <xf numFmtId="4" fontId="4" fillId="16" borderId="70" xfId="0" applyNumberFormat="1" applyFont="1" applyFill="1" applyBorder="1" applyAlignment="1">
      <alignment horizontal="right" vertical="top"/>
    </xf>
    <xf numFmtId="4" fontId="2" fillId="16" borderId="71" xfId="0" applyNumberFormat="1" applyFont="1" applyFill="1" applyBorder="1" applyAlignment="1">
      <alignment horizontal="right" vertical="top"/>
    </xf>
    <xf numFmtId="10" fontId="2" fillId="16" borderId="72" xfId="0" applyNumberFormat="1" applyFont="1" applyFill="1" applyBorder="1" applyAlignment="1">
      <alignment horizontal="right" vertical="top"/>
    </xf>
    <xf numFmtId="4" fontId="4" fillId="16" borderId="26" xfId="0" applyNumberFormat="1" applyFont="1" applyFill="1" applyBorder="1" applyAlignment="1">
      <alignment horizontal="right" vertical="top"/>
    </xf>
    <xf numFmtId="4" fontId="4" fillId="16" borderId="72" xfId="0" applyNumberFormat="1" applyFont="1" applyFill="1" applyBorder="1" applyAlignment="1">
      <alignment horizontal="right" vertical="top"/>
    </xf>
    <xf numFmtId="10" fontId="4" fillId="16" borderId="2" xfId="4" applyNumberFormat="1" applyFont="1" applyFill="1" applyBorder="1" applyAlignment="1">
      <alignment vertical="top" wrapText="1"/>
    </xf>
    <xf numFmtId="49" fontId="4" fillId="16" borderId="6" xfId="0" applyNumberFormat="1" applyFont="1" applyFill="1" applyBorder="1" applyAlignment="1">
      <alignment vertical="top" wrapText="1"/>
    </xf>
    <xf numFmtId="10" fontId="4" fillId="16" borderId="6" xfId="4" applyNumberFormat="1" applyFont="1" applyFill="1" applyBorder="1" applyAlignment="1">
      <alignment vertical="top" wrapText="1"/>
    </xf>
    <xf numFmtId="10" fontId="4" fillId="16" borderId="7" xfId="4" applyNumberFormat="1" applyFont="1" applyFill="1" applyBorder="1" applyAlignment="1">
      <alignment vertical="top" wrapText="1"/>
    </xf>
    <xf numFmtId="0" fontId="4" fillId="16" borderId="6" xfId="0" applyFont="1" applyFill="1" applyBorder="1" applyAlignment="1">
      <alignment horizontal="left" vertical="top" wrapText="1"/>
    </xf>
    <xf numFmtId="0" fontId="4" fillId="16" borderId="6" xfId="0" applyFont="1" applyFill="1" applyBorder="1" applyAlignment="1">
      <alignment horizontal="center" vertical="top" wrapText="1"/>
    </xf>
    <xf numFmtId="3" fontId="2" fillId="16" borderId="6" xfId="0" applyNumberFormat="1" applyFont="1" applyFill="1" applyBorder="1" applyAlignment="1">
      <alignment horizontal="right" vertical="top"/>
    </xf>
    <xf numFmtId="3" fontId="2" fillId="16" borderId="15" xfId="0" applyNumberFormat="1" applyFont="1" applyFill="1" applyBorder="1" applyAlignment="1">
      <alignment horizontal="right" vertical="top"/>
    </xf>
    <xf numFmtId="4" fontId="4" fillId="16" borderId="98" xfId="0" applyNumberFormat="1" applyFont="1" applyFill="1" applyBorder="1" applyAlignment="1">
      <alignment horizontal="right" vertical="top"/>
    </xf>
    <xf numFmtId="10" fontId="2" fillId="16" borderId="6" xfId="0" applyNumberFormat="1" applyFont="1" applyFill="1" applyBorder="1" applyAlignment="1">
      <alignment horizontal="right" vertical="top"/>
    </xf>
    <xf numFmtId="10" fontId="2" fillId="16" borderId="15" xfId="0" applyNumberFormat="1" applyFont="1" applyFill="1" applyBorder="1" applyAlignment="1">
      <alignment horizontal="right" vertical="top"/>
    </xf>
    <xf numFmtId="4" fontId="4" fillId="16" borderId="11" xfId="0" applyNumberFormat="1" applyFont="1" applyFill="1" applyBorder="1" applyAlignment="1">
      <alignment horizontal="right" vertical="top"/>
    </xf>
    <xf numFmtId="10" fontId="4" fillId="16" borderId="6" xfId="0" applyNumberFormat="1" applyFont="1" applyFill="1" applyBorder="1" applyAlignment="1">
      <alignment horizontal="right" vertical="top"/>
    </xf>
    <xf numFmtId="3" fontId="4" fillId="16" borderId="15" xfId="0" applyNumberFormat="1" applyFont="1" applyFill="1" applyBorder="1" applyAlignment="1">
      <alignment horizontal="right" vertical="top"/>
    </xf>
    <xf numFmtId="4" fontId="4" fillId="16" borderId="15" xfId="0" applyNumberFormat="1" applyFont="1" applyFill="1" applyBorder="1" applyAlignment="1">
      <alignment horizontal="right" vertical="top"/>
    </xf>
    <xf numFmtId="10" fontId="4" fillId="16" borderId="12" xfId="0" applyNumberFormat="1" applyFont="1" applyFill="1" applyBorder="1" applyAlignment="1">
      <alignment horizontal="right" vertical="top"/>
    </xf>
    <xf numFmtId="4" fontId="4" fillId="16" borderId="99" xfId="0" applyNumberFormat="1" applyFont="1" applyFill="1" applyBorder="1" applyAlignment="1">
      <alignment horizontal="right" vertical="top"/>
    </xf>
    <xf numFmtId="4" fontId="2" fillId="16" borderId="100" xfId="0" applyNumberFormat="1" applyFont="1" applyFill="1" applyBorder="1" applyAlignment="1">
      <alignment horizontal="right" vertical="top"/>
    </xf>
    <xf numFmtId="10" fontId="2" fillId="16" borderId="101" xfId="0" applyNumberFormat="1" applyFont="1" applyFill="1" applyBorder="1" applyAlignment="1">
      <alignment horizontal="right" vertical="top"/>
    </xf>
    <xf numFmtId="4" fontId="4" fillId="16" borderId="102" xfId="0" applyNumberFormat="1" applyFont="1" applyFill="1" applyBorder="1" applyAlignment="1">
      <alignment horizontal="right" vertical="top"/>
    </xf>
    <xf numFmtId="4" fontId="4" fillId="16" borderId="101" xfId="0" applyNumberFormat="1" applyFont="1" applyFill="1" applyBorder="1" applyAlignment="1">
      <alignment horizontal="right" vertical="top"/>
    </xf>
    <xf numFmtId="0" fontId="4" fillId="17" borderId="37" xfId="0" applyFont="1" applyFill="1" applyBorder="1" applyAlignment="1">
      <alignment horizontal="left" vertical="top" wrapText="1"/>
    </xf>
    <xf numFmtId="0" fontId="4" fillId="17" borderId="37" xfId="0" applyFont="1" applyFill="1" applyBorder="1" applyAlignment="1">
      <alignment horizontal="center" vertical="top"/>
    </xf>
    <xf numFmtId="3" fontId="2" fillId="17" borderId="37" xfId="0" applyNumberFormat="1" applyFont="1" applyFill="1" applyBorder="1" applyAlignment="1">
      <alignment horizontal="right" vertical="top"/>
    </xf>
    <xf numFmtId="0" fontId="2" fillId="17" borderId="37" xfId="0" applyFont="1" applyFill="1" applyBorder="1" applyAlignment="1">
      <alignment horizontal="right" vertical="top"/>
    </xf>
    <xf numFmtId="0" fontId="2" fillId="17" borderId="39" xfId="0" applyFont="1" applyFill="1" applyBorder="1" applyAlignment="1">
      <alignment horizontal="right" vertical="top"/>
    </xf>
    <xf numFmtId="4" fontId="4" fillId="17" borderId="61" xfId="0" applyNumberFormat="1" applyFont="1" applyFill="1" applyBorder="1" applyAlignment="1">
      <alignment horizontal="right" vertical="top"/>
    </xf>
    <xf numFmtId="10" fontId="2" fillId="17" borderId="37" xfId="0" applyNumberFormat="1" applyFont="1" applyFill="1" applyBorder="1" applyAlignment="1">
      <alignment horizontal="right" vertical="top"/>
    </xf>
    <xf numFmtId="10" fontId="2" fillId="17" borderId="39" xfId="0" applyNumberFormat="1" applyFont="1" applyFill="1" applyBorder="1" applyAlignment="1">
      <alignment horizontal="right" vertical="top"/>
    </xf>
    <xf numFmtId="4" fontId="4" fillId="17" borderId="62" xfId="0" applyNumberFormat="1" applyFont="1" applyFill="1" applyBorder="1" applyAlignment="1">
      <alignment horizontal="right" vertical="top"/>
    </xf>
    <xf numFmtId="10" fontId="4" fillId="17" borderId="37" xfId="0" applyNumberFormat="1" applyFont="1" applyFill="1" applyBorder="1" applyAlignment="1">
      <alignment horizontal="right" vertical="top"/>
    </xf>
    <xf numFmtId="0" fontId="4" fillId="17" borderId="39" xfId="0" applyFont="1" applyFill="1" applyBorder="1" applyAlignment="1">
      <alignment horizontal="right" vertical="top"/>
    </xf>
    <xf numFmtId="4" fontId="4" fillId="17" borderId="39" xfId="0" applyNumberFormat="1" applyFont="1" applyFill="1" applyBorder="1" applyAlignment="1">
      <alignment horizontal="right" vertical="top"/>
    </xf>
    <xf numFmtId="10" fontId="4" fillId="17" borderId="63" xfId="0" applyNumberFormat="1" applyFont="1" applyFill="1" applyBorder="1" applyAlignment="1">
      <alignment horizontal="right" vertical="top"/>
    </xf>
    <xf numFmtId="4" fontId="4" fillId="17" borderId="64" xfId="0" applyNumberFormat="1" applyFont="1" applyFill="1" applyBorder="1" applyAlignment="1">
      <alignment horizontal="right" vertical="top"/>
    </xf>
    <xf numFmtId="4" fontId="2" fillId="17" borderId="65" xfId="0" applyNumberFormat="1" applyFont="1" applyFill="1" applyBorder="1" applyAlignment="1">
      <alignment horizontal="right" vertical="top"/>
    </xf>
    <xf numFmtId="10" fontId="2" fillId="17" borderId="66" xfId="0" applyNumberFormat="1" applyFont="1" applyFill="1" applyBorder="1" applyAlignment="1">
      <alignment horizontal="right" vertical="top"/>
    </xf>
    <xf numFmtId="4" fontId="4" fillId="17" borderId="67" xfId="0" applyNumberFormat="1" applyFont="1" applyFill="1" applyBorder="1" applyAlignment="1">
      <alignment horizontal="right" vertical="top"/>
    </xf>
    <xf numFmtId="4" fontId="4" fillId="17" borderId="66" xfId="0" applyNumberFormat="1" applyFont="1" applyFill="1" applyBorder="1" applyAlignment="1">
      <alignment horizontal="right" vertical="top"/>
    </xf>
    <xf numFmtId="0" fontId="4" fillId="17" borderId="2" xfId="0" applyFont="1" applyFill="1" applyBorder="1" applyAlignment="1">
      <alignment horizontal="left" vertical="top"/>
    </xf>
    <xf numFmtId="0" fontId="4" fillId="17" borderId="2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/>
    </xf>
    <xf numFmtId="0" fontId="4" fillId="9" borderId="2" xfId="0" applyFont="1" applyFill="1" applyBorder="1" applyAlignment="1">
      <alignment horizontal="center" vertical="top"/>
    </xf>
    <xf numFmtId="4" fontId="2" fillId="9" borderId="69" xfId="0" applyNumberFormat="1" applyFont="1" applyFill="1" applyBorder="1" applyAlignment="1">
      <alignment horizontal="right" vertical="top"/>
    </xf>
    <xf numFmtId="4" fontId="4" fillId="9" borderId="8" xfId="0" applyNumberFormat="1" applyFont="1" applyFill="1" applyBorder="1" applyAlignment="1">
      <alignment horizontal="right" vertical="top"/>
    </xf>
    <xf numFmtId="4" fontId="4" fillId="9" borderId="69" xfId="0" applyNumberFormat="1" applyFont="1" applyFill="1" applyBorder="1" applyAlignment="1">
      <alignment horizontal="right" vertical="top"/>
    </xf>
    <xf numFmtId="0" fontId="4" fillId="17" borderId="2" xfId="0" applyFont="1" applyFill="1" applyBorder="1" applyAlignment="1">
      <alignment horizontal="center" vertical="top"/>
    </xf>
    <xf numFmtId="3" fontId="2" fillId="17" borderId="2" xfId="0" applyNumberFormat="1" applyFont="1" applyFill="1" applyBorder="1" applyAlignment="1">
      <alignment horizontal="right" vertical="top"/>
    </xf>
    <xf numFmtId="3" fontId="2" fillId="17" borderId="3" xfId="0" applyNumberFormat="1" applyFont="1" applyFill="1" applyBorder="1" applyAlignment="1">
      <alignment horizontal="right" vertical="top"/>
    </xf>
    <xf numFmtId="4" fontId="4" fillId="17" borderId="69" xfId="0" applyNumberFormat="1" applyFont="1" applyFill="1" applyBorder="1" applyAlignment="1">
      <alignment horizontal="right" vertical="top"/>
    </xf>
    <xf numFmtId="10" fontId="2" fillId="17" borderId="2" xfId="0" applyNumberFormat="1" applyFont="1" applyFill="1" applyBorder="1" applyAlignment="1">
      <alignment horizontal="right" vertical="top"/>
    </xf>
    <xf numFmtId="10" fontId="2" fillId="17" borderId="3" xfId="0" applyNumberFormat="1" applyFont="1" applyFill="1" applyBorder="1" applyAlignment="1">
      <alignment horizontal="right" vertical="top"/>
    </xf>
    <xf numFmtId="4" fontId="4" fillId="17" borderId="8" xfId="0" applyNumberFormat="1" applyFont="1" applyFill="1" applyBorder="1" applyAlignment="1">
      <alignment horizontal="right" vertical="top"/>
    </xf>
    <xf numFmtId="10" fontId="4" fillId="17" borderId="2" xfId="0" applyNumberFormat="1" applyFont="1" applyFill="1" applyBorder="1" applyAlignment="1">
      <alignment horizontal="right" vertical="top"/>
    </xf>
    <xf numFmtId="10" fontId="4" fillId="17" borderId="3" xfId="0" applyNumberFormat="1" applyFont="1" applyFill="1" applyBorder="1" applyAlignment="1">
      <alignment horizontal="right" vertical="top"/>
    </xf>
    <xf numFmtId="4" fontId="4" fillId="17" borderId="3" xfId="0" applyNumberFormat="1" applyFont="1" applyFill="1" applyBorder="1" applyAlignment="1">
      <alignment horizontal="right" vertical="top"/>
    </xf>
    <xf numFmtId="10" fontId="4" fillId="17" borderId="9" xfId="0" applyNumberFormat="1" applyFont="1" applyFill="1" applyBorder="1" applyAlignment="1">
      <alignment horizontal="right" vertical="top"/>
    </xf>
    <xf numFmtId="4" fontId="4" fillId="17" borderId="70" xfId="0" applyNumberFormat="1" applyFont="1" applyFill="1" applyBorder="1" applyAlignment="1">
      <alignment horizontal="right" vertical="top"/>
    </xf>
    <xf numFmtId="4" fontId="2" fillId="17" borderId="71" xfId="0" applyNumberFormat="1" applyFont="1" applyFill="1" applyBorder="1" applyAlignment="1">
      <alignment horizontal="right" vertical="top"/>
    </xf>
    <xf numFmtId="10" fontId="2" fillId="17" borderId="72" xfId="0" applyNumberFormat="1" applyFont="1" applyFill="1" applyBorder="1" applyAlignment="1">
      <alignment horizontal="right" vertical="top"/>
    </xf>
    <xf numFmtId="4" fontId="4" fillId="17" borderId="26" xfId="0" applyNumberFormat="1" applyFont="1" applyFill="1" applyBorder="1" applyAlignment="1">
      <alignment horizontal="right" vertical="top"/>
    </xf>
    <xf numFmtId="4" fontId="4" fillId="17" borderId="72" xfId="0" applyNumberFormat="1" applyFont="1" applyFill="1" applyBorder="1" applyAlignment="1">
      <alignment horizontal="right" vertical="top"/>
    </xf>
    <xf numFmtId="0" fontId="2" fillId="17" borderId="2" xfId="0" applyFont="1" applyFill="1" applyBorder="1" applyAlignment="1">
      <alignment horizontal="right" vertical="top"/>
    </xf>
    <xf numFmtId="0" fontId="2" fillId="17" borderId="3" xfId="0" applyFont="1" applyFill="1" applyBorder="1" applyAlignment="1">
      <alignment horizontal="right" vertical="top"/>
    </xf>
    <xf numFmtId="9" fontId="2" fillId="17" borderId="2" xfId="0" applyNumberFormat="1" applyFont="1" applyFill="1" applyBorder="1" applyAlignment="1">
      <alignment horizontal="right" vertical="top"/>
    </xf>
    <xf numFmtId="9" fontId="2" fillId="17" borderId="3" xfId="0" applyNumberFormat="1" applyFont="1" applyFill="1" applyBorder="1" applyAlignment="1">
      <alignment horizontal="right" vertical="top"/>
    </xf>
    <xf numFmtId="4" fontId="2" fillId="17" borderId="69" xfId="0" applyNumberFormat="1" applyFont="1" applyFill="1" applyBorder="1" applyAlignment="1">
      <alignment horizontal="right" vertical="top"/>
    </xf>
    <xf numFmtId="0" fontId="4" fillId="17" borderId="6" xfId="0" applyFont="1" applyFill="1" applyBorder="1" applyAlignment="1">
      <alignment horizontal="left" vertical="top"/>
    </xf>
    <xf numFmtId="0" fontId="4" fillId="17" borderId="6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horizontal="center" vertical="top"/>
    </xf>
    <xf numFmtId="3" fontId="2" fillId="9" borderId="6" xfId="0" applyNumberFormat="1" applyFont="1" applyFill="1" applyBorder="1" applyAlignment="1">
      <alignment horizontal="right" vertical="top"/>
    </xf>
    <xf numFmtId="3" fontId="2" fillId="9" borderId="15" xfId="0" applyNumberFormat="1" applyFont="1" applyFill="1" applyBorder="1" applyAlignment="1">
      <alignment horizontal="right" vertical="top"/>
    </xf>
    <xf numFmtId="4" fontId="2" fillId="9" borderId="98" xfId="0" applyNumberFormat="1" applyFont="1" applyFill="1" applyBorder="1" applyAlignment="1">
      <alignment horizontal="right" vertical="top"/>
    </xf>
    <xf numFmtId="10" fontId="2" fillId="9" borderId="6" xfId="0" applyNumberFormat="1" applyFont="1" applyFill="1" applyBorder="1" applyAlignment="1">
      <alignment horizontal="right" vertical="top"/>
    </xf>
    <xf numFmtId="10" fontId="2" fillId="9" borderId="15" xfId="0" applyNumberFormat="1" applyFont="1" applyFill="1" applyBorder="1" applyAlignment="1">
      <alignment horizontal="right" vertical="top"/>
    </xf>
    <xf numFmtId="4" fontId="4" fillId="9" borderId="11" xfId="0" applyNumberFormat="1" applyFont="1" applyFill="1" applyBorder="1" applyAlignment="1">
      <alignment horizontal="right" vertical="top"/>
    </xf>
    <xf numFmtId="10" fontId="4" fillId="9" borderId="6" xfId="0" applyNumberFormat="1" applyFont="1" applyFill="1" applyBorder="1" applyAlignment="1">
      <alignment horizontal="right" vertical="top"/>
    </xf>
    <xf numFmtId="4" fontId="4" fillId="9" borderId="15" xfId="0" applyNumberFormat="1" applyFont="1" applyFill="1" applyBorder="1" applyAlignment="1">
      <alignment horizontal="right" vertical="top"/>
    </xf>
    <xf numFmtId="10" fontId="4" fillId="9" borderId="12" xfId="0" applyNumberFormat="1" applyFont="1" applyFill="1" applyBorder="1" applyAlignment="1">
      <alignment horizontal="right" vertical="top"/>
    </xf>
    <xf numFmtId="4" fontId="4" fillId="9" borderId="99" xfId="0" applyNumberFormat="1" applyFont="1" applyFill="1" applyBorder="1" applyAlignment="1">
      <alignment horizontal="right" vertical="top"/>
    </xf>
    <xf numFmtId="4" fontId="2" fillId="9" borderId="100" xfId="0" applyNumberFormat="1" applyFont="1" applyFill="1" applyBorder="1" applyAlignment="1">
      <alignment horizontal="right" vertical="top"/>
    </xf>
    <xf numFmtId="10" fontId="2" fillId="9" borderId="101" xfId="0" applyNumberFormat="1" applyFont="1" applyFill="1" applyBorder="1" applyAlignment="1">
      <alignment horizontal="right" vertical="top"/>
    </xf>
    <xf numFmtId="4" fontId="4" fillId="9" borderId="102" xfId="0" applyNumberFormat="1" applyFont="1" applyFill="1" applyBorder="1" applyAlignment="1">
      <alignment horizontal="right" vertical="top"/>
    </xf>
    <xf numFmtId="4" fontId="4" fillId="9" borderId="101" xfId="0" applyNumberFormat="1" applyFont="1" applyFill="1" applyBorder="1" applyAlignment="1">
      <alignment horizontal="right" vertical="top"/>
    </xf>
    <xf numFmtId="0" fontId="12" fillId="9" borderId="88" xfId="0" applyFont="1" applyFill="1" applyBorder="1" applyAlignment="1">
      <alignment horizontal="left" vertical="top" wrapText="1"/>
    </xf>
    <xf numFmtId="0" fontId="12" fillId="9" borderId="88" xfId="0" applyFont="1" applyFill="1" applyBorder="1" applyAlignment="1">
      <alignment horizontal="center" vertical="top"/>
    </xf>
    <xf numFmtId="3" fontId="21" fillId="9" borderId="88" xfId="0" applyNumberFormat="1" applyFont="1" applyFill="1" applyBorder="1" applyAlignment="1">
      <alignment horizontal="right" vertical="top"/>
    </xf>
    <xf numFmtId="3" fontId="21" fillId="9" borderId="89" xfId="0" applyNumberFormat="1" applyFont="1" applyFill="1" applyBorder="1" applyAlignment="1">
      <alignment horizontal="right" vertical="top"/>
    </xf>
    <xf numFmtId="4" fontId="21" fillId="9" borderId="90" xfId="0" applyNumberFormat="1" applyFont="1" applyFill="1" applyBorder="1" applyAlignment="1">
      <alignment horizontal="right" vertical="top"/>
    </xf>
    <xf numFmtId="10" fontId="21" fillId="9" borderId="89" xfId="0" applyNumberFormat="1" applyFont="1" applyFill="1" applyBorder="1" applyAlignment="1">
      <alignment horizontal="right" vertical="top"/>
    </xf>
    <xf numFmtId="4" fontId="23" fillId="9" borderId="88" xfId="0" applyNumberFormat="1" applyFont="1" applyFill="1" applyBorder="1" applyAlignment="1">
      <alignment horizontal="right" vertical="top"/>
    </xf>
    <xf numFmtId="4" fontId="26" fillId="9" borderId="91" xfId="0" applyNumberFormat="1" applyFont="1" applyFill="1" applyBorder="1" applyAlignment="1">
      <alignment horizontal="right" vertical="top"/>
    </xf>
    <xf numFmtId="4" fontId="12" fillId="9" borderId="103" xfId="0" applyNumberFormat="1" applyFont="1" applyFill="1" applyBorder="1" applyAlignment="1">
      <alignment horizontal="right" vertical="top"/>
    </xf>
    <xf numFmtId="4" fontId="12" fillId="9" borderId="95" xfId="0" applyNumberFormat="1" applyFont="1" applyFill="1" applyBorder="1" applyAlignment="1">
      <alignment horizontal="right" vertical="top"/>
    </xf>
    <xf numFmtId="0" fontId="4" fillId="18" borderId="59" xfId="0" applyFont="1" applyFill="1" applyBorder="1" applyAlignment="1">
      <alignment vertical="top" wrapText="1"/>
    </xf>
    <xf numFmtId="0" fontId="4" fillId="18" borderId="60" xfId="0" applyFont="1" applyFill="1" applyBorder="1" applyAlignment="1">
      <alignment vertical="top" wrapText="1"/>
    </xf>
    <xf numFmtId="16" fontId="4" fillId="18" borderId="60" xfId="0" applyNumberFormat="1" applyFont="1" applyFill="1" applyBorder="1" applyAlignment="1">
      <alignment vertical="top" wrapText="1"/>
    </xf>
    <xf numFmtId="49" fontId="4" fillId="18" borderId="7" xfId="0" applyNumberFormat="1" applyFont="1" applyFill="1" applyBorder="1" applyAlignment="1">
      <alignment vertical="top" wrapText="1"/>
    </xf>
    <xf numFmtId="10" fontId="4" fillId="18" borderId="7" xfId="4" applyNumberFormat="1" applyFont="1" applyFill="1" applyBorder="1" applyAlignment="1">
      <alignment vertical="top" wrapText="1"/>
    </xf>
    <xf numFmtId="0" fontId="4" fillId="18" borderId="2" xfId="0" applyFont="1" applyFill="1" applyBorder="1" applyAlignment="1">
      <alignment horizontal="left" vertical="top" wrapText="1"/>
    </xf>
    <xf numFmtId="3" fontId="2" fillId="18" borderId="2" xfId="0" applyNumberFormat="1" applyFont="1" applyFill="1" applyBorder="1" applyAlignment="1">
      <alignment horizontal="right" vertical="top" wrapText="1"/>
    </xf>
    <xf numFmtId="0" fontId="2" fillId="18" borderId="2" xfId="0" applyFont="1" applyFill="1" applyBorder="1" applyAlignment="1">
      <alignment horizontal="right" vertical="top" wrapText="1"/>
    </xf>
    <xf numFmtId="0" fontId="2" fillId="18" borderId="3" xfId="0" applyFont="1" applyFill="1" applyBorder="1" applyAlignment="1">
      <alignment horizontal="right" vertical="top" wrapText="1"/>
    </xf>
    <xf numFmtId="4" fontId="4" fillId="18" borderId="69" xfId="0" applyNumberFormat="1" applyFont="1" applyFill="1" applyBorder="1" applyAlignment="1">
      <alignment horizontal="right" vertical="top" wrapText="1"/>
    </xf>
    <xf numFmtId="10" fontId="2" fillId="18" borderId="2" xfId="0" applyNumberFormat="1" applyFont="1" applyFill="1" applyBorder="1" applyAlignment="1">
      <alignment horizontal="right" vertical="top"/>
    </xf>
    <xf numFmtId="10" fontId="2" fillId="18" borderId="3" xfId="0" applyNumberFormat="1" applyFont="1" applyFill="1" applyBorder="1" applyAlignment="1">
      <alignment horizontal="right" vertical="top" wrapText="1"/>
    </xf>
    <xf numFmtId="4" fontId="4" fillId="18" borderId="8" xfId="0" applyNumberFormat="1" applyFont="1" applyFill="1" applyBorder="1" applyAlignment="1">
      <alignment horizontal="right" vertical="top" wrapText="1"/>
    </xf>
    <xf numFmtId="10" fontId="4" fillId="18" borderId="2" xfId="0" applyNumberFormat="1" applyFont="1" applyFill="1" applyBorder="1" applyAlignment="1">
      <alignment horizontal="right" vertical="top"/>
    </xf>
    <xf numFmtId="10" fontId="4" fillId="18" borderId="4" xfId="0" applyNumberFormat="1" applyFont="1" applyFill="1" applyBorder="1" applyAlignment="1">
      <alignment horizontal="right" vertical="top"/>
    </xf>
    <xf numFmtId="10" fontId="4" fillId="18" borderId="3" xfId="0" applyNumberFormat="1" applyFont="1" applyFill="1" applyBorder="1" applyAlignment="1">
      <alignment horizontal="right" vertical="top" wrapText="1"/>
    </xf>
    <xf numFmtId="4" fontId="4" fillId="18" borderId="3" xfId="0" applyNumberFormat="1" applyFont="1" applyFill="1" applyBorder="1" applyAlignment="1">
      <alignment horizontal="right" vertical="top" wrapText="1"/>
    </xf>
    <xf numFmtId="10" fontId="4" fillId="18" borderId="9" xfId="0" applyNumberFormat="1" applyFont="1" applyFill="1" applyBorder="1" applyAlignment="1">
      <alignment horizontal="right" vertical="top" wrapText="1"/>
    </xf>
    <xf numFmtId="4" fontId="4" fillId="18" borderId="70" xfId="0" applyNumberFormat="1" applyFont="1" applyFill="1" applyBorder="1" applyAlignment="1">
      <alignment horizontal="right" vertical="top" wrapText="1"/>
    </xf>
    <xf numFmtId="4" fontId="2" fillId="18" borderId="71" xfId="0" applyNumberFormat="1" applyFont="1" applyFill="1" applyBorder="1" applyAlignment="1">
      <alignment horizontal="right" vertical="top" wrapText="1"/>
    </xf>
    <xf numFmtId="10" fontId="2" fillId="18" borderId="72" xfId="0" applyNumberFormat="1" applyFont="1" applyFill="1" applyBorder="1" applyAlignment="1">
      <alignment horizontal="right" vertical="top" wrapText="1"/>
    </xf>
    <xf numFmtId="4" fontId="4" fillId="18" borderId="26" xfId="0" applyNumberFormat="1" applyFont="1" applyFill="1" applyBorder="1" applyAlignment="1">
      <alignment horizontal="right" vertical="top" wrapText="1"/>
    </xf>
    <xf numFmtId="4" fontId="4" fillId="18" borderId="72" xfId="0" applyNumberFormat="1" applyFont="1" applyFill="1" applyBorder="1" applyAlignment="1">
      <alignment horizontal="right" vertical="top" wrapText="1"/>
    </xf>
    <xf numFmtId="10" fontId="4" fillId="18" borderId="72" xfId="0" applyNumberFormat="1" applyFont="1" applyFill="1" applyBorder="1" applyAlignment="1">
      <alignment horizontal="right" vertical="top" wrapText="1"/>
    </xf>
    <xf numFmtId="0" fontId="27" fillId="18" borderId="68" xfId="0" applyFont="1" applyFill="1" applyBorder="1" applyAlignment="1">
      <alignment vertical="top" wrapText="1"/>
    </xf>
    <xf numFmtId="0" fontId="27" fillId="18" borderId="7" xfId="0" applyFont="1" applyFill="1" applyBorder="1" applyAlignment="1">
      <alignment vertical="top" wrapText="1"/>
    </xf>
    <xf numFmtId="16" fontId="27" fillId="18" borderId="7" xfId="0" applyNumberFormat="1" applyFont="1" applyFill="1" applyBorder="1" applyAlignment="1">
      <alignment vertical="top" wrapText="1"/>
    </xf>
    <xf numFmtId="49" fontId="27" fillId="18" borderId="7" xfId="0" applyNumberFormat="1" applyFont="1" applyFill="1" applyBorder="1" applyAlignment="1">
      <alignment vertical="top" wrapText="1"/>
    </xf>
    <xf numFmtId="0" fontId="27" fillId="18" borderId="2" xfId="0" applyFont="1" applyFill="1" applyBorder="1" applyAlignment="1">
      <alignment horizontal="left" vertical="top" wrapText="1"/>
    </xf>
    <xf numFmtId="3" fontId="29" fillId="18" borderId="2" xfId="0" applyNumberFormat="1" applyFont="1" applyFill="1" applyBorder="1" applyAlignment="1">
      <alignment horizontal="right" vertical="top" wrapText="1"/>
    </xf>
    <xf numFmtId="0" fontId="29" fillId="18" borderId="2" xfId="0" applyFont="1" applyFill="1" applyBorder="1" applyAlignment="1">
      <alignment horizontal="right" vertical="top" wrapText="1"/>
    </xf>
    <xf numFmtId="0" fontId="29" fillId="18" borderId="3" xfId="0" applyFont="1" applyFill="1" applyBorder="1" applyAlignment="1">
      <alignment horizontal="right" vertical="top" wrapText="1"/>
    </xf>
    <xf numFmtId="4" fontId="27" fillId="18" borderId="69" xfId="0" applyNumberFormat="1" applyFont="1" applyFill="1" applyBorder="1" applyAlignment="1">
      <alignment horizontal="right" vertical="top" wrapText="1"/>
    </xf>
    <xf numFmtId="10" fontId="29" fillId="18" borderId="2" xfId="0" applyNumberFormat="1" applyFont="1" applyFill="1" applyBorder="1" applyAlignment="1">
      <alignment horizontal="right" vertical="top"/>
    </xf>
    <xf numFmtId="10" fontId="29" fillId="18" borderId="3" xfId="0" applyNumberFormat="1" applyFont="1" applyFill="1" applyBorder="1" applyAlignment="1">
      <alignment horizontal="right" vertical="top" wrapText="1"/>
    </xf>
    <xf numFmtId="4" fontId="27" fillId="18" borderId="8" xfId="0" applyNumberFormat="1" applyFont="1" applyFill="1" applyBorder="1" applyAlignment="1">
      <alignment horizontal="right" vertical="top" wrapText="1"/>
    </xf>
    <xf numFmtId="10" fontId="27" fillId="18" borderId="2" xfId="0" applyNumberFormat="1" applyFont="1" applyFill="1" applyBorder="1" applyAlignment="1">
      <alignment horizontal="right" vertical="top"/>
    </xf>
    <xf numFmtId="10" fontId="27" fillId="18" borderId="4" xfId="0" applyNumberFormat="1" applyFont="1" applyFill="1" applyBorder="1" applyAlignment="1">
      <alignment horizontal="right" vertical="top"/>
    </xf>
    <xf numFmtId="0" fontId="27" fillId="18" borderId="3" xfId="0" applyFont="1" applyFill="1" applyBorder="1" applyAlignment="1">
      <alignment horizontal="right" vertical="top" wrapText="1"/>
    </xf>
    <xf numFmtId="4" fontId="27" fillId="18" borderId="3" xfId="0" applyNumberFormat="1" applyFont="1" applyFill="1" applyBorder="1" applyAlignment="1">
      <alignment horizontal="right" vertical="top" wrapText="1"/>
    </xf>
    <xf numFmtId="10" fontId="27" fillId="18" borderId="9" xfId="0" applyNumberFormat="1" applyFont="1" applyFill="1" applyBorder="1" applyAlignment="1">
      <alignment horizontal="right" vertical="top" wrapText="1"/>
    </xf>
    <xf numFmtId="4" fontId="27" fillId="18" borderId="70" xfId="0" applyNumberFormat="1" applyFont="1" applyFill="1" applyBorder="1" applyAlignment="1">
      <alignment horizontal="right" vertical="top" wrapText="1"/>
    </xf>
    <xf numFmtId="4" fontId="29" fillId="18" borderId="71" xfId="0" applyNumberFormat="1" applyFont="1" applyFill="1" applyBorder="1" applyAlignment="1">
      <alignment horizontal="right" vertical="top" wrapText="1"/>
    </xf>
    <xf numFmtId="10" fontId="29" fillId="18" borderId="72" xfId="0" applyNumberFormat="1" applyFont="1" applyFill="1" applyBorder="1" applyAlignment="1">
      <alignment horizontal="right" vertical="top" wrapText="1"/>
    </xf>
    <xf numFmtId="4" fontId="27" fillId="18" borderId="26" xfId="0" applyNumberFormat="1" applyFont="1" applyFill="1" applyBorder="1" applyAlignment="1">
      <alignment horizontal="right" vertical="top" wrapText="1"/>
    </xf>
    <xf numFmtId="4" fontId="27" fillId="18" borderId="72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4" fillId="18" borderId="68" xfId="0" applyFont="1" applyFill="1" applyBorder="1" applyAlignment="1">
      <alignment vertical="top" wrapText="1"/>
    </xf>
    <xf numFmtId="0" fontId="4" fillId="18" borderId="7" xfId="0" applyFont="1" applyFill="1" applyBorder="1" applyAlignment="1">
      <alignment vertical="top" wrapText="1"/>
    </xf>
    <xf numFmtId="16" fontId="4" fillId="18" borderId="7" xfId="0" applyNumberFormat="1" applyFont="1" applyFill="1" applyBorder="1" applyAlignment="1">
      <alignment vertical="top" wrapText="1"/>
    </xf>
    <xf numFmtId="0" fontId="4" fillId="18" borderId="6" xfId="0" applyFont="1" applyFill="1" applyBorder="1" applyAlignment="1">
      <alignment horizontal="left" vertical="top" wrapText="1"/>
    </xf>
    <xf numFmtId="3" fontId="4" fillId="18" borderId="6" xfId="0" applyNumberFormat="1" applyFont="1" applyFill="1" applyBorder="1" applyAlignment="1">
      <alignment horizontal="right" vertical="top" wrapText="1"/>
    </xf>
    <xf numFmtId="0" fontId="4" fillId="18" borderId="6" xfId="0" applyFont="1" applyFill="1" applyBorder="1" applyAlignment="1">
      <alignment horizontal="right" vertical="top" wrapText="1"/>
    </xf>
    <xf numFmtId="0" fontId="4" fillId="18" borderId="15" xfId="0" applyFont="1" applyFill="1" applyBorder="1" applyAlignment="1">
      <alignment horizontal="right" vertical="top" wrapText="1"/>
    </xf>
    <xf numFmtId="4" fontId="4" fillId="18" borderId="98" xfId="0" applyNumberFormat="1" applyFont="1" applyFill="1" applyBorder="1" applyAlignment="1">
      <alignment horizontal="right" vertical="top" wrapText="1"/>
    </xf>
    <xf numFmtId="10" fontId="4" fillId="18" borderId="6" xfId="0" applyNumberFormat="1" applyFont="1" applyFill="1" applyBorder="1" applyAlignment="1">
      <alignment horizontal="right" vertical="top"/>
    </xf>
    <xf numFmtId="10" fontId="4" fillId="18" borderId="15" xfId="0" applyNumberFormat="1" applyFont="1" applyFill="1" applyBorder="1" applyAlignment="1">
      <alignment horizontal="right" vertical="top" wrapText="1"/>
    </xf>
    <xf numFmtId="4" fontId="4" fillId="18" borderId="11" xfId="0" applyNumberFormat="1" applyFont="1" applyFill="1" applyBorder="1" applyAlignment="1">
      <alignment horizontal="right" vertical="top" wrapText="1"/>
    </xf>
    <xf numFmtId="10" fontId="4" fillId="18" borderId="7" xfId="0" applyNumberFormat="1" applyFont="1" applyFill="1" applyBorder="1" applyAlignment="1">
      <alignment horizontal="right" vertical="top"/>
    </xf>
    <xf numFmtId="4" fontId="4" fillId="18" borderId="15" xfId="0" applyNumberFormat="1" applyFont="1" applyFill="1" applyBorder="1" applyAlignment="1">
      <alignment horizontal="right" vertical="top" wrapText="1"/>
    </xf>
    <xf numFmtId="10" fontId="4" fillId="18" borderId="12" xfId="0" applyNumberFormat="1" applyFont="1" applyFill="1" applyBorder="1" applyAlignment="1">
      <alignment horizontal="right" vertical="top" wrapText="1"/>
    </xf>
    <xf numFmtId="4" fontId="4" fillId="18" borderId="99" xfId="0" applyNumberFormat="1" applyFont="1" applyFill="1" applyBorder="1" applyAlignment="1">
      <alignment horizontal="right" vertical="top" wrapText="1"/>
    </xf>
    <xf numFmtId="4" fontId="4" fillId="18" borderId="100" xfId="0" applyNumberFormat="1" applyFont="1" applyFill="1" applyBorder="1" applyAlignment="1">
      <alignment horizontal="right" vertical="top" wrapText="1"/>
    </xf>
    <xf numFmtId="10" fontId="4" fillId="18" borderId="101" xfId="0" applyNumberFormat="1" applyFont="1" applyFill="1" applyBorder="1" applyAlignment="1">
      <alignment horizontal="right" vertical="top" wrapText="1"/>
    </xf>
    <xf numFmtId="4" fontId="4" fillId="18" borderId="102" xfId="0" applyNumberFormat="1" applyFont="1" applyFill="1" applyBorder="1" applyAlignment="1">
      <alignment horizontal="right" vertical="top" wrapText="1"/>
    </xf>
    <xf numFmtId="4" fontId="4" fillId="18" borderId="101" xfId="0" applyNumberFormat="1" applyFont="1" applyFill="1" applyBorder="1" applyAlignment="1">
      <alignment horizontal="right" vertical="top" wrapText="1"/>
    </xf>
    <xf numFmtId="49" fontId="4" fillId="18" borderId="7" xfId="0" applyNumberFormat="1" applyFont="1" applyFill="1" applyBorder="1" applyAlignment="1">
      <alignment horizontal="left" vertical="top" wrapText="1"/>
    </xf>
    <xf numFmtId="10" fontId="4" fillId="18" borderId="7" xfId="4" applyNumberFormat="1" applyFont="1" applyFill="1" applyBorder="1" applyAlignment="1">
      <alignment horizontal="left" vertical="top" wrapText="1"/>
    </xf>
    <xf numFmtId="1" fontId="4" fillId="9" borderId="2" xfId="0" applyNumberFormat="1" applyFont="1" applyFill="1" applyBorder="1" applyAlignment="1">
      <alignment horizontal="left" vertical="top" wrapText="1"/>
    </xf>
    <xf numFmtId="3" fontId="2" fillId="9" borderId="2" xfId="0" applyNumberFormat="1" applyFont="1" applyFill="1" applyBorder="1" applyAlignment="1">
      <alignment horizontal="right" vertical="top" wrapText="1"/>
    </xf>
    <xf numFmtId="4" fontId="2" fillId="9" borderId="2" xfId="0" applyNumberFormat="1" applyFont="1" applyFill="1" applyBorder="1" applyAlignment="1">
      <alignment horizontal="right" vertical="top" wrapText="1"/>
    </xf>
    <xf numFmtId="4" fontId="2" fillId="9" borderId="3" xfId="0" applyNumberFormat="1" applyFont="1" applyFill="1" applyBorder="1" applyAlignment="1">
      <alignment horizontal="right" vertical="top" wrapText="1"/>
    </xf>
    <xf numFmtId="4" fontId="4" fillId="9" borderId="69" xfId="0" applyNumberFormat="1" applyFont="1" applyFill="1" applyBorder="1" applyAlignment="1">
      <alignment horizontal="right" vertical="top" wrapText="1"/>
    </xf>
    <xf numFmtId="10" fontId="2" fillId="9" borderId="3" xfId="0" applyNumberFormat="1" applyFont="1" applyFill="1" applyBorder="1" applyAlignment="1">
      <alignment horizontal="right" vertical="top" wrapText="1"/>
    </xf>
    <xf numFmtId="4" fontId="4" fillId="9" borderId="8" xfId="0" applyNumberFormat="1" applyFont="1" applyFill="1" applyBorder="1" applyAlignment="1">
      <alignment horizontal="right" vertical="top" wrapText="1"/>
    </xf>
    <xf numFmtId="4" fontId="4" fillId="9" borderId="3" xfId="0" applyNumberFormat="1" applyFont="1" applyFill="1" applyBorder="1" applyAlignment="1">
      <alignment horizontal="right" vertical="top" wrapText="1"/>
    </xf>
    <xf numFmtId="10" fontId="4" fillId="9" borderId="9" xfId="0" applyNumberFormat="1" applyFont="1" applyFill="1" applyBorder="1" applyAlignment="1">
      <alignment horizontal="right" vertical="top" wrapText="1"/>
    </xf>
    <xf numFmtId="4" fontId="4" fillId="9" borderId="70" xfId="0" applyNumberFormat="1" applyFont="1" applyFill="1" applyBorder="1" applyAlignment="1">
      <alignment horizontal="right" vertical="top" wrapText="1"/>
    </xf>
    <xf numFmtId="4" fontId="2" fillId="9" borderId="71" xfId="0" applyNumberFormat="1" applyFont="1" applyFill="1" applyBorder="1" applyAlignment="1">
      <alignment horizontal="right" vertical="top" wrapText="1"/>
    </xf>
    <xf numFmtId="10" fontId="2" fillId="9" borderId="72" xfId="0" applyNumberFormat="1" applyFont="1" applyFill="1" applyBorder="1" applyAlignment="1">
      <alignment horizontal="right" vertical="top" wrapText="1"/>
    </xf>
    <xf numFmtId="4" fontId="4" fillId="9" borderId="26" xfId="0" applyNumberFormat="1" applyFont="1" applyFill="1" applyBorder="1" applyAlignment="1">
      <alignment horizontal="right" vertical="top" wrapText="1"/>
    </xf>
    <xf numFmtId="4" fontId="4" fillId="9" borderId="72" xfId="0" applyNumberFormat="1" applyFont="1" applyFill="1" applyBorder="1" applyAlignment="1">
      <alignment horizontal="right" vertical="top" wrapText="1"/>
    </xf>
    <xf numFmtId="4" fontId="2" fillId="18" borderId="2" xfId="0" applyNumberFormat="1" applyFont="1" applyFill="1" applyBorder="1" applyAlignment="1">
      <alignment horizontal="right" vertical="top" wrapText="1"/>
    </xf>
    <xf numFmtId="4" fontId="2" fillId="18" borderId="3" xfId="0" applyNumberFormat="1" applyFont="1" applyFill="1" applyBorder="1" applyAlignment="1">
      <alignment horizontal="right" vertical="top" wrapText="1"/>
    </xf>
    <xf numFmtId="10" fontId="4" fillId="18" borderId="20" xfId="4" applyNumberFormat="1" applyFont="1" applyFill="1" applyBorder="1" applyAlignment="1">
      <alignment horizontal="left" vertical="top" wrapText="1"/>
    </xf>
    <xf numFmtId="0" fontId="4" fillId="18" borderId="20" xfId="0" applyFont="1" applyFill="1" applyBorder="1" applyAlignment="1">
      <alignment horizontal="left" vertical="top" wrapText="1"/>
    </xf>
    <xf numFmtId="0" fontId="4" fillId="18" borderId="4" xfId="0" applyFont="1" applyFill="1" applyBorder="1" applyAlignment="1">
      <alignment horizontal="left" vertical="top" wrapText="1"/>
    </xf>
    <xf numFmtId="1" fontId="4" fillId="18" borderId="4" xfId="0" applyNumberFormat="1" applyFont="1" applyFill="1" applyBorder="1" applyAlignment="1">
      <alignment horizontal="left" vertical="top" wrapText="1"/>
    </xf>
    <xf numFmtId="3" fontId="2" fillId="18" borderId="7" xfId="0" applyNumberFormat="1" applyFont="1" applyFill="1" applyBorder="1" applyAlignment="1">
      <alignment horizontal="right" vertical="top" wrapText="1"/>
    </xf>
    <xf numFmtId="4" fontId="2" fillId="18" borderId="7" xfId="0" applyNumberFormat="1" applyFont="1" applyFill="1" applyBorder="1" applyAlignment="1">
      <alignment horizontal="right" vertical="top" wrapText="1"/>
    </xf>
    <xf numFmtId="4" fontId="2" fillId="18" borderId="104" xfId="0" applyNumberFormat="1" applyFont="1" applyFill="1" applyBorder="1" applyAlignment="1">
      <alignment horizontal="right" vertical="top" wrapText="1"/>
    </xf>
    <xf numFmtId="4" fontId="4" fillId="18" borderId="68" xfId="0" applyNumberFormat="1" applyFont="1" applyFill="1" applyBorder="1" applyAlignment="1">
      <alignment horizontal="right" vertical="top" wrapText="1"/>
    </xf>
    <xf numFmtId="10" fontId="2" fillId="18" borderId="7" xfId="0" applyNumberFormat="1" applyFont="1" applyFill="1" applyBorder="1" applyAlignment="1">
      <alignment horizontal="right" vertical="top"/>
    </xf>
    <xf numFmtId="10" fontId="2" fillId="18" borderId="104" xfId="0" applyNumberFormat="1" applyFont="1" applyFill="1" applyBorder="1" applyAlignment="1">
      <alignment horizontal="right" vertical="top" wrapText="1"/>
    </xf>
    <xf numFmtId="4" fontId="4" fillId="18" borderId="105" xfId="0" applyNumberFormat="1" applyFont="1" applyFill="1" applyBorder="1" applyAlignment="1">
      <alignment horizontal="right" vertical="top" wrapText="1"/>
    </xf>
    <xf numFmtId="4" fontId="4" fillId="18" borderId="104" xfId="0" applyNumberFormat="1" applyFont="1" applyFill="1" applyBorder="1" applyAlignment="1">
      <alignment horizontal="right" vertical="top" wrapText="1"/>
    </xf>
    <xf numFmtId="10" fontId="4" fillId="18" borderId="106" xfId="0" applyNumberFormat="1" applyFont="1" applyFill="1" applyBorder="1" applyAlignment="1">
      <alignment horizontal="right" vertical="top" wrapText="1"/>
    </xf>
    <xf numFmtId="4" fontId="4" fillId="18" borderId="44" xfId="0" applyNumberFormat="1" applyFont="1" applyFill="1" applyBorder="1" applyAlignment="1">
      <alignment horizontal="right" vertical="top" wrapText="1"/>
    </xf>
    <xf numFmtId="4" fontId="2" fillId="18" borderId="30" xfId="0" applyNumberFormat="1" applyFont="1" applyFill="1" applyBorder="1" applyAlignment="1">
      <alignment horizontal="right" vertical="top" wrapText="1"/>
    </xf>
    <xf numFmtId="10" fontId="2" fillId="18" borderId="47" xfId="0" applyNumberFormat="1" applyFont="1" applyFill="1" applyBorder="1" applyAlignment="1">
      <alignment horizontal="right" vertical="top" wrapText="1"/>
    </xf>
    <xf numFmtId="4" fontId="4" fillId="18" borderId="0" xfId="0" applyNumberFormat="1" applyFont="1" applyFill="1" applyBorder="1" applyAlignment="1">
      <alignment horizontal="right" vertical="top" wrapText="1"/>
    </xf>
    <xf numFmtId="4" fontId="4" fillId="18" borderId="47" xfId="0" applyNumberFormat="1" applyFont="1" applyFill="1" applyBorder="1" applyAlignment="1">
      <alignment horizontal="right" vertical="top" wrapText="1"/>
    </xf>
    <xf numFmtId="49" fontId="4" fillId="18" borderId="79" xfId="0" applyNumberFormat="1" applyFont="1" applyFill="1" applyBorder="1" applyAlignment="1">
      <alignment vertical="top" wrapText="1"/>
    </xf>
    <xf numFmtId="10" fontId="4" fillId="18" borderId="79" xfId="4" applyNumberFormat="1" applyFont="1" applyFill="1" applyBorder="1" applyAlignment="1">
      <alignment vertical="top" wrapText="1"/>
    </xf>
    <xf numFmtId="0" fontId="4" fillId="9" borderId="17" xfId="0" applyFont="1" applyFill="1" applyBorder="1" applyAlignment="1">
      <alignment horizontal="left" vertical="top" wrapText="1"/>
    </xf>
    <xf numFmtId="3" fontId="2" fillId="9" borderId="17" xfId="0" applyNumberFormat="1" applyFont="1" applyFill="1" applyBorder="1" applyAlignment="1">
      <alignment horizontal="right" vertical="top" wrapText="1"/>
    </xf>
    <xf numFmtId="1" fontId="2" fillId="9" borderId="17" xfId="0" applyNumberFormat="1" applyFont="1" applyFill="1" applyBorder="1" applyAlignment="1">
      <alignment horizontal="right" vertical="top" wrapText="1"/>
    </xf>
    <xf numFmtId="1" fontId="2" fillId="9" borderId="107" xfId="0" applyNumberFormat="1" applyFont="1" applyFill="1" applyBorder="1" applyAlignment="1">
      <alignment horizontal="right" vertical="top" wrapText="1"/>
    </xf>
    <xf numFmtId="4" fontId="4" fillId="9" borderId="108" xfId="0" applyNumberFormat="1" applyFont="1" applyFill="1" applyBorder="1" applyAlignment="1">
      <alignment horizontal="right" vertical="top" wrapText="1"/>
    </xf>
    <xf numFmtId="10" fontId="2" fillId="9" borderId="17" xfId="0" applyNumberFormat="1" applyFont="1" applyFill="1" applyBorder="1" applyAlignment="1">
      <alignment horizontal="right" vertical="top"/>
    </xf>
    <xf numFmtId="10" fontId="2" fillId="9" borderId="107" xfId="0" applyNumberFormat="1" applyFont="1" applyFill="1" applyBorder="1" applyAlignment="1">
      <alignment horizontal="right" vertical="top" wrapText="1"/>
    </xf>
    <xf numFmtId="4" fontId="4" fillId="9" borderId="16" xfId="0" applyNumberFormat="1" applyFont="1" applyFill="1" applyBorder="1" applyAlignment="1">
      <alignment horizontal="right" vertical="top" wrapText="1"/>
    </xf>
    <xf numFmtId="10" fontId="4" fillId="9" borderId="17" xfId="0" applyNumberFormat="1" applyFont="1" applyFill="1" applyBorder="1" applyAlignment="1">
      <alignment horizontal="right" vertical="top"/>
    </xf>
    <xf numFmtId="10" fontId="4" fillId="9" borderId="107" xfId="0" applyNumberFormat="1" applyFont="1" applyFill="1" applyBorder="1" applyAlignment="1">
      <alignment horizontal="right" vertical="top" wrapText="1"/>
    </xf>
    <xf numFmtId="4" fontId="4" fillId="9" borderId="107" xfId="0" applyNumberFormat="1" applyFont="1" applyFill="1" applyBorder="1" applyAlignment="1">
      <alignment horizontal="right" vertical="top" wrapText="1"/>
    </xf>
    <xf numFmtId="10" fontId="4" fillId="9" borderId="18" xfId="0" applyNumberFormat="1" applyFont="1" applyFill="1" applyBorder="1" applyAlignment="1">
      <alignment horizontal="right" vertical="top" wrapText="1"/>
    </xf>
    <xf numFmtId="4" fontId="4" fillId="9" borderId="109" xfId="0" applyNumberFormat="1" applyFont="1" applyFill="1" applyBorder="1" applyAlignment="1">
      <alignment horizontal="right" vertical="top" wrapText="1"/>
    </xf>
    <xf numFmtId="4" fontId="2" fillId="9" borderId="110" xfId="0" applyNumberFormat="1" applyFont="1" applyFill="1" applyBorder="1" applyAlignment="1">
      <alignment horizontal="right" vertical="top" wrapText="1"/>
    </xf>
    <xf numFmtId="10" fontId="2" fillId="9" borderId="111" xfId="0" applyNumberFormat="1" applyFont="1" applyFill="1" applyBorder="1" applyAlignment="1">
      <alignment horizontal="right" vertical="top" wrapText="1"/>
    </xf>
    <xf numFmtId="3" fontId="4" fillId="18" borderId="2" xfId="0" applyNumberFormat="1" applyFont="1" applyFill="1" applyBorder="1" applyAlignment="1">
      <alignment horizontal="right" vertical="top" wrapText="1"/>
    </xf>
    <xf numFmtId="0" fontId="4" fillId="18" borderId="2" xfId="0" applyFont="1" applyFill="1" applyBorder="1" applyAlignment="1">
      <alignment horizontal="right" vertical="top" wrapText="1"/>
    </xf>
    <xf numFmtId="0" fontId="4" fillId="18" borderId="3" xfId="0" applyFont="1" applyFill="1" applyBorder="1" applyAlignment="1">
      <alignment horizontal="right" vertical="top" wrapText="1"/>
    </xf>
    <xf numFmtId="4" fontId="4" fillId="18" borderId="71" xfId="0" applyNumberFormat="1" applyFont="1" applyFill="1" applyBorder="1" applyAlignment="1">
      <alignment horizontal="right" vertical="top" wrapText="1"/>
    </xf>
    <xf numFmtId="49" fontId="4" fillId="18" borderId="21" xfId="0" applyNumberFormat="1" applyFont="1" applyFill="1" applyBorder="1" applyAlignment="1">
      <alignment vertical="top" wrapText="1"/>
    </xf>
    <xf numFmtId="10" fontId="4" fillId="18" borderId="21" xfId="4" applyNumberFormat="1" applyFont="1" applyFill="1" applyBorder="1" applyAlignment="1">
      <alignment vertical="top" wrapText="1"/>
    </xf>
    <xf numFmtId="4" fontId="4" fillId="18" borderId="20" xfId="0" applyNumberFormat="1" applyFont="1" applyFill="1" applyBorder="1" applyAlignment="1">
      <alignment horizontal="right" vertical="top" wrapText="1"/>
    </xf>
    <xf numFmtId="0" fontId="4" fillId="18" borderId="20" xfId="0" applyFont="1" applyFill="1" applyBorder="1" applyAlignment="1">
      <alignment horizontal="right" vertical="top" wrapText="1"/>
    </xf>
    <xf numFmtId="0" fontId="4" fillId="18" borderId="73" xfId="0" applyFont="1" applyFill="1" applyBorder="1" applyAlignment="1">
      <alignment horizontal="right" vertical="top" wrapText="1"/>
    </xf>
    <xf numFmtId="4" fontId="4" fillId="18" borderId="74" xfId="0" applyNumberFormat="1" applyFont="1" applyFill="1" applyBorder="1" applyAlignment="1">
      <alignment horizontal="right" vertical="top" wrapText="1"/>
    </xf>
    <xf numFmtId="10" fontId="4" fillId="18" borderId="20" xfId="0" applyNumberFormat="1" applyFont="1" applyFill="1" applyBorder="1" applyAlignment="1">
      <alignment horizontal="right" vertical="top"/>
    </xf>
    <xf numFmtId="10" fontId="4" fillId="18" borderId="73" xfId="0" applyNumberFormat="1" applyFont="1" applyFill="1" applyBorder="1" applyAlignment="1">
      <alignment horizontal="right" vertical="top" wrapText="1"/>
    </xf>
    <xf numFmtId="4" fontId="4" fillId="18" borderId="19" xfId="0" applyNumberFormat="1" applyFont="1" applyFill="1" applyBorder="1" applyAlignment="1">
      <alignment horizontal="right" vertical="top" wrapText="1"/>
    </xf>
    <xf numFmtId="4" fontId="4" fillId="18" borderId="73" xfId="0" applyNumberFormat="1" applyFont="1" applyFill="1" applyBorder="1" applyAlignment="1">
      <alignment horizontal="right" vertical="top" wrapText="1"/>
    </xf>
    <xf numFmtId="10" fontId="4" fillId="18" borderId="22" xfId="0" applyNumberFormat="1" applyFont="1" applyFill="1" applyBorder="1" applyAlignment="1">
      <alignment horizontal="right" vertical="top" wrapText="1"/>
    </xf>
    <xf numFmtId="4" fontId="4" fillId="18" borderId="75" xfId="0" applyNumberFormat="1" applyFont="1" applyFill="1" applyBorder="1" applyAlignment="1">
      <alignment horizontal="right" vertical="top" wrapText="1"/>
    </xf>
    <xf numFmtId="4" fontId="4" fillId="18" borderId="76" xfId="0" applyNumberFormat="1" applyFont="1" applyFill="1" applyBorder="1" applyAlignment="1">
      <alignment horizontal="right" vertical="top" wrapText="1"/>
    </xf>
    <xf numFmtId="10" fontId="4" fillId="18" borderId="77" xfId="0" applyNumberFormat="1" applyFont="1" applyFill="1" applyBorder="1" applyAlignment="1">
      <alignment horizontal="right" vertical="top" wrapText="1"/>
    </xf>
    <xf numFmtId="4" fontId="4" fillId="18" borderId="78" xfId="0" applyNumberFormat="1" applyFont="1" applyFill="1" applyBorder="1" applyAlignment="1">
      <alignment horizontal="right" vertical="top" wrapText="1"/>
    </xf>
    <xf numFmtId="4" fontId="4" fillId="18" borderId="77" xfId="0" applyNumberFormat="1" applyFont="1" applyFill="1" applyBorder="1" applyAlignment="1">
      <alignment horizontal="right" vertical="top" wrapText="1"/>
    </xf>
    <xf numFmtId="0" fontId="12" fillId="18" borderId="68" xfId="0" applyFont="1" applyFill="1" applyBorder="1" applyAlignment="1">
      <alignment vertical="top" wrapText="1"/>
    </xf>
    <xf numFmtId="0" fontId="12" fillId="18" borderId="7" xfId="0" applyFont="1" applyFill="1" applyBorder="1" applyAlignment="1">
      <alignment vertical="top" wrapText="1"/>
    </xf>
    <xf numFmtId="10" fontId="12" fillId="18" borderId="17" xfId="4" applyNumberFormat="1" applyFont="1" applyFill="1" applyBorder="1" applyAlignment="1">
      <alignment horizontal="left" vertical="top" wrapText="1"/>
    </xf>
    <xf numFmtId="0" fontId="12" fillId="18" borderId="17" xfId="0" applyFont="1" applyFill="1" applyBorder="1" applyAlignment="1">
      <alignment horizontal="left" vertical="top" wrapText="1"/>
    </xf>
    <xf numFmtId="3" fontId="21" fillId="18" borderId="17" xfId="0" applyNumberFormat="1" applyFont="1" applyFill="1" applyBorder="1" applyAlignment="1">
      <alignment horizontal="right" vertical="top" wrapText="1"/>
    </xf>
    <xf numFmtId="0" fontId="21" fillId="18" borderId="17" xfId="0" applyFont="1" applyFill="1" applyBorder="1" applyAlignment="1">
      <alignment horizontal="right" vertical="top" wrapText="1"/>
    </xf>
    <xf numFmtId="0" fontId="21" fillId="18" borderId="107" xfId="0" applyFont="1" applyFill="1" applyBorder="1" applyAlignment="1">
      <alignment horizontal="right" vertical="top" wrapText="1"/>
    </xf>
    <xf numFmtId="4" fontId="12" fillId="18" borderId="108" xfId="0" applyNumberFormat="1" applyFont="1" applyFill="1" applyBorder="1" applyAlignment="1">
      <alignment horizontal="right" vertical="top" wrapText="1"/>
    </xf>
    <xf numFmtId="10" fontId="21" fillId="18" borderId="17" xfId="0" applyNumberFormat="1" applyFont="1" applyFill="1" applyBorder="1" applyAlignment="1">
      <alignment horizontal="right" vertical="top"/>
    </xf>
    <xf numFmtId="10" fontId="21" fillId="18" borderId="107" xfId="0" applyNumberFormat="1" applyFont="1" applyFill="1" applyBorder="1" applyAlignment="1">
      <alignment horizontal="right" vertical="top" wrapText="1"/>
    </xf>
    <xf numFmtId="4" fontId="12" fillId="18" borderId="16" xfId="0" applyNumberFormat="1" applyFont="1" applyFill="1" applyBorder="1" applyAlignment="1">
      <alignment horizontal="right" vertical="top" wrapText="1"/>
    </xf>
    <xf numFmtId="10" fontId="12" fillId="18" borderId="17" xfId="0" applyNumberFormat="1" applyFont="1" applyFill="1" applyBorder="1" applyAlignment="1">
      <alignment horizontal="right" vertical="top"/>
    </xf>
    <xf numFmtId="0" fontId="12" fillId="18" borderId="107" xfId="0" applyFont="1" applyFill="1" applyBorder="1" applyAlignment="1">
      <alignment horizontal="right" vertical="top" wrapText="1"/>
    </xf>
    <xf numFmtId="4" fontId="12" fillId="18" borderId="107" xfId="0" applyNumberFormat="1" applyFont="1" applyFill="1" applyBorder="1" applyAlignment="1">
      <alignment horizontal="right" vertical="top" wrapText="1"/>
    </xf>
    <xf numFmtId="10" fontId="12" fillId="18" borderId="18" xfId="0" applyNumberFormat="1" applyFont="1" applyFill="1" applyBorder="1" applyAlignment="1">
      <alignment horizontal="right" vertical="top" wrapText="1"/>
    </xf>
    <xf numFmtId="4" fontId="12" fillId="18" borderId="109" xfId="0" applyNumberFormat="1" applyFont="1" applyFill="1" applyBorder="1" applyAlignment="1">
      <alignment horizontal="right" vertical="top" wrapText="1"/>
    </xf>
    <xf numFmtId="4" fontId="21" fillId="18" borderId="110" xfId="0" applyNumberFormat="1" applyFont="1" applyFill="1" applyBorder="1" applyAlignment="1">
      <alignment horizontal="right" vertical="top" wrapText="1"/>
    </xf>
    <xf numFmtId="10" fontId="21" fillId="18" borderId="111" xfId="0" applyNumberFormat="1" applyFont="1" applyFill="1" applyBorder="1" applyAlignment="1">
      <alignment horizontal="right" vertical="top" wrapText="1"/>
    </xf>
    <xf numFmtId="4" fontId="12" fillId="18" borderId="112" xfId="0" applyNumberFormat="1" applyFont="1" applyFill="1" applyBorder="1" applyAlignment="1">
      <alignment horizontal="right" vertical="top" wrapText="1"/>
    </xf>
    <xf numFmtId="4" fontId="12" fillId="18" borderId="111" xfId="0" applyNumberFormat="1" applyFont="1" applyFill="1" applyBorder="1" applyAlignment="1">
      <alignment horizontal="right" vertical="top" wrapText="1"/>
    </xf>
    <xf numFmtId="0" fontId="12" fillId="18" borderId="2" xfId="0" applyFont="1" applyFill="1" applyBorder="1" applyAlignment="1">
      <alignment horizontal="left" vertical="top" wrapText="1"/>
    </xf>
    <xf numFmtId="3" fontId="12" fillId="18" borderId="2" xfId="0" applyNumberFormat="1" applyFont="1" applyFill="1" applyBorder="1" applyAlignment="1">
      <alignment horizontal="right" vertical="top" wrapText="1"/>
    </xf>
    <xf numFmtId="0" fontId="12" fillId="18" borderId="2" xfId="0" applyFont="1" applyFill="1" applyBorder="1" applyAlignment="1">
      <alignment horizontal="right" vertical="top" wrapText="1"/>
    </xf>
    <xf numFmtId="0" fontId="12" fillId="18" borderId="3" xfId="0" applyFont="1" applyFill="1" applyBorder="1" applyAlignment="1">
      <alignment horizontal="right" vertical="top" wrapText="1"/>
    </xf>
    <xf numFmtId="4" fontId="12" fillId="18" borderId="69" xfId="0" applyNumberFormat="1" applyFont="1" applyFill="1" applyBorder="1" applyAlignment="1">
      <alignment horizontal="right" vertical="top" wrapText="1"/>
    </xf>
    <xf numFmtId="10" fontId="12" fillId="18" borderId="2" xfId="0" applyNumberFormat="1" applyFont="1" applyFill="1" applyBorder="1" applyAlignment="1">
      <alignment horizontal="right" vertical="top"/>
    </xf>
    <xf numFmtId="10" fontId="12" fillId="18" borderId="3" xfId="0" applyNumberFormat="1" applyFont="1" applyFill="1" applyBorder="1" applyAlignment="1">
      <alignment horizontal="right" vertical="top" wrapText="1"/>
    </xf>
    <xf numFmtId="4" fontId="12" fillId="18" borderId="8" xfId="0" applyNumberFormat="1" applyFont="1" applyFill="1" applyBorder="1" applyAlignment="1">
      <alignment horizontal="right" vertical="top" wrapText="1"/>
    </xf>
    <xf numFmtId="4" fontId="12" fillId="18" borderId="3" xfId="0" applyNumberFormat="1" applyFont="1" applyFill="1" applyBorder="1" applyAlignment="1">
      <alignment horizontal="right" vertical="top" wrapText="1"/>
    </xf>
    <xf numFmtId="10" fontId="12" fillId="18" borderId="9" xfId="0" applyNumberFormat="1" applyFont="1" applyFill="1" applyBorder="1" applyAlignment="1">
      <alignment horizontal="right" vertical="top" wrapText="1"/>
    </xf>
    <xf numFmtId="4" fontId="12" fillId="18" borderId="70" xfId="0" applyNumberFormat="1" applyFont="1" applyFill="1" applyBorder="1" applyAlignment="1">
      <alignment horizontal="right" vertical="top" wrapText="1"/>
    </xf>
    <xf numFmtId="4" fontId="12" fillId="18" borderId="71" xfId="0" applyNumberFormat="1" applyFont="1" applyFill="1" applyBorder="1" applyAlignment="1">
      <alignment horizontal="right" vertical="top" wrapText="1"/>
    </xf>
    <xf numFmtId="10" fontId="12" fillId="18" borderId="72" xfId="0" applyNumberFormat="1" applyFont="1" applyFill="1" applyBorder="1" applyAlignment="1">
      <alignment horizontal="right" vertical="top" wrapText="1"/>
    </xf>
    <xf numFmtId="4" fontId="12" fillId="18" borderId="26" xfId="0" applyNumberFormat="1" applyFont="1" applyFill="1" applyBorder="1" applyAlignment="1">
      <alignment horizontal="right" vertical="top" wrapText="1"/>
    </xf>
    <xf numFmtId="4" fontId="12" fillId="18" borderId="72" xfId="0" applyNumberFormat="1" applyFont="1" applyFill="1" applyBorder="1" applyAlignment="1">
      <alignment horizontal="right" vertical="top" wrapText="1"/>
    </xf>
    <xf numFmtId="3" fontId="21" fillId="18" borderId="2" xfId="0" applyNumberFormat="1" applyFont="1" applyFill="1" applyBorder="1" applyAlignment="1">
      <alignment horizontal="right" vertical="top" wrapText="1"/>
    </xf>
    <xf numFmtId="0" fontId="21" fillId="18" borderId="2" xfId="0" applyFont="1" applyFill="1" applyBorder="1" applyAlignment="1">
      <alignment horizontal="right" vertical="top" wrapText="1"/>
    </xf>
    <xf numFmtId="0" fontId="21" fillId="18" borderId="3" xfId="0" applyFont="1" applyFill="1" applyBorder="1" applyAlignment="1">
      <alignment horizontal="right" vertical="top" wrapText="1"/>
    </xf>
    <xf numFmtId="10" fontId="21" fillId="18" borderId="2" xfId="0" applyNumberFormat="1" applyFont="1" applyFill="1" applyBorder="1" applyAlignment="1">
      <alignment horizontal="right" vertical="top"/>
    </xf>
    <xf numFmtId="10" fontId="21" fillId="18" borderId="3" xfId="0" applyNumberFormat="1" applyFont="1" applyFill="1" applyBorder="1" applyAlignment="1">
      <alignment horizontal="right" vertical="top" wrapText="1"/>
    </xf>
    <xf numFmtId="4" fontId="21" fillId="18" borderId="71" xfId="0" applyNumberFormat="1" applyFont="1" applyFill="1" applyBorder="1" applyAlignment="1">
      <alignment horizontal="right" vertical="top" wrapText="1"/>
    </xf>
    <xf numFmtId="10" fontId="21" fillId="18" borderId="72" xfId="0" applyNumberFormat="1" applyFont="1" applyFill="1" applyBorder="1" applyAlignment="1">
      <alignment horizontal="right" vertical="top" wrapText="1"/>
    </xf>
    <xf numFmtId="0" fontId="31" fillId="0" borderId="0" xfId="0" applyFont="1"/>
    <xf numFmtId="0" fontId="30" fillId="18" borderId="68" xfId="0" applyFont="1" applyFill="1" applyBorder="1" applyAlignment="1">
      <alignment vertical="top" wrapText="1"/>
    </xf>
    <xf numFmtId="0" fontId="30" fillId="18" borderId="7" xfId="0" applyFont="1" applyFill="1" applyBorder="1" applyAlignment="1">
      <alignment vertical="top" wrapText="1"/>
    </xf>
    <xf numFmtId="4" fontId="30" fillId="18" borderId="26" xfId="0" applyNumberFormat="1" applyFont="1" applyFill="1" applyBorder="1" applyAlignment="1">
      <alignment horizontal="right" vertical="top" wrapText="1"/>
    </xf>
    <xf numFmtId="4" fontId="30" fillId="18" borderId="72" xfId="0" applyNumberFormat="1" applyFont="1" applyFill="1" applyBorder="1" applyAlignment="1">
      <alignment horizontal="right" vertical="top" wrapText="1"/>
    </xf>
    <xf numFmtId="0" fontId="30" fillId="0" borderId="0" xfId="0" applyFont="1"/>
    <xf numFmtId="0" fontId="12" fillId="18" borderId="20" xfId="0" applyFont="1" applyFill="1" applyBorder="1" applyAlignment="1">
      <alignment horizontal="left" vertical="top" wrapText="1"/>
    </xf>
    <xf numFmtId="3" fontId="12" fillId="18" borderId="20" xfId="0" applyNumberFormat="1" applyFont="1" applyFill="1" applyBorder="1" applyAlignment="1">
      <alignment horizontal="right" vertical="top" wrapText="1"/>
    </xf>
    <xf numFmtId="0" fontId="12" fillId="18" borderId="20" xfId="0" applyFont="1" applyFill="1" applyBorder="1" applyAlignment="1">
      <alignment horizontal="right" vertical="top" wrapText="1"/>
    </xf>
    <xf numFmtId="0" fontId="12" fillId="18" borderId="73" xfId="0" applyFont="1" applyFill="1" applyBorder="1" applyAlignment="1">
      <alignment horizontal="right" vertical="top" wrapText="1"/>
    </xf>
    <xf numFmtId="4" fontId="12" fillId="18" borderId="74" xfId="0" applyNumberFormat="1" applyFont="1" applyFill="1" applyBorder="1" applyAlignment="1">
      <alignment horizontal="right" vertical="top" wrapText="1"/>
    </xf>
    <xf numFmtId="10" fontId="12" fillId="18" borderId="20" xfId="0" applyNumberFormat="1" applyFont="1" applyFill="1" applyBorder="1" applyAlignment="1">
      <alignment horizontal="right" vertical="top"/>
    </xf>
    <xf numFmtId="10" fontId="12" fillId="18" borderId="73" xfId="0" applyNumberFormat="1" applyFont="1" applyFill="1" applyBorder="1" applyAlignment="1">
      <alignment horizontal="right" vertical="top" wrapText="1"/>
    </xf>
    <xf numFmtId="4" fontId="12" fillId="18" borderId="19" xfId="0" applyNumberFormat="1" applyFont="1" applyFill="1" applyBorder="1" applyAlignment="1">
      <alignment horizontal="right" vertical="top" wrapText="1"/>
    </xf>
    <xf numFmtId="4" fontId="12" fillId="18" borderId="73" xfId="0" applyNumberFormat="1" applyFont="1" applyFill="1" applyBorder="1" applyAlignment="1">
      <alignment horizontal="right" vertical="top" wrapText="1"/>
    </xf>
    <xf numFmtId="10" fontId="12" fillId="18" borderId="22" xfId="0" applyNumberFormat="1" applyFont="1" applyFill="1" applyBorder="1" applyAlignment="1">
      <alignment horizontal="right" vertical="top" wrapText="1"/>
    </xf>
    <xf numFmtId="4" fontId="12" fillId="18" borderId="75" xfId="0" applyNumberFormat="1" applyFont="1" applyFill="1" applyBorder="1" applyAlignment="1">
      <alignment horizontal="right" vertical="top" wrapText="1"/>
    </xf>
    <xf numFmtId="4" fontId="12" fillId="18" borderId="76" xfId="0" applyNumberFormat="1" applyFont="1" applyFill="1" applyBorder="1" applyAlignment="1">
      <alignment horizontal="right" vertical="top" wrapText="1"/>
    </xf>
    <xf numFmtId="10" fontId="12" fillId="18" borderId="77" xfId="0" applyNumberFormat="1" applyFont="1" applyFill="1" applyBorder="1" applyAlignment="1">
      <alignment horizontal="right" vertical="top" wrapText="1"/>
    </xf>
    <xf numFmtId="4" fontId="30" fillId="18" borderId="78" xfId="0" applyNumberFormat="1" applyFont="1" applyFill="1" applyBorder="1" applyAlignment="1">
      <alignment horizontal="right" vertical="top" wrapText="1"/>
    </xf>
    <xf numFmtId="4" fontId="30" fillId="18" borderId="77" xfId="0" applyNumberFormat="1" applyFont="1" applyFill="1" applyBorder="1" applyAlignment="1">
      <alignment horizontal="right" vertical="top" wrapText="1"/>
    </xf>
    <xf numFmtId="0" fontId="27" fillId="18" borderId="17" xfId="0" applyFont="1" applyFill="1" applyBorder="1" applyAlignment="1">
      <alignment horizontal="left" vertical="top" wrapText="1"/>
    </xf>
    <xf numFmtId="3" fontId="29" fillId="18" borderId="17" xfId="0" applyNumberFormat="1" applyFont="1" applyFill="1" applyBorder="1" applyAlignment="1">
      <alignment horizontal="right" vertical="top" wrapText="1"/>
    </xf>
    <xf numFmtId="4" fontId="29" fillId="18" borderId="17" xfId="0" applyNumberFormat="1" applyFont="1" applyFill="1" applyBorder="1" applyAlignment="1">
      <alignment horizontal="right" vertical="top" wrapText="1"/>
    </xf>
    <xf numFmtId="4" fontId="29" fillId="18" borderId="107" xfId="0" applyNumberFormat="1" applyFont="1" applyFill="1" applyBorder="1" applyAlignment="1">
      <alignment horizontal="right" vertical="top" wrapText="1"/>
    </xf>
    <xf numFmtId="4" fontId="27" fillId="18" borderId="108" xfId="0" applyNumberFormat="1" applyFont="1" applyFill="1" applyBorder="1" applyAlignment="1">
      <alignment horizontal="right" vertical="top" wrapText="1"/>
    </xf>
    <xf numFmtId="10" fontId="29" fillId="18" borderId="17" xfId="0" applyNumberFormat="1" applyFont="1" applyFill="1" applyBorder="1" applyAlignment="1">
      <alignment horizontal="right" vertical="top"/>
    </xf>
    <xf numFmtId="10" fontId="29" fillId="18" borderId="107" xfId="0" applyNumberFormat="1" applyFont="1" applyFill="1" applyBorder="1" applyAlignment="1">
      <alignment horizontal="right" vertical="top" wrapText="1"/>
    </xf>
    <xf numFmtId="4" fontId="27" fillId="18" borderId="16" xfId="0" applyNumberFormat="1" applyFont="1" applyFill="1" applyBorder="1" applyAlignment="1">
      <alignment horizontal="right" vertical="top" wrapText="1"/>
    </xf>
    <xf numFmtId="10" fontId="27" fillId="18" borderId="17" xfId="0" applyNumberFormat="1" applyFont="1" applyFill="1" applyBorder="1" applyAlignment="1">
      <alignment horizontal="right" vertical="top"/>
    </xf>
    <xf numFmtId="4" fontId="27" fillId="18" borderId="107" xfId="0" applyNumberFormat="1" applyFont="1" applyFill="1" applyBorder="1" applyAlignment="1">
      <alignment horizontal="right" vertical="top" wrapText="1"/>
    </xf>
    <xf numFmtId="10" fontId="27" fillId="18" borderId="18" xfId="0" applyNumberFormat="1" applyFont="1" applyFill="1" applyBorder="1" applyAlignment="1">
      <alignment horizontal="right" vertical="top" wrapText="1"/>
    </xf>
    <xf numFmtId="4" fontId="27" fillId="18" borderId="109" xfId="0" applyNumberFormat="1" applyFont="1" applyFill="1" applyBorder="1" applyAlignment="1">
      <alignment horizontal="right" vertical="top" wrapText="1"/>
    </xf>
    <xf numFmtId="4" fontId="29" fillId="18" borderId="110" xfId="0" applyNumberFormat="1" applyFont="1" applyFill="1" applyBorder="1" applyAlignment="1">
      <alignment horizontal="right" vertical="top" wrapText="1"/>
    </xf>
    <xf numFmtId="10" fontId="29" fillId="18" borderId="111" xfId="0" applyNumberFormat="1" applyFont="1" applyFill="1" applyBorder="1" applyAlignment="1">
      <alignment horizontal="right" vertical="top" wrapText="1"/>
    </xf>
    <xf numFmtId="4" fontId="27" fillId="18" borderId="112" xfId="0" applyNumberFormat="1" applyFont="1" applyFill="1" applyBorder="1" applyAlignment="1">
      <alignment horizontal="right" vertical="top" wrapText="1"/>
    </xf>
    <xf numFmtId="4" fontId="27" fillId="18" borderId="111" xfId="0" applyNumberFormat="1" applyFont="1" applyFill="1" applyBorder="1" applyAlignment="1">
      <alignment horizontal="right" vertical="top" wrapText="1"/>
    </xf>
    <xf numFmtId="4" fontId="4" fillId="18" borderId="2" xfId="0" applyNumberFormat="1" applyFont="1" applyFill="1" applyBorder="1" applyAlignment="1">
      <alignment horizontal="right" vertical="top" wrapText="1"/>
    </xf>
    <xf numFmtId="4" fontId="2" fillId="18" borderId="4" xfId="0" applyNumberFormat="1" applyFont="1" applyFill="1" applyBorder="1" applyAlignment="1">
      <alignment horizontal="right" vertical="top" wrapText="1"/>
    </xf>
    <xf numFmtId="4" fontId="2" fillId="18" borderId="24" xfId="0" applyNumberFormat="1" applyFont="1" applyFill="1" applyBorder="1" applyAlignment="1">
      <alignment horizontal="right" vertical="top" wrapText="1"/>
    </xf>
    <xf numFmtId="4" fontId="4" fillId="18" borderId="81" xfId="0" applyNumberFormat="1" applyFont="1" applyFill="1" applyBorder="1" applyAlignment="1">
      <alignment horizontal="right" vertical="top" wrapText="1"/>
    </xf>
    <xf numFmtId="10" fontId="2" fillId="18" borderId="4" xfId="0" applyNumberFormat="1" applyFont="1" applyFill="1" applyBorder="1" applyAlignment="1">
      <alignment horizontal="right" vertical="top"/>
    </xf>
    <xf numFmtId="10" fontId="2" fillId="18" borderId="24" xfId="0" applyNumberFormat="1" applyFont="1" applyFill="1" applyBorder="1" applyAlignment="1">
      <alignment horizontal="right" vertical="top" wrapText="1"/>
    </xf>
    <xf numFmtId="4" fontId="4" fillId="18" borderId="82" xfId="0" applyNumberFormat="1" applyFont="1" applyFill="1" applyBorder="1" applyAlignment="1">
      <alignment horizontal="right" vertical="top" wrapText="1"/>
    </xf>
    <xf numFmtId="4" fontId="4" fillId="18" borderId="24" xfId="0" applyNumberFormat="1" applyFont="1" applyFill="1" applyBorder="1" applyAlignment="1">
      <alignment horizontal="right" vertical="top" wrapText="1"/>
    </xf>
    <xf numFmtId="10" fontId="4" fillId="18" borderId="10" xfId="0" applyNumberFormat="1" applyFont="1" applyFill="1" applyBorder="1" applyAlignment="1">
      <alignment horizontal="right" vertical="top" wrapText="1"/>
    </xf>
    <xf numFmtId="4" fontId="4" fillId="18" borderId="83" xfId="0" applyNumberFormat="1" applyFont="1" applyFill="1" applyBorder="1" applyAlignment="1">
      <alignment horizontal="right" vertical="top" wrapText="1"/>
    </xf>
    <xf numFmtId="4" fontId="2" fillId="18" borderId="42" xfId="0" applyNumberFormat="1" applyFont="1" applyFill="1" applyBorder="1" applyAlignment="1">
      <alignment horizontal="right" vertical="top" wrapText="1"/>
    </xf>
    <xf numFmtId="10" fontId="2" fillId="18" borderId="84" xfId="0" applyNumberFormat="1" applyFont="1" applyFill="1" applyBorder="1" applyAlignment="1">
      <alignment horizontal="right" vertical="top" wrapText="1"/>
    </xf>
    <xf numFmtId="4" fontId="4" fillId="18" borderId="41" xfId="0" applyNumberFormat="1" applyFont="1" applyFill="1" applyBorder="1" applyAlignment="1">
      <alignment horizontal="right" vertical="top" wrapText="1"/>
    </xf>
    <xf numFmtId="4" fontId="4" fillId="18" borderId="84" xfId="0" applyNumberFormat="1" applyFont="1" applyFill="1" applyBorder="1" applyAlignment="1">
      <alignment horizontal="right" vertical="top" wrapText="1"/>
    </xf>
    <xf numFmtId="10" fontId="4" fillId="9" borderId="3" xfId="0" applyNumberFormat="1" applyFont="1" applyFill="1" applyBorder="1" applyAlignment="1">
      <alignment horizontal="right" vertical="top" wrapText="1"/>
    </xf>
    <xf numFmtId="10" fontId="4" fillId="18" borderId="17" xfId="4" applyNumberFormat="1" applyFont="1" applyFill="1" applyBorder="1" applyAlignment="1">
      <alignment horizontal="left" vertical="top" wrapText="1"/>
    </xf>
    <xf numFmtId="0" fontId="4" fillId="18" borderId="17" xfId="0" applyFont="1" applyFill="1" applyBorder="1" applyAlignment="1">
      <alignment horizontal="left" vertical="top" wrapText="1"/>
    </xf>
    <xf numFmtId="1" fontId="2" fillId="18" borderId="17" xfId="0" applyNumberFormat="1" applyFont="1" applyFill="1" applyBorder="1" applyAlignment="1">
      <alignment horizontal="right" vertical="top" wrapText="1"/>
    </xf>
    <xf numFmtId="4" fontId="2" fillId="18" borderId="17" xfId="0" applyNumberFormat="1" applyFont="1" applyFill="1" applyBorder="1" applyAlignment="1">
      <alignment horizontal="right" vertical="top" wrapText="1"/>
    </xf>
    <xf numFmtId="4" fontId="2" fillId="18" borderId="107" xfId="0" applyNumberFormat="1" applyFont="1" applyFill="1" applyBorder="1" applyAlignment="1">
      <alignment horizontal="right" vertical="top" wrapText="1"/>
    </xf>
    <xf numFmtId="4" fontId="4" fillId="18" borderId="108" xfId="0" applyNumberFormat="1" applyFont="1" applyFill="1" applyBorder="1" applyAlignment="1">
      <alignment horizontal="right" vertical="top" wrapText="1"/>
    </xf>
    <xf numFmtId="10" fontId="2" fillId="18" borderId="17" xfId="0" applyNumberFormat="1" applyFont="1" applyFill="1" applyBorder="1" applyAlignment="1">
      <alignment horizontal="right" vertical="top"/>
    </xf>
    <xf numFmtId="10" fontId="2" fillId="18" borderId="107" xfId="0" applyNumberFormat="1" applyFont="1" applyFill="1" applyBorder="1" applyAlignment="1">
      <alignment horizontal="right" vertical="top" wrapText="1"/>
    </xf>
    <xf numFmtId="4" fontId="4" fillId="18" borderId="16" xfId="0" applyNumberFormat="1" applyFont="1" applyFill="1" applyBorder="1" applyAlignment="1">
      <alignment horizontal="right" vertical="top" wrapText="1"/>
    </xf>
    <xf numFmtId="10" fontId="4" fillId="18" borderId="17" xfId="0" applyNumberFormat="1" applyFont="1" applyFill="1" applyBorder="1" applyAlignment="1">
      <alignment horizontal="right" vertical="top"/>
    </xf>
    <xf numFmtId="4" fontId="4" fillId="18" borderId="107" xfId="0" applyNumberFormat="1" applyFont="1" applyFill="1" applyBorder="1" applyAlignment="1">
      <alignment horizontal="right" vertical="top" wrapText="1"/>
    </xf>
    <xf numFmtId="10" fontId="4" fillId="18" borderId="18" xfId="0" applyNumberFormat="1" applyFont="1" applyFill="1" applyBorder="1" applyAlignment="1">
      <alignment horizontal="right" vertical="top" wrapText="1"/>
    </xf>
    <xf numFmtId="4" fontId="4" fillId="18" borderId="109" xfId="0" applyNumberFormat="1" applyFont="1" applyFill="1" applyBorder="1" applyAlignment="1">
      <alignment horizontal="right" vertical="top" wrapText="1"/>
    </xf>
    <xf numFmtId="4" fontId="2" fillId="18" borderId="110" xfId="0" applyNumberFormat="1" applyFont="1" applyFill="1" applyBorder="1" applyAlignment="1">
      <alignment horizontal="right" vertical="top" wrapText="1"/>
    </xf>
    <xf numFmtId="10" fontId="2" fillId="18" borderId="111" xfId="0" applyNumberFormat="1" applyFont="1" applyFill="1" applyBorder="1" applyAlignment="1">
      <alignment horizontal="right" vertical="top" wrapText="1"/>
    </xf>
    <xf numFmtId="4" fontId="4" fillId="18" borderId="112" xfId="0" applyNumberFormat="1" applyFont="1" applyFill="1" applyBorder="1" applyAlignment="1">
      <alignment horizontal="right" vertical="top" wrapText="1"/>
    </xf>
    <xf numFmtId="4" fontId="4" fillId="18" borderId="111" xfId="0" applyNumberFormat="1" applyFont="1" applyFill="1" applyBorder="1" applyAlignment="1">
      <alignment horizontal="right" vertical="top" wrapText="1"/>
    </xf>
    <xf numFmtId="10" fontId="4" fillId="18" borderId="2" xfId="4" applyNumberFormat="1" applyFont="1" applyFill="1" applyBorder="1" applyAlignment="1">
      <alignment horizontal="left" vertical="top" wrapText="1"/>
    </xf>
    <xf numFmtId="1" fontId="2" fillId="18" borderId="2" xfId="0" applyNumberFormat="1" applyFont="1" applyFill="1" applyBorder="1" applyAlignment="1">
      <alignment horizontal="right" vertical="top" wrapText="1"/>
    </xf>
    <xf numFmtId="1" fontId="2" fillId="18" borderId="20" xfId="0" applyNumberFormat="1" applyFont="1" applyFill="1" applyBorder="1" applyAlignment="1">
      <alignment horizontal="right" vertical="top" wrapText="1"/>
    </xf>
    <xf numFmtId="4" fontId="2" fillId="18" borderId="20" xfId="0" applyNumberFormat="1" applyFont="1" applyFill="1" applyBorder="1" applyAlignment="1">
      <alignment horizontal="right" vertical="top" wrapText="1"/>
    </xf>
    <xf numFmtId="4" fontId="2" fillId="18" borderId="73" xfId="0" applyNumberFormat="1" applyFont="1" applyFill="1" applyBorder="1" applyAlignment="1">
      <alignment horizontal="right" vertical="top" wrapText="1"/>
    </xf>
    <xf numFmtId="10" fontId="2" fillId="18" borderId="20" xfId="0" applyNumberFormat="1" applyFont="1" applyFill="1" applyBorder="1" applyAlignment="1">
      <alignment horizontal="right" vertical="top"/>
    </xf>
    <xf numFmtId="10" fontId="2" fillId="18" borderId="73" xfId="0" applyNumberFormat="1" applyFont="1" applyFill="1" applyBorder="1" applyAlignment="1">
      <alignment horizontal="right" vertical="top" wrapText="1"/>
    </xf>
    <xf numFmtId="4" fontId="2" fillId="18" borderId="76" xfId="0" applyNumberFormat="1" applyFont="1" applyFill="1" applyBorder="1" applyAlignment="1">
      <alignment horizontal="right" vertical="top" wrapText="1"/>
    </xf>
    <xf numFmtId="10" fontId="2" fillId="18" borderId="77" xfId="0" applyNumberFormat="1" applyFont="1" applyFill="1" applyBorder="1" applyAlignment="1">
      <alignment horizontal="right" vertical="top" wrapText="1"/>
    </xf>
    <xf numFmtId="1" fontId="2" fillId="18" borderId="4" xfId="0" applyNumberFormat="1" applyFont="1" applyFill="1" applyBorder="1" applyAlignment="1">
      <alignment horizontal="right" vertical="top" wrapText="1"/>
    </xf>
    <xf numFmtId="3" fontId="2" fillId="18" borderId="6" xfId="0" applyNumberFormat="1" applyFont="1" applyFill="1" applyBorder="1" applyAlignment="1">
      <alignment horizontal="right" vertical="top" wrapText="1"/>
    </xf>
    <xf numFmtId="4" fontId="2" fillId="18" borderId="6" xfId="0" applyNumberFormat="1" applyFont="1" applyFill="1" applyBorder="1" applyAlignment="1">
      <alignment horizontal="right" vertical="top" wrapText="1"/>
    </xf>
    <xf numFmtId="4" fontId="2" fillId="18" borderId="15" xfId="0" applyNumberFormat="1" applyFont="1" applyFill="1" applyBorder="1" applyAlignment="1">
      <alignment horizontal="right" vertical="top" wrapText="1"/>
    </xf>
    <xf numFmtId="10" fontId="2" fillId="18" borderId="6" xfId="0" applyNumberFormat="1" applyFont="1" applyFill="1" applyBorder="1" applyAlignment="1">
      <alignment horizontal="right" vertical="top"/>
    </xf>
    <xf numFmtId="10" fontId="2" fillId="18" borderId="15" xfId="0" applyNumberFormat="1" applyFont="1" applyFill="1" applyBorder="1" applyAlignment="1">
      <alignment horizontal="right" vertical="top" wrapText="1"/>
    </xf>
    <xf numFmtId="4" fontId="2" fillId="18" borderId="100" xfId="0" applyNumberFormat="1" applyFont="1" applyFill="1" applyBorder="1" applyAlignment="1">
      <alignment horizontal="right" vertical="top" wrapText="1"/>
    </xf>
    <xf numFmtId="10" fontId="2" fillId="18" borderId="101" xfId="0" applyNumberFormat="1" applyFont="1" applyFill="1" applyBorder="1" applyAlignment="1">
      <alignment horizontal="right" vertical="top" wrapText="1"/>
    </xf>
    <xf numFmtId="0" fontId="32" fillId="18" borderId="68" xfId="0" applyFont="1" applyFill="1" applyBorder="1" applyAlignment="1">
      <alignment vertical="top" wrapText="1"/>
    </xf>
    <xf numFmtId="0" fontId="12" fillId="18" borderId="15" xfId="0" applyFont="1" applyFill="1" applyBorder="1" applyAlignment="1">
      <alignment horizontal="center" vertical="top" wrapText="1"/>
    </xf>
    <xf numFmtId="0" fontId="12" fillId="18" borderId="102" xfId="0" applyFont="1" applyFill="1" applyBorder="1" applyAlignment="1">
      <alignment horizontal="center" vertical="top" wrapText="1"/>
    </xf>
    <xf numFmtId="0" fontId="12" fillId="18" borderId="25" xfId="0" applyFont="1" applyFill="1" applyBorder="1" applyAlignment="1">
      <alignment horizontal="center" vertical="top" wrapText="1"/>
    </xf>
    <xf numFmtId="0" fontId="12" fillId="9" borderId="17" xfId="0" applyFont="1" applyFill="1" applyBorder="1" applyAlignment="1">
      <alignment horizontal="left" vertical="top" wrapText="1"/>
    </xf>
    <xf numFmtId="0" fontId="12" fillId="9" borderId="17" xfId="0" applyFont="1" applyFill="1" applyBorder="1" applyAlignment="1">
      <alignment horizontal="center" vertical="top" wrapText="1"/>
    </xf>
    <xf numFmtId="164" fontId="2" fillId="9" borderId="17" xfId="0" applyNumberFormat="1" applyFont="1" applyFill="1" applyBorder="1" applyAlignment="1">
      <alignment horizontal="right" vertical="top" wrapText="1"/>
    </xf>
    <xf numFmtId="4" fontId="21" fillId="9" borderId="107" xfId="0" applyNumberFormat="1" applyFont="1" applyFill="1" applyBorder="1" applyAlignment="1">
      <alignment horizontal="right" vertical="top" wrapText="1"/>
    </xf>
    <xf numFmtId="4" fontId="12" fillId="9" borderId="108" xfId="0" applyNumberFormat="1" applyFont="1" applyFill="1" applyBorder="1" applyAlignment="1">
      <alignment horizontal="right" vertical="top" wrapText="1"/>
    </xf>
    <xf numFmtId="10" fontId="21" fillId="9" borderId="79" xfId="0" applyNumberFormat="1" applyFont="1" applyFill="1" applyBorder="1" applyAlignment="1">
      <alignment horizontal="right" vertical="top"/>
    </xf>
    <xf numFmtId="10" fontId="21" fillId="9" borderId="17" xfId="0" applyNumberFormat="1" applyFont="1" applyFill="1" applyBorder="1" applyAlignment="1">
      <alignment horizontal="right" vertical="top"/>
    </xf>
    <xf numFmtId="10" fontId="21" fillId="9" borderId="107" xfId="0" applyNumberFormat="1" applyFont="1" applyFill="1" applyBorder="1" applyAlignment="1">
      <alignment horizontal="right" vertical="top" wrapText="1"/>
    </xf>
    <xf numFmtId="4" fontId="23" fillId="9" borderId="16" xfId="0" applyNumberFormat="1" applyFont="1" applyFill="1" applyBorder="1" applyAlignment="1">
      <alignment horizontal="right" vertical="top" wrapText="1"/>
    </xf>
    <xf numFmtId="10" fontId="23" fillId="9" borderId="79" xfId="0" applyNumberFormat="1" applyFont="1" applyFill="1" applyBorder="1" applyAlignment="1">
      <alignment horizontal="right" vertical="top"/>
    </xf>
    <xf numFmtId="10" fontId="23" fillId="9" borderId="17" xfId="0" applyNumberFormat="1" applyFont="1" applyFill="1" applyBorder="1" applyAlignment="1">
      <alignment horizontal="right" vertical="top"/>
    </xf>
    <xf numFmtId="4" fontId="23" fillId="9" borderId="107" xfId="0" applyNumberFormat="1" applyFont="1" applyFill="1" applyBorder="1" applyAlignment="1">
      <alignment horizontal="right" vertical="top" wrapText="1"/>
    </xf>
    <xf numFmtId="10" fontId="26" fillId="9" borderId="17" xfId="0" applyNumberFormat="1" applyFont="1" applyFill="1" applyBorder="1" applyAlignment="1">
      <alignment horizontal="right" vertical="top"/>
    </xf>
    <xf numFmtId="10" fontId="23" fillId="9" borderId="18" xfId="0" applyNumberFormat="1" applyFont="1" applyFill="1" applyBorder="1" applyAlignment="1">
      <alignment horizontal="right" vertical="top" wrapText="1"/>
    </xf>
    <xf numFmtId="4" fontId="23" fillId="9" borderId="113" xfId="0" applyNumberFormat="1" applyFont="1" applyFill="1" applyBorder="1" applyAlignment="1">
      <alignment vertical="top" wrapText="1"/>
    </xf>
    <xf numFmtId="4" fontId="26" fillId="9" borderId="27" xfId="0" applyNumberFormat="1" applyFont="1" applyFill="1" applyBorder="1" applyAlignment="1">
      <alignment vertical="top" wrapText="1"/>
    </xf>
    <xf numFmtId="10" fontId="26" fillId="9" borderId="114" xfId="0" applyNumberFormat="1" applyFont="1" applyFill="1" applyBorder="1" applyAlignment="1">
      <alignment vertical="top" wrapText="1"/>
    </xf>
    <xf numFmtId="4" fontId="12" fillId="9" borderId="28" xfId="0" applyNumberFormat="1" applyFont="1" applyFill="1" applyBorder="1" applyAlignment="1">
      <alignment vertical="top" wrapText="1"/>
    </xf>
    <xf numFmtId="4" fontId="12" fillId="9" borderId="114" xfId="0" applyNumberFormat="1" applyFont="1" applyFill="1" applyBorder="1" applyAlignment="1">
      <alignment vertical="top" wrapText="1"/>
    </xf>
    <xf numFmtId="0" fontId="4" fillId="18" borderId="85" xfId="0" applyFont="1" applyFill="1" applyBorder="1" applyAlignment="1">
      <alignment vertical="top" wrapText="1"/>
    </xf>
    <xf numFmtId="0" fontId="4" fillId="18" borderId="51" xfId="0" applyFont="1" applyFill="1" applyBorder="1" applyAlignment="1">
      <alignment horizontal="center" vertical="top" wrapText="1"/>
    </xf>
    <xf numFmtId="0" fontId="4" fillId="18" borderId="115" xfId="0" applyFont="1" applyFill="1" applyBorder="1" applyAlignment="1">
      <alignment horizontal="center" vertical="top" wrapText="1"/>
    </xf>
    <xf numFmtId="0" fontId="4" fillId="18" borderId="49" xfId="0" applyFont="1" applyFill="1" applyBorder="1" applyAlignment="1">
      <alignment horizontal="center" vertical="top" wrapText="1"/>
    </xf>
    <xf numFmtId="0" fontId="4" fillId="9" borderId="50" xfId="0" applyFont="1" applyFill="1" applyBorder="1" applyAlignment="1">
      <alignment horizontal="left" vertical="top" wrapText="1"/>
    </xf>
    <xf numFmtId="0" fontId="4" fillId="9" borderId="50" xfId="0" applyFont="1" applyFill="1" applyBorder="1" applyAlignment="1">
      <alignment horizontal="center" vertical="top" wrapText="1"/>
    </xf>
    <xf numFmtId="3" fontId="2" fillId="9" borderId="50" xfId="0" applyNumberFormat="1" applyFont="1" applyFill="1" applyBorder="1" applyAlignment="1">
      <alignment horizontal="right" vertical="top" wrapText="1"/>
    </xf>
    <xf numFmtId="164" fontId="2" fillId="9" borderId="50" xfId="0" applyNumberFormat="1" applyFont="1" applyFill="1" applyBorder="1" applyAlignment="1">
      <alignment horizontal="right" vertical="top" wrapText="1"/>
    </xf>
    <xf numFmtId="4" fontId="2" fillId="9" borderId="52" xfId="0" applyNumberFormat="1" applyFont="1" applyFill="1" applyBorder="1" applyAlignment="1">
      <alignment horizontal="right" vertical="top" wrapText="1"/>
    </xf>
    <xf numFmtId="4" fontId="4" fillId="9" borderId="53" xfId="0" applyNumberFormat="1" applyFont="1" applyFill="1" applyBorder="1" applyAlignment="1">
      <alignment horizontal="right" vertical="top" wrapText="1"/>
    </xf>
    <xf numFmtId="10" fontId="2" fillId="9" borderId="50" xfId="0" applyNumberFormat="1" applyFont="1" applyFill="1" applyBorder="1" applyAlignment="1">
      <alignment horizontal="right" vertical="top"/>
    </xf>
    <xf numFmtId="10" fontId="2" fillId="9" borderId="52" xfId="0" applyNumberFormat="1" applyFont="1" applyFill="1" applyBorder="1" applyAlignment="1">
      <alignment horizontal="right" vertical="top" wrapText="1"/>
    </xf>
    <xf numFmtId="4" fontId="23" fillId="9" borderId="54" xfId="0" applyNumberFormat="1" applyFont="1" applyFill="1" applyBorder="1" applyAlignment="1">
      <alignment horizontal="right" vertical="top" wrapText="1"/>
    </xf>
    <xf numFmtId="10" fontId="23" fillId="9" borderId="50" xfId="0" applyNumberFormat="1" applyFont="1" applyFill="1" applyBorder="1" applyAlignment="1">
      <alignment horizontal="right" vertical="top"/>
    </xf>
    <xf numFmtId="4" fontId="23" fillId="9" borderId="52" xfId="0" applyNumberFormat="1" applyFont="1" applyFill="1" applyBorder="1" applyAlignment="1">
      <alignment horizontal="right" vertical="top" wrapText="1"/>
    </xf>
    <xf numFmtId="10" fontId="26" fillId="9" borderId="50" xfId="0" applyNumberFormat="1" applyFont="1" applyFill="1" applyBorder="1" applyAlignment="1">
      <alignment horizontal="right" vertical="top"/>
    </xf>
    <xf numFmtId="10" fontId="23" fillId="9" borderId="55" xfId="0" applyNumberFormat="1" applyFont="1" applyFill="1" applyBorder="1" applyAlignment="1">
      <alignment horizontal="right" vertical="top" wrapText="1"/>
    </xf>
    <xf numFmtId="4" fontId="23" fillId="9" borderId="116" xfId="0" applyNumberFormat="1" applyFont="1" applyFill="1" applyBorder="1" applyAlignment="1">
      <alignment vertical="top" wrapText="1"/>
    </xf>
    <xf numFmtId="4" fontId="26" fillId="9" borderId="54" xfId="0" applyNumberFormat="1" applyFont="1" applyFill="1" applyBorder="1" applyAlignment="1">
      <alignment vertical="top" wrapText="1"/>
    </xf>
    <xf numFmtId="10" fontId="26" fillId="9" borderId="57" xfId="0" applyNumberFormat="1" applyFont="1" applyFill="1" applyBorder="1" applyAlignment="1">
      <alignment vertical="top" wrapText="1"/>
    </xf>
    <xf numFmtId="4" fontId="4" fillId="9" borderId="87" xfId="0" applyNumberFormat="1" applyFont="1" applyFill="1" applyBorder="1" applyAlignment="1">
      <alignment vertical="top" wrapText="1"/>
    </xf>
    <xf numFmtId="4" fontId="4" fillId="9" borderId="57" xfId="0" applyNumberFormat="1" applyFont="1" applyFill="1" applyBorder="1" applyAlignment="1">
      <alignment vertical="top" wrapText="1"/>
    </xf>
    <xf numFmtId="10" fontId="12" fillId="19" borderId="37" xfId="4" applyNumberFormat="1" applyFont="1" applyFill="1" applyBorder="1" applyAlignment="1">
      <alignment horizontal="left" vertical="top" wrapText="1"/>
    </xf>
    <xf numFmtId="0" fontId="12" fillId="19" borderId="37" xfId="0" applyFont="1" applyFill="1" applyBorder="1" applyAlignment="1">
      <alignment horizontal="left" vertical="top" wrapText="1"/>
    </xf>
    <xf numFmtId="0" fontId="4" fillId="19" borderId="37" xfId="0" applyFont="1" applyFill="1" applyBorder="1" applyAlignment="1">
      <alignment vertical="top"/>
    </xf>
    <xf numFmtId="0" fontId="4" fillId="19" borderId="37" xfId="0" applyFont="1" applyFill="1" applyBorder="1" applyAlignment="1">
      <alignment vertical="top" wrapText="1"/>
    </xf>
    <xf numFmtId="0" fontId="12" fillId="19" borderId="37" xfId="0" applyFont="1" applyFill="1" applyBorder="1" applyAlignment="1">
      <alignment vertical="top"/>
    </xf>
    <xf numFmtId="0" fontId="12" fillId="20" borderId="37" xfId="0" applyFont="1" applyFill="1" applyBorder="1" applyAlignment="1">
      <alignment vertical="top"/>
    </xf>
    <xf numFmtId="3" fontId="21" fillId="20" borderId="37" xfId="0" applyNumberFormat="1" applyFont="1" applyFill="1" applyBorder="1" applyAlignment="1">
      <alignment horizontal="right" vertical="top"/>
    </xf>
    <xf numFmtId="4" fontId="21" fillId="20" borderId="37" xfId="0" applyNumberFormat="1" applyFont="1" applyFill="1" applyBorder="1" applyAlignment="1">
      <alignment horizontal="right" vertical="top"/>
    </xf>
    <xf numFmtId="4" fontId="21" fillId="20" borderId="39" xfId="0" applyNumberFormat="1" applyFont="1" applyFill="1" applyBorder="1" applyAlignment="1">
      <alignment horizontal="right" vertical="top"/>
    </xf>
    <xf numFmtId="4" fontId="12" fillId="20" borderId="61" xfId="0" applyNumberFormat="1" applyFont="1" applyFill="1" applyBorder="1" applyAlignment="1">
      <alignment horizontal="right" vertical="top"/>
    </xf>
    <xf numFmtId="10" fontId="21" fillId="20" borderId="37" xfId="0" applyNumberFormat="1" applyFont="1" applyFill="1" applyBorder="1" applyAlignment="1">
      <alignment horizontal="right" vertical="top"/>
    </xf>
    <xf numFmtId="10" fontId="21" fillId="20" borderId="39" xfId="0" applyNumberFormat="1" applyFont="1" applyFill="1" applyBorder="1" applyAlignment="1">
      <alignment horizontal="right" vertical="top"/>
    </xf>
    <xf numFmtId="4" fontId="12" fillId="20" borderId="62" xfId="0" applyNumberFormat="1" applyFont="1" applyFill="1" applyBorder="1" applyAlignment="1">
      <alignment horizontal="right" vertical="top"/>
    </xf>
    <xf numFmtId="10" fontId="12" fillId="20" borderId="37" xfId="0" applyNumberFormat="1" applyFont="1" applyFill="1" applyBorder="1" applyAlignment="1">
      <alignment horizontal="right" vertical="top"/>
    </xf>
    <xf numFmtId="4" fontId="12" fillId="20" borderId="37" xfId="0" applyNumberFormat="1" applyFont="1" applyFill="1" applyBorder="1" applyAlignment="1">
      <alignment horizontal="right" vertical="top"/>
    </xf>
    <xf numFmtId="10" fontId="12" fillId="20" borderId="63" xfId="0" applyNumberFormat="1" applyFont="1" applyFill="1" applyBorder="1" applyAlignment="1">
      <alignment horizontal="right" vertical="top"/>
    </xf>
    <xf numFmtId="4" fontId="12" fillId="20" borderId="64" xfId="0" applyNumberFormat="1" applyFont="1" applyFill="1" applyBorder="1" applyAlignment="1">
      <alignment horizontal="right" vertical="top"/>
    </xf>
    <xf numFmtId="4" fontId="21" fillId="20" borderId="62" xfId="0" applyNumberFormat="1" applyFont="1" applyFill="1" applyBorder="1" applyAlignment="1">
      <alignment horizontal="right" vertical="top"/>
    </xf>
    <xf numFmtId="10" fontId="2" fillId="20" borderId="66" xfId="0" applyNumberFormat="1" applyFont="1" applyFill="1" applyBorder="1" applyAlignment="1">
      <alignment horizontal="right" vertical="top"/>
    </xf>
    <xf numFmtId="4" fontId="12" fillId="20" borderId="117" xfId="0" applyNumberFormat="1" applyFont="1" applyFill="1" applyBorder="1" applyAlignment="1">
      <alignment horizontal="right" vertical="top"/>
    </xf>
    <xf numFmtId="4" fontId="12" fillId="19" borderId="66" xfId="0" applyNumberFormat="1" applyFont="1" applyFill="1" applyBorder="1" applyAlignment="1">
      <alignment horizontal="right" vertical="top"/>
    </xf>
    <xf numFmtId="10" fontId="12" fillId="19" borderId="2" xfId="4" applyNumberFormat="1" applyFont="1" applyFill="1" applyBorder="1" applyAlignment="1">
      <alignment horizontal="left" vertical="top" wrapText="1"/>
    </xf>
    <xf numFmtId="0" fontId="12" fillId="19" borderId="2" xfId="0" applyFont="1" applyFill="1" applyBorder="1" applyAlignment="1">
      <alignment horizontal="left" vertical="top" wrapText="1"/>
    </xf>
    <xf numFmtId="0" fontId="4" fillId="19" borderId="2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vertical="top"/>
    </xf>
    <xf numFmtId="0" fontId="4" fillId="20" borderId="2" xfId="0" applyFont="1" applyFill="1" applyBorder="1" applyAlignment="1">
      <alignment vertical="top" wrapText="1"/>
    </xf>
    <xf numFmtId="3" fontId="21" fillId="20" borderId="2" xfId="0" applyNumberFormat="1" applyFont="1" applyFill="1" applyBorder="1" applyAlignment="1">
      <alignment horizontal="right" vertical="top"/>
    </xf>
    <xf numFmtId="4" fontId="21" fillId="20" borderId="2" xfId="0" applyNumberFormat="1" applyFont="1" applyFill="1" applyBorder="1" applyAlignment="1">
      <alignment horizontal="right" vertical="top"/>
    </xf>
    <xf numFmtId="4" fontId="21" fillId="20" borderId="3" xfId="0" applyNumberFormat="1" applyFont="1" applyFill="1" applyBorder="1" applyAlignment="1">
      <alignment horizontal="right" vertical="top"/>
    </xf>
    <xf numFmtId="4" fontId="12" fillId="20" borderId="69" xfId="0" applyNumberFormat="1" applyFont="1" applyFill="1" applyBorder="1" applyAlignment="1">
      <alignment horizontal="right" vertical="top"/>
    </xf>
    <xf numFmtId="10" fontId="21" fillId="20" borderId="2" xfId="0" applyNumberFormat="1" applyFont="1" applyFill="1" applyBorder="1" applyAlignment="1">
      <alignment horizontal="right" vertical="top"/>
    </xf>
    <xf numFmtId="10" fontId="21" fillId="20" borderId="3" xfId="0" applyNumberFormat="1" applyFont="1" applyFill="1" applyBorder="1" applyAlignment="1">
      <alignment horizontal="right" vertical="top"/>
    </xf>
    <xf numFmtId="4" fontId="12" fillId="20" borderId="8" xfId="0" applyNumberFormat="1" applyFont="1" applyFill="1" applyBorder="1" applyAlignment="1">
      <alignment horizontal="right" vertical="top"/>
    </xf>
    <xf numFmtId="10" fontId="12" fillId="20" borderId="2" xfId="0" applyNumberFormat="1" applyFont="1" applyFill="1" applyBorder="1" applyAlignment="1">
      <alignment horizontal="right" vertical="top"/>
    </xf>
    <xf numFmtId="4" fontId="12" fillId="20" borderId="2" xfId="0" applyNumberFormat="1" applyFont="1" applyFill="1" applyBorder="1" applyAlignment="1">
      <alignment horizontal="right" vertical="top"/>
    </xf>
    <xf numFmtId="10" fontId="12" fillId="20" borderId="9" xfId="0" applyNumberFormat="1" applyFont="1" applyFill="1" applyBorder="1" applyAlignment="1">
      <alignment horizontal="right" vertical="top"/>
    </xf>
    <xf numFmtId="4" fontId="12" fillId="20" borderId="70" xfId="0" applyNumberFormat="1" applyFont="1" applyFill="1" applyBorder="1" applyAlignment="1">
      <alignment horizontal="right" vertical="top"/>
    </xf>
    <xf numFmtId="4" fontId="21" fillId="20" borderId="8" xfId="0" applyNumberFormat="1" applyFont="1" applyFill="1" applyBorder="1" applyAlignment="1">
      <alignment horizontal="right" vertical="top"/>
    </xf>
    <xf numFmtId="10" fontId="2" fillId="20" borderId="72" xfId="0" applyNumberFormat="1" applyFont="1" applyFill="1" applyBorder="1" applyAlignment="1">
      <alignment horizontal="right" vertical="top"/>
    </xf>
    <xf numFmtId="4" fontId="12" fillId="20" borderId="5" xfId="0" applyNumberFormat="1" applyFont="1" applyFill="1" applyBorder="1" applyAlignment="1">
      <alignment horizontal="right" vertical="top"/>
    </xf>
    <xf numFmtId="4" fontId="12" fillId="19" borderId="72" xfId="0" applyNumberFormat="1" applyFont="1" applyFill="1" applyBorder="1" applyAlignment="1">
      <alignment horizontal="right" vertical="top"/>
    </xf>
    <xf numFmtId="10" fontId="12" fillId="20" borderId="69" xfId="0" applyNumberFormat="1" applyFont="1" applyFill="1" applyBorder="1" applyAlignment="1">
      <alignment horizontal="right" vertical="top"/>
    </xf>
    <xf numFmtId="10" fontId="12" fillId="20" borderId="8" xfId="0" applyNumberFormat="1" applyFont="1" applyFill="1" applyBorder="1" applyAlignment="1">
      <alignment horizontal="right" vertical="top"/>
    </xf>
    <xf numFmtId="10" fontId="21" fillId="20" borderId="8" xfId="0" applyNumberFormat="1" applyFont="1" applyFill="1" applyBorder="1" applyAlignment="1">
      <alignment horizontal="right" vertical="top"/>
    </xf>
    <xf numFmtId="0" fontId="33" fillId="20" borderId="2" xfId="0" applyFont="1" applyFill="1" applyBorder="1" applyAlignment="1">
      <alignment vertical="top"/>
    </xf>
    <xf numFmtId="0" fontId="34" fillId="19" borderId="2" xfId="0" applyFont="1" applyFill="1" applyBorder="1" applyAlignment="1">
      <alignment vertical="top" wrapText="1"/>
    </xf>
    <xf numFmtId="0" fontId="31" fillId="19" borderId="2" xfId="0" applyFont="1" applyFill="1" applyBorder="1" applyAlignment="1">
      <alignment vertical="top"/>
    </xf>
    <xf numFmtId="0" fontId="31" fillId="20" borderId="2" xfId="0" applyFont="1" applyFill="1" applyBorder="1" applyAlignment="1">
      <alignment vertical="top"/>
    </xf>
    <xf numFmtId="3" fontId="35" fillId="20" borderId="2" xfId="0" applyNumberFormat="1" applyFont="1" applyFill="1" applyBorder="1" applyAlignment="1">
      <alignment horizontal="right" vertical="top"/>
    </xf>
    <xf numFmtId="4" fontId="35" fillId="20" borderId="2" xfId="0" applyNumberFormat="1" applyFont="1" applyFill="1" applyBorder="1" applyAlignment="1">
      <alignment horizontal="right" vertical="top"/>
    </xf>
    <xf numFmtId="4" fontId="35" fillId="20" borderId="3" xfId="0" applyNumberFormat="1" applyFont="1" applyFill="1" applyBorder="1" applyAlignment="1">
      <alignment horizontal="right" vertical="top"/>
    </xf>
    <xf numFmtId="4" fontId="31" fillId="20" borderId="69" xfId="0" applyNumberFormat="1" applyFont="1" applyFill="1" applyBorder="1" applyAlignment="1">
      <alignment horizontal="right" vertical="top"/>
    </xf>
    <xf numFmtId="10" fontId="35" fillId="20" borderId="2" xfId="0" applyNumberFormat="1" applyFont="1" applyFill="1" applyBorder="1" applyAlignment="1">
      <alignment horizontal="right" vertical="top"/>
    </xf>
    <xf numFmtId="10" fontId="35" fillId="20" borderId="3" xfId="0" applyNumberFormat="1" applyFont="1" applyFill="1" applyBorder="1" applyAlignment="1">
      <alignment horizontal="right" vertical="top"/>
    </xf>
    <xf numFmtId="4" fontId="31" fillId="20" borderId="8" xfId="0" applyNumberFormat="1" applyFont="1" applyFill="1" applyBorder="1" applyAlignment="1">
      <alignment horizontal="right" vertical="top"/>
    </xf>
    <xf numFmtId="10" fontId="31" fillId="20" borderId="2" xfId="0" applyNumberFormat="1" applyFont="1" applyFill="1" applyBorder="1" applyAlignment="1">
      <alignment horizontal="right" vertical="top"/>
    </xf>
    <xf numFmtId="4" fontId="31" fillId="20" borderId="2" xfId="0" applyNumberFormat="1" applyFont="1" applyFill="1" applyBorder="1" applyAlignment="1">
      <alignment horizontal="right" vertical="top"/>
    </xf>
    <xf numFmtId="10" fontId="31" fillId="20" borderId="9" xfId="0" applyNumberFormat="1" applyFont="1" applyFill="1" applyBorder="1" applyAlignment="1">
      <alignment horizontal="right" vertical="top"/>
    </xf>
    <xf numFmtId="4" fontId="31" fillId="20" borderId="70" xfId="0" applyNumberFormat="1" applyFont="1" applyFill="1" applyBorder="1" applyAlignment="1">
      <alignment horizontal="right" vertical="top"/>
    </xf>
    <xf numFmtId="4" fontId="35" fillId="20" borderId="8" xfId="0" applyNumberFormat="1" applyFont="1" applyFill="1" applyBorder="1" applyAlignment="1">
      <alignment horizontal="right" vertical="top"/>
    </xf>
    <xf numFmtId="10" fontId="36" fillId="20" borderId="72" xfId="0" applyNumberFormat="1" applyFont="1" applyFill="1" applyBorder="1" applyAlignment="1">
      <alignment horizontal="right" vertical="top"/>
    </xf>
    <xf numFmtId="4" fontId="31" fillId="20" borderId="5" xfId="0" applyNumberFormat="1" applyFont="1" applyFill="1" applyBorder="1" applyAlignment="1">
      <alignment horizontal="right" vertical="top"/>
    </xf>
    <xf numFmtId="4" fontId="31" fillId="19" borderId="72" xfId="0" applyNumberFormat="1" applyFont="1" applyFill="1" applyBorder="1" applyAlignment="1">
      <alignment horizontal="right" vertical="top"/>
    </xf>
    <xf numFmtId="0" fontId="4" fillId="19" borderId="2" xfId="0" applyFont="1" applyFill="1" applyBorder="1" applyAlignment="1">
      <alignment vertical="top"/>
    </xf>
    <xf numFmtId="0" fontId="12" fillId="20" borderId="2" xfId="0" applyFont="1" applyFill="1" applyBorder="1" applyAlignment="1">
      <alignment vertical="top"/>
    </xf>
    <xf numFmtId="0" fontId="12" fillId="19" borderId="2" xfId="0" applyFont="1" applyFill="1" applyBorder="1" applyAlignment="1">
      <alignment vertical="top" wrapText="1"/>
    </xf>
    <xf numFmtId="0" fontId="12" fillId="20" borderId="50" xfId="0" applyFont="1" applyFill="1" applyBorder="1" applyAlignment="1">
      <alignment vertical="top"/>
    </xf>
    <xf numFmtId="0" fontId="12" fillId="20" borderId="50" xfId="0" applyFont="1" applyFill="1" applyBorder="1" applyAlignment="1">
      <alignment horizontal="left" vertical="top"/>
    </xf>
    <xf numFmtId="0" fontId="4" fillId="20" borderId="50" xfId="0" applyFont="1" applyFill="1" applyBorder="1" applyAlignment="1">
      <alignment vertical="top" wrapText="1"/>
    </xf>
    <xf numFmtId="0" fontId="21" fillId="20" borderId="50" xfId="0" applyFont="1" applyFill="1" applyBorder="1" applyAlignment="1">
      <alignment horizontal="right" vertical="top"/>
    </xf>
    <xf numFmtId="0" fontId="21" fillId="20" borderId="52" xfId="0" applyFont="1" applyFill="1" applyBorder="1" applyAlignment="1">
      <alignment vertical="top"/>
    </xf>
    <xf numFmtId="4" fontId="12" fillId="20" borderId="53" xfId="0" applyNumberFormat="1" applyFont="1" applyFill="1" applyBorder="1" applyAlignment="1">
      <alignment vertical="top"/>
    </xf>
    <xf numFmtId="10" fontId="21" fillId="20" borderId="50" xfId="0" applyNumberFormat="1" applyFont="1" applyFill="1" applyBorder="1" applyAlignment="1">
      <alignment horizontal="right" vertical="top"/>
    </xf>
    <xf numFmtId="4" fontId="12" fillId="20" borderId="54" xfId="0" applyNumberFormat="1" applyFont="1" applyFill="1" applyBorder="1" applyAlignment="1">
      <alignment vertical="top"/>
    </xf>
    <xf numFmtId="10" fontId="12" fillId="20" borderId="50" xfId="0" applyNumberFormat="1" applyFont="1" applyFill="1" applyBorder="1" applyAlignment="1">
      <alignment horizontal="right" vertical="top"/>
    </xf>
    <xf numFmtId="4" fontId="12" fillId="20" borderId="50" xfId="0" applyNumberFormat="1" applyFont="1" applyFill="1" applyBorder="1" applyAlignment="1">
      <alignment vertical="top"/>
    </xf>
    <xf numFmtId="10" fontId="21" fillId="20" borderId="50" xfId="0" applyNumberFormat="1" applyFont="1" applyFill="1" applyBorder="1" applyAlignment="1">
      <alignment vertical="top"/>
    </xf>
    <xf numFmtId="10" fontId="12" fillId="20" borderId="55" xfId="0" applyNumberFormat="1" applyFont="1" applyFill="1" applyBorder="1" applyAlignment="1">
      <alignment vertical="top"/>
    </xf>
    <xf numFmtId="4" fontId="12" fillId="20" borderId="116" xfId="0" applyNumberFormat="1" applyFont="1" applyFill="1" applyBorder="1" applyAlignment="1">
      <alignment vertical="top"/>
    </xf>
    <xf numFmtId="4" fontId="21" fillId="20" borderId="54" xfId="0" applyNumberFormat="1" applyFont="1" applyFill="1" applyBorder="1" applyAlignment="1">
      <alignment vertical="top"/>
    </xf>
    <xf numFmtId="10" fontId="2" fillId="20" borderId="57" xfId="0" applyNumberFormat="1" applyFont="1" applyFill="1" applyBorder="1" applyAlignment="1">
      <alignment vertical="top"/>
    </xf>
    <xf numFmtId="4" fontId="12" fillId="20" borderId="87" xfId="0" applyNumberFormat="1" applyFont="1" applyFill="1" applyBorder="1" applyAlignment="1">
      <alignment vertical="top"/>
    </xf>
    <xf numFmtId="4" fontId="12" fillId="20" borderId="57" xfId="0" applyNumberFormat="1" applyFont="1" applyFill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pivotButton="1"/>
    <xf numFmtId="165" fontId="0" fillId="0" borderId="0" xfId="0" applyNumberFormat="1"/>
    <xf numFmtId="0" fontId="4" fillId="18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38" fillId="0" borderId="0" xfId="0" applyFont="1"/>
    <xf numFmtId="0" fontId="25" fillId="6" borderId="0" xfId="1" applyFont="1" applyFill="1" applyBorder="1" applyAlignment="1">
      <alignment horizontal="center" vertical="center" wrapText="1"/>
    </xf>
    <xf numFmtId="10" fontId="12" fillId="18" borderId="60" xfId="4" applyNumberFormat="1" applyFont="1" applyFill="1" applyBorder="1" applyAlignment="1">
      <alignment vertical="top" wrapText="1"/>
    </xf>
    <xf numFmtId="0" fontId="12" fillId="18" borderId="60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Fill="1" applyBorder="1"/>
    <xf numFmtId="0" fontId="12" fillId="0" borderId="2" xfId="0" applyFont="1" applyFill="1" applyBorder="1" applyAlignment="1">
      <alignment horizontal="left" vertical="top" wrapText="1"/>
    </xf>
    <xf numFmtId="49" fontId="4" fillId="9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3" fontId="21" fillId="0" borderId="2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37" fillId="21" borderId="2" xfId="0" applyFont="1" applyFill="1" applyBorder="1" applyAlignment="1">
      <alignment horizontal="center" vertical="top" wrapText="1"/>
    </xf>
    <xf numFmtId="165" fontId="0" fillId="0" borderId="2" xfId="0" applyNumberFormat="1" applyBorder="1"/>
    <xf numFmtId="165" fontId="38" fillId="22" borderId="2" xfId="0" applyNumberFormat="1" applyFont="1" applyFill="1" applyBorder="1"/>
    <xf numFmtId="1" fontId="2" fillId="9" borderId="2" xfId="0" applyNumberFormat="1" applyFont="1" applyFill="1" applyBorder="1" applyAlignment="1">
      <alignment horizontal="right" vertical="top" wrapText="1"/>
    </xf>
    <xf numFmtId="165" fontId="0" fillId="0" borderId="2" xfId="0" applyNumberFormat="1" applyFont="1" applyBorder="1"/>
    <xf numFmtId="0" fontId="38" fillId="22" borderId="2" xfId="0" applyFont="1" applyFill="1" applyBorder="1"/>
    <xf numFmtId="0" fontId="0" fillId="9" borderId="2" xfId="0" applyFill="1" applyBorder="1"/>
    <xf numFmtId="165" fontId="0" fillId="9" borderId="2" xfId="0" applyNumberFormat="1" applyFill="1" applyBorder="1"/>
    <xf numFmtId="165" fontId="0" fillId="9" borderId="2" xfId="0" applyNumberFormat="1" applyFont="1" applyFill="1" applyBorder="1"/>
    <xf numFmtId="165" fontId="0" fillId="9" borderId="0" xfId="0" applyNumberFormat="1" applyFill="1"/>
    <xf numFmtId="10" fontId="0" fillId="0" borderId="2" xfId="0" applyNumberFormat="1" applyFont="1" applyBorder="1"/>
    <xf numFmtId="10" fontId="0" fillId="9" borderId="2" xfId="0" applyNumberFormat="1" applyFont="1" applyFill="1" applyBorder="1"/>
    <xf numFmtId="165" fontId="0" fillId="0" borderId="4" xfId="0" applyNumberFormat="1" applyBorder="1"/>
    <xf numFmtId="165" fontId="0" fillId="0" borderId="4" xfId="0" applyNumberFormat="1" applyFont="1" applyBorder="1"/>
    <xf numFmtId="0" fontId="39" fillId="0" borderId="2" xfId="0" applyFont="1" applyFill="1" applyBorder="1" applyAlignment="1">
      <alignment horizontal="center" vertical="top" wrapText="1"/>
    </xf>
    <xf numFmtId="0" fontId="39" fillId="3" borderId="2" xfId="0" applyFont="1" applyFill="1" applyBorder="1" applyAlignment="1">
      <alignment horizontal="center" vertical="top" wrapText="1"/>
    </xf>
    <xf numFmtId="0" fontId="39" fillId="8" borderId="2" xfId="0" applyFont="1" applyFill="1" applyBorder="1" applyAlignment="1">
      <alignment horizontal="center" vertical="top" wrapText="1"/>
    </xf>
    <xf numFmtId="0" fontId="39" fillId="24" borderId="2" xfId="0" applyFont="1" applyFill="1" applyBorder="1" applyAlignment="1">
      <alignment horizontal="center" vertical="top" wrapText="1"/>
    </xf>
    <xf numFmtId="0" fontId="39" fillId="23" borderId="2" xfId="0" applyFont="1" applyFill="1" applyBorder="1" applyAlignment="1">
      <alignment horizontal="center" vertical="top" wrapText="1"/>
    </xf>
    <xf numFmtId="3" fontId="40" fillId="0" borderId="2" xfId="0" applyNumberFormat="1" applyFont="1" applyFill="1" applyBorder="1" applyAlignment="1">
      <alignment horizontal="right" vertical="top"/>
    </xf>
    <xf numFmtId="10" fontId="41" fillId="0" borderId="2" xfId="0" applyNumberFormat="1" applyFont="1" applyBorder="1"/>
    <xf numFmtId="0" fontId="42" fillId="0" borderId="2" xfId="0" applyFont="1" applyBorder="1"/>
    <xf numFmtId="0" fontId="42" fillId="0" borderId="2" xfId="0" applyFont="1" applyFill="1" applyBorder="1"/>
    <xf numFmtId="0" fontId="40" fillId="0" borderId="2" xfId="0" applyFont="1" applyFill="1" applyBorder="1" applyAlignment="1">
      <alignment horizontal="right" vertical="top"/>
    </xf>
    <xf numFmtId="165" fontId="42" fillId="22" borderId="2" xfId="0" applyNumberFormat="1" applyFont="1" applyFill="1" applyBorder="1"/>
    <xf numFmtId="165" fontId="41" fillId="22" borderId="2" xfId="0" applyNumberFormat="1" applyFont="1" applyFill="1" applyBorder="1"/>
    <xf numFmtId="0" fontId="41" fillId="0" borderId="2" xfId="0" applyFont="1" applyBorder="1"/>
    <xf numFmtId="4" fontId="40" fillId="0" borderId="2" xfId="0" applyNumberFormat="1" applyFont="1" applyFill="1" applyBorder="1" applyAlignment="1">
      <alignment horizontal="right" vertical="top" wrapText="1"/>
    </xf>
    <xf numFmtId="4" fontId="40" fillId="0" borderId="2" xfId="0" applyNumberFormat="1" applyFont="1" applyFill="1" applyBorder="1" applyAlignment="1">
      <alignment horizontal="right" vertical="top"/>
    </xf>
    <xf numFmtId="10" fontId="13" fillId="0" borderId="2" xfId="0" applyNumberFormat="1" applyFont="1" applyBorder="1"/>
    <xf numFmtId="0" fontId="39" fillId="0" borderId="2" xfId="0" applyFont="1" applyBorder="1"/>
    <xf numFmtId="10" fontId="13" fillId="9" borderId="2" xfId="0" applyNumberFormat="1" applyFont="1" applyFill="1" applyBorder="1"/>
    <xf numFmtId="0" fontId="39" fillId="0" borderId="2" xfId="0" applyFont="1" applyFill="1" applyBorder="1"/>
    <xf numFmtId="0" fontId="13" fillId="0" borderId="2" xfId="0" applyFon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9" borderId="5" xfId="0" applyNumberFormat="1" applyFill="1" applyBorder="1"/>
    <xf numFmtId="165" fontId="0" fillId="9" borderId="3" xfId="0" applyNumberFormat="1" applyFill="1" applyBorder="1"/>
    <xf numFmtId="165" fontId="0" fillId="0" borderId="5" xfId="0" applyNumberFormat="1" applyBorder="1"/>
    <xf numFmtId="165" fontId="0" fillId="0" borderId="3" xfId="0" applyNumberFormat="1" applyBorder="1"/>
    <xf numFmtId="165" fontId="0" fillId="0" borderId="25" xfId="0" applyNumberFormat="1" applyBorder="1"/>
    <xf numFmtId="165" fontId="0" fillId="0" borderId="6" xfId="0" applyNumberFormat="1" applyBorder="1"/>
    <xf numFmtId="165" fontId="0" fillId="0" borderId="15" xfId="0" applyNumberFormat="1" applyBorder="1"/>
    <xf numFmtId="0" fontId="12" fillId="15" borderId="6" xfId="0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49" fontId="4" fillId="5" borderId="20" xfId="3" applyNumberFormat="1" applyFont="1" applyFill="1" applyBorder="1" applyAlignment="1">
      <alignment horizontal="center" vertical="center"/>
    </xf>
    <xf numFmtId="49" fontId="4" fillId="5" borderId="20" xfId="3" applyNumberFormat="1" applyFont="1" applyFill="1" applyBorder="1" applyAlignment="1">
      <alignment horizontal="center" vertical="center" wrapText="1"/>
    </xf>
    <xf numFmtId="49" fontId="4" fillId="5" borderId="20" xfId="3" applyNumberFormat="1" applyFont="1" applyFill="1" applyBorder="1" applyAlignment="1">
      <alignment horizontal="left" vertical="center" wrapText="1"/>
    </xf>
    <xf numFmtId="49" fontId="4" fillId="15" borderId="2" xfId="3" applyNumberFormat="1" applyFont="1" applyFill="1" applyBorder="1" applyAlignment="1">
      <alignment horizontal="center" vertical="center"/>
    </xf>
    <xf numFmtId="49" fontId="4" fillId="15" borderId="2" xfId="3" applyNumberFormat="1" applyFont="1" applyFill="1" applyBorder="1" applyAlignment="1">
      <alignment horizontal="center" vertical="center" wrapText="1"/>
    </xf>
    <xf numFmtId="49" fontId="4" fillId="15" borderId="2" xfId="3" applyNumberFormat="1" applyFont="1" applyFill="1" applyBorder="1" applyAlignment="1">
      <alignment horizontal="left" vertical="center" wrapText="1"/>
    </xf>
    <xf numFmtId="49" fontId="4" fillId="15" borderId="20" xfId="3" applyNumberFormat="1" applyFont="1" applyFill="1" applyBorder="1" applyAlignment="1">
      <alignment horizontal="center" vertical="center"/>
    </xf>
    <xf numFmtId="49" fontId="4" fillId="15" borderId="20" xfId="3" applyNumberFormat="1" applyFont="1" applyFill="1" applyBorder="1" applyAlignment="1">
      <alignment horizontal="center" vertical="center" wrapText="1"/>
    </xf>
    <xf numFmtId="49" fontId="4" fillId="15" borderId="20" xfId="3" applyNumberFormat="1" applyFont="1" applyFill="1" applyBorder="1" applyAlignment="1">
      <alignment horizontal="left" vertical="center" wrapText="1"/>
    </xf>
    <xf numFmtId="49" fontId="4" fillId="15" borderId="17" xfId="3" applyNumberFormat="1" applyFont="1" applyFill="1" applyBorder="1" applyAlignment="1">
      <alignment horizontal="center" vertical="center"/>
    </xf>
    <xf numFmtId="49" fontId="4" fillId="15" borderId="17" xfId="3" applyNumberFormat="1" applyFont="1" applyFill="1" applyBorder="1" applyAlignment="1">
      <alignment horizontal="center" vertical="center" wrapText="1"/>
    </xf>
    <xf numFmtId="49" fontId="4" fillId="15" borderId="17" xfId="3" applyNumberFormat="1" applyFont="1" applyFill="1" applyBorder="1" applyAlignment="1">
      <alignment horizontal="left" vertical="center" wrapText="1"/>
    </xf>
    <xf numFmtId="49" fontId="4" fillId="5" borderId="17" xfId="3" applyNumberFormat="1" applyFont="1" applyFill="1" applyBorder="1" applyAlignment="1">
      <alignment horizontal="center" vertical="center"/>
    </xf>
    <xf numFmtId="49" fontId="4" fillId="5" borderId="17" xfId="3" applyNumberFormat="1" applyFont="1" applyFill="1" applyBorder="1" applyAlignment="1">
      <alignment horizontal="center" vertical="center" wrapText="1"/>
    </xf>
    <xf numFmtId="49" fontId="4" fillId="5" borderId="17" xfId="3" applyNumberFormat="1" applyFont="1" applyFill="1" applyBorder="1" applyAlignment="1">
      <alignment horizontal="left" vertical="center" wrapText="1"/>
    </xf>
    <xf numFmtId="49" fontId="4" fillId="25" borderId="2" xfId="3" applyNumberFormat="1" applyFont="1" applyFill="1" applyBorder="1" applyAlignment="1">
      <alignment horizontal="center" vertical="center"/>
    </xf>
    <xf numFmtId="49" fontId="4" fillId="25" borderId="2" xfId="3" applyNumberFormat="1" applyFont="1" applyFill="1" applyBorder="1" applyAlignment="1">
      <alignment horizontal="center" vertical="center" wrapText="1"/>
    </xf>
    <xf numFmtId="49" fontId="4" fillId="25" borderId="2" xfId="3" applyNumberFormat="1" applyFont="1" applyFill="1" applyBorder="1" applyAlignment="1">
      <alignment horizontal="left" vertical="center" wrapText="1"/>
    </xf>
    <xf numFmtId="49" fontId="4" fillId="25" borderId="17" xfId="3" applyNumberFormat="1" applyFont="1" applyFill="1" applyBorder="1" applyAlignment="1">
      <alignment horizontal="center" vertical="center" wrapText="1"/>
    </xf>
    <xf numFmtId="49" fontId="4" fillId="25" borderId="20" xfId="3" applyNumberFormat="1" applyFont="1" applyFill="1" applyBorder="1" applyAlignment="1">
      <alignment horizontal="center" vertical="center"/>
    </xf>
    <xf numFmtId="49" fontId="4" fillId="25" borderId="20" xfId="3" applyNumberFormat="1" applyFont="1" applyFill="1" applyBorder="1" applyAlignment="1">
      <alignment horizontal="center" vertical="center" wrapText="1"/>
    </xf>
    <xf numFmtId="49" fontId="4" fillId="25" borderId="20" xfId="3" applyNumberFormat="1" applyFont="1" applyFill="1" applyBorder="1" applyAlignment="1">
      <alignment horizontal="left" vertical="center" wrapText="1"/>
    </xf>
    <xf numFmtId="49" fontId="4" fillId="25" borderId="17" xfId="3" applyNumberFormat="1" applyFont="1" applyFill="1" applyBorder="1" applyAlignment="1">
      <alignment horizontal="center" vertical="center"/>
    </xf>
    <xf numFmtId="49" fontId="4" fillId="25" borderId="17" xfId="3" applyNumberFormat="1" applyFont="1" applyFill="1" applyBorder="1" applyAlignment="1">
      <alignment horizontal="left" vertical="center" wrapText="1"/>
    </xf>
    <xf numFmtId="49" fontId="4" fillId="26" borderId="17" xfId="3" applyNumberFormat="1" applyFont="1" applyFill="1" applyBorder="1" applyAlignment="1">
      <alignment horizontal="center" vertical="center"/>
    </xf>
    <xf numFmtId="49" fontId="4" fillId="26" borderId="17" xfId="3" applyNumberFormat="1" applyFont="1" applyFill="1" applyBorder="1" applyAlignment="1">
      <alignment horizontal="center" vertical="center" wrapText="1"/>
    </xf>
    <xf numFmtId="49" fontId="4" fillId="26" borderId="17" xfId="3" applyNumberFormat="1" applyFont="1" applyFill="1" applyBorder="1" applyAlignment="1">
      <alignment horizontal="left" vertical="center" wrapText="1"/>
    </xf>
    <xf numFmtId="49" fontId="4" fillId="26" borderId="2" xfId="3" applyNumberFormat="1" applyFont="1" applyFill="1" applyBorder="1" applyAlignment="1">
      <alignment horizontal="center" vertical="center"/>
    </xf>
    <xf numFmtId="49" fontId="4" fillId="26" borderId="2" xfId="3" applyNumberFormat="1" applyFont="1" applyFill="1" applyBorder="1" applyAlignment="1">
      <alignment horizontal="center" vertical="center" wrapText="1"/>
    </xf>
    <xf numFmtId="49" fontId="4" fillId="26" borderId="2" xfId="3" applyNumberFormat="1" applyFont="1" applyFill="1" applyBorder="1" applyAlignment="1">
      <alignment horizontal="left" vertical="center" wrapText="1"/>
    </xf>
    <xf numFmtId="49" fontId="4" fillId="26" borderId="20" xfId="3" applyNumberFormat="1" applyFont="1" applyFill="1" applyBorder="1" applyAlignment="1">
      <alignment horizontal="center" vertical="center"/>
    </xf>
    <xf numFmtId="49" fontId="4" fillId="26" borderId="20" xfId="3" applyNumberFormat="1" applyFont="1" applyFill="1" applyBorder="1" applyAlignment="1">
      <alignment horizontal="center" vertical="center" wrapText="1"/>
    </xf>
    <xf numFmtId="49" fontId="4" fillId="26" borderId="20" xfId="3" applyNumberFormat="1" applyFont="1" applyFill="1" applyBorder="1" applyAlignment="1">
      <alignment horizontal="left" vertical="center" wrapText="1"/>
    </xf>
    <xf numFmtId="10" fontId="43" fillId="15" borderId="17" xfId="2" applyNumberFormat="1" applyFont="1" applyFill="1" applyBorder="1" applyAlignment="1">
      <alignment horizontal="right" vertical="center" wrapText="1"/>
    </xf>
    <xf numFmtId="10" fontId="43" fillId="15" borderId="2" xfId="2" applyNumberFormat="1" applyFont="1" applyFill="1" applyBorder="1" applyAlignment="1">
      <alignment horizontal="right" vertical="center" wrapText="1"/>
    </xf>
    <xf numFmtId="10" fontId="43" fillId="25" borderId="17" xfId="2" applyNumberFormat="1" applyFont="1" applyFill="1" applyBorder="1" applyAlignment="1">
      <alignment horizontal="right" vertical="center" wrapText="1"/>
    </xf>
    <xf numFmtId="10" fontId="43" fillId="25" borderId="2" xfId="2" applyNumberFormat="1" applyFont="1" applyFill="1" applyBorder="1" applyAlignment="1">
      <alignment horizontal="right" vertical="center" wrapText="1"/>
    </xf>
    <xf numFmtId="10" fontId="43" fillId="26" borderId="2" xfId="2" applyNumberFormat="1" applyFont="1" applyFill="1" applyBorder="1" applyAlignment="1">
      <alignment horizontal="right" vertical="center" wrapText="1"/>
    </xf>
    <xf numFmtId="10" fontId="11" fillId="15" borderId="2" xfId="2" applyNumberFormat="1" applyFont="1" applyFill="1" applyBorder="1" applyAlignment="1">
      <alignment horizontal="right" vertical="center" wrapText="1"/>
    </xf>
    <xf numFmtId="10" fontId="11" fillId="15" borderId="20" xfId="2" applyNumberFormat="1" applyFont="1" applyFill="1" applyBorder="1" applyAlignment="1">
      <alignment horizontal="right" vertical="center" wrapText="1"/>
    </xf>
    <xf numFmtId="10" fontId="11" fillId="5" borderId="17" xfId="2" applyNumberFormat="1" applyFont="1" applyFill="1" applyBorder="1" applyAlignment="1">
      <alignment horizontal="right" vertical="center" wrapText="1"/>
    </xf>
    <xf numFmtId="10" fontId="11" fillId="5" borderId="20" xfId="2" applyNumberFormat="1" applyFont="1" applyFill="1" applyBorder="1" applyAlignment="1">
      <alignment horizontal="right" vertical="center" wrapText="1"/>
    </xf>
    <xf numFmtId="10" fontId="11" fillId="25" borderId="2" xfId="2" applyNumberFormat="1" applyFont="1" applyFill="1" applyBorder="1" applyAlignment="1">
      <alignment horizontal="right" vertical="center" wrapText="1"/>
    </xf>
    <xf numFmtId="10" fontId="11" fillId="25" borderId="20" xfId="2" applyNumberFormat="1" applyFont="1" applyFill="1" applyBorder="1" applyAlignment="1">
      <alignment horizontal="right" vertical="center" wrapText="1"/>
    </xf>
    <xf numFmtId="10" fontId="11" fillId="26" borderId="17" xfId="2" applyNumberFormat="1" applyFont="1" applyFill="1" applyBorder="1" applyAlignment="1">
      <alignment horizontal="right" vertical="center" wrapText="1"/>
    </xf>
    <xf numFmtId="10" fontId="11" fillId="26" borderId="2" xfId="2" applyNumberFormat="1" applyFont="1" applyFill="1" applyBorder="1" applyAlignment="1">
      <alignment horizontal="right" vertical="center" wrapText="1"/>
    </xf>
    <xf numFmtId="10" fontId="11" fillId="26" borderId="20" xfId="2" applyNumberFormat="1" applyFont="1" applyFill="1" applyBorder="1" applyAlignment="1">
      <alignment horizontal="right" vertical="center" wrapText="1"/>
    </xf>
    <xf numFmtId="3" fontId="2" fillId="15" borderId="17" xfId="2" applyNumberFormat="1" applyFont="1" applyFill="1" applyBorder="1" applyAlignment="1">
      <alignment horizontal="center" vertical="center" wrapText="1"/>
    </xf>
    <xf numFmtId="3" fontId="2" fillId="15" borderId="2" xfId="2" applyNumberFormat="1" applyFont="1" applyFill="1" applyBorder="1" applyAlignment="1">
      <alignment horizontal="center" vertical="center" wrapText="1"/>
    </xf>
    <xf numFmtId="3" fontId="2" fillId="15" borderId="20" xfId="2" applyNumberFormat="1" applyFont="1" applyFill="1" applyBorder="1" applyAlignment="1">
      <alignment horizontal="center" vertical="center" wrapText="1"/>
    </xf>
    <xf numFmtId="3" fontId="2" fillId="5" borderId="17" xfId="2" applyNumberFormat="1" applyFont="1" applyFill="1" applyBorder="1" applyAlignment="1">
      <alignment horizontal="center" vertical="center" wrapText="1"/>
    </xf>
    <xf numFmtId="3" fontId="2" fillId="5" borderId="20" xfId="2" applyNumberFormat="1" applyFont="1" applyFill="1" applyBorder="1" applyAlignment="1">
      <alignment horizontal="center" vertical="center" wrapText="1"/>
    </xf>
    <xf numFmtId="3" fontId="2" fillId="25" borderId="17" xfId="2" applyNumberFormat="1" applyFont="1" applyFill="1" applyBorder="1" applyAlignment="1">
      <alignment horizontal="center" vertical="center" wrapText="1"/>
    </xf>
    <xf numFmtId="3" fontId="2" fillId="25" borderId="2" xfId="2" applyNumberFormat="1" applyFont="1" applyFill="1" applyBorder="1" applyAlignment="1">
      <alignment horizontal="center" vertical="center" wrapText="1"/>
    </xf>
    <xf numFmtId="3" fontId="2" fillId="25" borderId="20" xfId="2" applyNumberFormat="1" applyFont="1" applyFill="1" applyBorder="1" applyAlignment="1">
      <alignment horizontal="center" vertical="center" wrapText="1"/>
    </xf>
    <xf numFmtId="3" fontId="2" fillId="26" borderId="17" xfId="2" applyNumberFormat="1" applyFont="1" applyFill="1" applyBorder="1" applyAlignment="1">
      <alignment horizontal="center" vertical="center" wrapText="1"/>
    </xf>
    <xf numFmtId="3" fontId="2" fillId="26" borderId="2" xfId="2" applyNumberFormat="1" applyFont="1" applyFill="1" applyBorder="1" applyAlignment="1">
      <alignment horizontal="center" vertical="center" wrapText="1"/>
    </xf>
    <xf numFmtId="3" fontId="2" fillId="26" borderId="20" xfId="2" applyNumberFormat="1" applyFont="1" applyFill="1" applyBorder="1" applyAlignment="1">
      <alignment horizontal="center" vertical="center" wrapText="1"/>
    </xf>
    <xf numFmtId="10" fontId="11" fillId="15" borderId="17" xfId="2" applyNumberFormat="1" applyFont="1" applyFill="1" applyBorder="1" applyAlignment="1">
      <alignment horizontal="right" vertical="center" wrapText="1"/>
    </xf>
    <xf numFmtId="10" fontId="11" fillId="25" borderId="17" xfId="2" applyNumberFormat="1" applyFont="1" applyFill="1" applyBorder="1" applyAlignment="1">
      <alignment horizontal="right" vertical="center" wrapText="1"/>
    </xf>
    <xf numFmtId="4" fontId="4" fillId="15" borderId="17" xfId="2" applyNumberFormat="1" applyFont="1" applyFill="1" applyBorder="1" applyAlignment="1">
      <alignment horizontal="right" vertical="center" wrapText="1"/>
    </xf>
    <xf numFmtId="4" fontId="4" fillId="15" borderId="2" xfId="2" applyNumberFormat="1" applyFont="1" applyFill="1" applyBorder="1" applyAlignment="1">
      <alignment horizontal="right" vertical="center" wrapText="1"/>
    </xf>
    <xf numFmtId="4" fontId="11" fillId="15" borderId="20" xfId="2" applyNumberFormat="1" applyFont="1" applyFill="1" applyBorder="1" applyAlignment="1">
      <alignment horizontal="right" vertical="center" wrapText="1"/>
    </xf>
    <xf numFmtId="4" fontId="4" fillId="5" borderId="17" xfId="2" applyNumberFormat="1" applyFont="1" applyFill="1" applyBorder="1" applyAlignment="1">
      <alignment horizontal="right" vertical="center" wrapText="1"/>
    </xf>
    <xf numFmtId="4" fontId="4" fillId="5" borderId="20" xfId="2" applyNumberFormat="1" applyFont="1" applyFill="1" applyBorder="1" applyAlignment="1">
      <alignment horizontal="right" vertical="center" wrapText="1"/>
    </xf>
    <xf numFmtId="4" fontId="4" fillId="25" borderId="17" xfId="2" applyNumberFormat="1" applyFont="1" applyFill="1" applyBorder="1" applyAlignment="1">
      <alignment horizontal="right" vertical="center" wrapText="1"/>
    </xf>
    <xf numFmtId="4" fontId="4" fillId="25" borderId="2" xfId="2" applyNumberFormat="1" applyFont="1" applyFill="1" applyBorder="1" applyAlignment="1">
      <alignment horizontal="right" vertical="center" wrapText="1"/>
    </xf>
    <xf numFmtId="4" fontId="4" fillId="25" borderId="20" xfId="2" applyNumberFormat="1" applyFont="1" applyFill="1" applyBorder="1" applyAlignment="1">
      <alignment horizontal="right" vertical="center" wrapText="1"/>
    </xf>
    <xf numFmtId="4" fontId="4" fillId="26" borderId="17" xfId="2" applyNumberFormat="1" applyFont="1" applyFill="1" applyBorder="1" applyAlignment="1">
      <alignment horizontal="right" vertical="center" wrapText="1"/>
    </xf>
    <xf numFmtId="4" fontId="4" fillId="26" borderId="2" xfId="2" applyNumberFormat="1" applyFont="1" applyFill="1" applyBorder="1" applyAlignment="1">
      <alignment horizontal="right" vertical="center" wrapText="1"/>
    </xf>
    <xf numFmtId="4" fontId="4" fillId="26" borderId="20" xfId="2" applyNumberFormat="1" applyFont="1" applyFill="1" applyBorder="1" applyAlignment="1">
      <alignment horizontal="right" vertical="center" wrapText="1"/>
    </xf>
    <xf numFmtId="4" fontId="44" fillId="15" borderId="20" xfId="2" applyNumberFormat="1" applyFont="1" applyFill="1" applyBorder="1" applyAlignment="1">
      <alignment horizontal="right" vertical="center" wrapText="1"/>
    </xf>
    <xf numFmtId="10" fontId="43" fillId="26" borderId="20" xfId="2" applyNumberFormat="1" applyFont="1" applyFill="1" applyBorder="1" applyAlignment="1">
      <alignment horizontal="right" vertical="center" wrapText="1"/>
    </xf>
    <xf numFmtId="0" fontId="4" fillId="15" borderId="79" xfId="2" applyFont="1" applyFill="1" applyBorder="1" applyAlignment="1">
      <alignment horizontal="center" vertical="top" wrapText="1"/>
    </xf>
    <xf numFmtId="0" fontId="4" fillId="15" borderId="7" xfId="2" applyFont="1" applyFill="1" applyBorder="1" applyAlignment="1">
      <alignment horizontal="center" vertical="top" wrapText="1"/>
    </xf>
    <xf numFmtId="0" fontId="4" fillId="15" borderId="21" xfId="2" applyFont="1" applyFill="1" applyBorder="1" applyAlignment="1">
      <alignment horizontal="center" vertical="top" wrapText="1"/>
    </xf>
    <xf numFmtId="0" fontId="4" fillId="5" borderId="79" xfId="2" applyFont="1" applyFill="1" applyBorder="1" applyAlignment="1">
      <alignment horizontal="center" vertical="top" wrapText="1"/>
    </xf>
    <xf numFmtId="0" fontId="4" fillId="5" borderId="21" xfId="2" applyFont="1" applyFill="1" applyBorder="1" applyAlignment="1">
      <alignment horizontal="center" vertical="top" wrapText="1"/>
    </xf>
    <xf numFmtId="0" fontId="4" fillId="25" borderId="17" xfId="2" applyFont="1" applyFill="1" applyBorder="1" applyAlignment="1">
      <alignment horizontal="center" vertical="top" wrapText="1"/>
    </xf>
    <xf numFmtId="0" fontId="4" fillId="25" borderId="2" xfId="2" applyFont="1" applyFill="1" applyBorder="1" applyAlignment="1">
      <alignment horizontal="center" vertical="top" wrapText="1"/>
    </xf>
    <xf numFmtId="0" fontId="4" fillId="25" borderId="20" xfId="2" applyFont="1" applyFill="1" applyBorder="1" applyAlignment="1">
      <alignment horizontal="center" vertical="top" wrapText="1"/>
    </xf>
    <xf numFmtId="0" fontId="4" fillId="26" borderId="79" xfId="2" applyFont="1" applyFill="1" applyBorder="1" applyAlignment="1">
      <alignment horizontal="center" vertical="top" wrapText="1"/>
    </xf>
    <xf numFmtId="0" fontId="4" fillId="26" borderId="7" xfId="2" applyFont="1" applyFill="1" applyBorder="1" applyAlignment="1">
      <alignment horizontal="center" vertical="top" wrapText="1"/>
    </xf>
    <xf numFmtId="0" fontId="4" fillId="26" borderId="21" xfId="2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left" vertical="center"/>
    </xf>
    <xf numFmtId="0" fontId="12" fillId="10" borderId="3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24" fillId="10" borderId="32" xfId="0" applyFont="1" applyFill="1" applyBorder="1" applyAlignment="1">
      <alignment horizontal="center"/>
    </xf>
    <xf numFmtId="0" fontId="24" fillId="10" borderId="33" xfId="0" applyFont="1" applyFill="1" applyBorder="1" applyAlignment="1">
      <alignment horizontal="center"/>
    </xf>
    <xf numFmtId="0" fontId="24" fillId="10" borderId="34" xfId="0" applyFont="1" applyFill="1" applyBorder="1" applyAlignment="1">
      <alignment horizontal="center"/>
    </xf>
    <xf numFmtId="0" fontId="21" fillId="13" borderId="35" xfId="0" applyFont="1" applyFill="1" applyBorder="1" applyAlignment="1">
      <alignment horizontal="center" vertical="center"/>
    </xf>
    <xf numFmtId="0" fontId="21" fillId="13" borderId="36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center" vertical="center"/>
    </xf>
    <xf numFmtId="0" fontId="21" fillId="13" borderId="49" xfId="0" applyFont="1" applyFill="1" applyBorder="1" applyAlignment="1">
      <alignment horizontal="center" vertical="center"/>
    </xf>
    <xf numFmtId="0" fontId="21" fillId="13" borderId="37" xfId="0" applyFont="1" applyFill="1" applyBorder="1" applyAlignment="1">
      <alignment horizontal="center" vertical="center"/>
    </xf>
    <xf numFmtId="0" fontId="21" fillId="13" borderId="50" xfId="0" applyFont="1" applyFill="1" applyBorder="1" applyAlignment="1">
      <alignment horizontal="center" vertical="center"/>
    </xf>
    <xf numFmtId="10" fontId="21" fillId="13" borderId="38" xfId="4" applyNumberFormat="1" applyFont="1" applyFill="1" applyBorder="1" applyAlignment="1">
      <alignment horizontal="center" vertical="center"/>
    </xf>
    <xf numFmtId="10" fontId="21" fillId="13" borderId="36" xfId="4" applyNumberFormat="1" applyFont="1" applyFill="1" applyBorder="1" applyAlignment="1">
      <alignment horizontal="center" vertical="center"/>
    </xf>
    <xf numFmtId="10" fontId="21" fillId="13" borderId="51" xfId="4" applyNumberFormat="1" applyFont="1" applyFill="1" applyBorder="1" applyAlignment="1">
      <alignment horizontal="center" vertical="center"/>
    </xf>
    <xf numFmtId="10" fontId="21" fillId="13" borderId="49" xfId="4" applyNumberFormat="1" applyFont="1" applyFill="1" applyBorder="1" applyAlignment="1">
      <alignment horizontal="center" vertical="center"/>
    </xf>
    <xf numFmtId="0" fontId="21" fillId="13" borderId="37" xfId="0" applyFont="1" applyFill="1" applyBorder="1" applyAlignment="1">
      <alignment horizontal="center" vertical="center" wrapText="1"/>
    </xf>
    <xf numFmtId="0" fontId="21" fillId="13" borderId="50" xfId="0" applyFont="1" applyFill="1" applyBorder="1" applyAlignment="1">
      <alignment horizontal="center" vertical="center" wrapText="1"/>
    </xf>
    <xf numFmtId="10" fontId="21" fillId="13" borderId="37" xfId="4" applyNumberFormat="1" applyFont="1" applyFill="1" applyBorder="1" applyAlignment="1">
      <alignment horizontal="center" vertical="center" wrapText="1"/>
    </xf>
    <xf numFmtId="10" fontId="21" fillId="13" borderId="50" xfId="4" applyNumberFormat="1" applyFont="1" applyFill="1" applyBorder="1" applyAlignment="1">
      <alignment horizontal="center" vertical="center" wrapText="1"/>
    </xf>
    <xf numFmtId="10" fontId="21" fillId="10" borderId="44" xfId="4" applyNumberFormat="1" applyFont="1" applyFill="1" applyBorder="1" applyAlignment="1">
      <alignment horizontal="center" vertical="center" wrapText="1"/>
    </xf>
    <xf numFmtId="10" fontId="21" fillId="10" borderId="56" xfId="4" applyNumberFormat="1" applyFont="1" applyFill="1" applyBorder="1" applyAlignment="1">
      <alignment horizontal="center" vertical="center" wrapText="1"/>
    </xf>
    <xf numFmtId="10" fontId="21" fillId="10" borderId="30" xfId="4" applyNumberFormat="1" applyFont="1" applyFill="1" applyBorder="1" applyAlignment="1">
      <alignment horizontal="center" vertical="center" wrapText="1"/>
    </xf>
    <xf numFmtId="10" fontId="21" fillId="10" borderId="45" xfId="4" applyNumberFormat="1" applyFont="1" applyFill="1" applyBorder="1" applyAlignment="1">
      <alignment horizontal="center" vertical="center" wrapText="1"/>
    </xf>
    <xf numFmtId="14" fontId="21" fillId="10" borderId="46" xfId="4" applyNumberFormat="1" applyFont="1" applyFill="1" applyBorder="1" applyAlignment="1">
      <alignment horizontal="center" vertical="center" wrapText="1"/>
    </xf>
    <xf numFmtId="14" fontId="21" fillId="10" borderId="49" xfId="4" applyNumberFormat="1" applyFont="1" applyFill="1" applyBorder="1" applyAlignment="1">
      <alignment horizontal="center" vertical="center" wrapText="1"/>
    </xf>
    <xf numFmtId="10" fontId="21" fillId="10" borderId="47" xfId="4" applyNumberFormat="1" applyFont="1" applyFill="1" applyBorder="1" applyAlignment="1">
      <alignment horizontal="center" vertical="center" wrapText="1"/>
    </xf>
    <xf numFmtId="10" fontId="21" fillId="10" borderId="58" xfId="4" applyNumberFormat="1" applyFont="1" applyFill="1" applyBorder="1" applyAlignment="1">
      <alignment horizontal="center" vertical="center" wrapText="1"/>
    </xf>
    <xf numFmtId="10" fontId="21" fillId="10" borderId="40" xfId="4" applyNumberFormat="1" applyFont="1" applyFill="1" applyBorder="1" applyAlignment="1">
      <alignment horizontal="center" vertical="center" wrapText="1"/>
    </xf>
    <xf numFmtId="10" fontId="21" fillId="10" borderId="41" xfId="4" applyNumberFormat="1" applyFont="1" applyFill="1" applyBorder="1" applyAlignment="1">
      <alignment horizontal="center" vertical="center" wrapText="1"/>
    </xf>
    <xf numFmtId="10" fontId="21" fillId="10" borderId="42" xfId="4" applyNumberFormat="1" applyFont="1" applyFill="1" applyBorder="1" applyAlignment="1">
      <alignment horizontal="center" vertical="center" wrapText="1"/>
    </xf>
    <xf numFmtId="10" fontId="21" fillId="10" borderId="43" xfId="4" applyNumberFormat="1" applyFont="1" applyFill="1" applyBorder="1" applyAlignment="1">
      <alignment horizontal="center" vertical="center" wrapText="1"/>
    </xf>
    <xf numFmtId="0" fontId="21" fillId="15" borderId="59" xfId="0" applyFont="1" applyFill="1" applyBorder="1" applyAlignment="1">
      <alignment horizontal="center" vertical="top" wrapText="1"/>
    </xf>
    <xf numFmtId="0" fontId="21" fillId="15" borderId="68" xfId="0" applyFont="1" applyFill="1" applyBorder="1" applyAlignment="1">
      <alignment horizontal="center" vertical="top" wrapText="1"/>
    </xf>
    <xf numFmtId="0" fontId="21" fillId="15" borderId="85" xfId="0" applyFont="1" applyFill="1" applyBorder="1" applyAlignment="1">
      <alignment horizontal="center" vertical="top" wrapText="1"/>
    </xf>
    <xf numFmtId="0" fontId="21" fillId="15" borderId="60" xfId="0" applyFont="1" applyFill="1" applyBorder="1" applyAlignment="1">
      <alignment horizontal="left" vertical="top" wrapText="1"/>
    </xf>
    <xf numFmtId="0" fontId="21" fillId="15" borderId="7" xfId="0" applyFont="1" applyFill="1" applyBorder="1" applyAlignment="1">
      <alignment horizontal="left" vertical="top" wrapText="1"/>
    </xf>
    <xf numFmtId="0" fontId="21" fillId="15" borderId="4" xfId="0" applyFont="1" applyFill="1" applyBorder="1" applyAlignment="1">
      <alignment horizontal="left" vertical="top" wrapText="1"/>
    </xf>
    <xf numFmtId="16" fontId="21" fillId="15" borderId="60" xfId="0" applyNumberFormat="1" applyFont="1" applyFill="1" applyBorder="1" applyAlignment="1">
      <alignment horizontal="right" vertical="top" wrapText="1"/>
    </xf>
    <xf numFmtId="16" fontId="21" fillId="15" borderId="7" xfId="0" applyNumberFormat="1" applyFont="1" applyFill="1" applyBorder="1" applyAlignment="1">
      <alignment horizontal="right" vertical="top" wrapText="1"/>
    </xf>
    <xf numFmtId="16" fontId="21" fillId="15" borderId="21" xfId="0" applyNumberFormat="1" applyFont="1" applyFill="1" applyBorder="1" applyAlignment="1">
      <alignment horizontal="right" vertical="top" wrapText="1"/>
    </xf>
    <xf numFmtId="0" fontId="12" fillId="15" borderId="60" xfId="0" applyFont="1" applyFill="1" applyBorder="1" applyAlignment="1">
      <alignment horizontal="left" vertical="top" wrapText="1"/>
    </xf>
    <xf numFmtId="0" fontId="12" fillId="15" borderId="7" xfId="0" applyFont="1" applyFill="1" applyBorder="1" applyAlignment="1">
      <alignment horizontal="left" vertical="top" wrapText="1"/>
    </xf>
    <xf numFmtId="0" fontId="12" fillId="15" borderId="21" xfId="0" applyFont="1" applyFill="1" applyBorder="1" applyAlignment="1">
      <alignment horizontal="left" vertical="top" wrapText="1"/>
    </xf>
    <xf numFmtId="49" fontId="12" fillId="15" borderId="60" xfId="0" applyNumberFormat="1" applyFont="1" applyFill="1" applyBorder="1" applyAlignment="1">
      <alignment horizontal="left" vertical="top" wrapText="1"/>
    </xf>
    <xf numFmtId="49" fontId="12" fillId="15" borderId="7" xfId="0" applyNumberFormat="1" applyFont="1" applyFill="1" applyBorder="1" applyAlignment="1">
      <alignment horizontal="left" vertical="top" wrapText="1"/>
    </xf>
    <xf numFmtId="49" fontId="12" fillId="15" borderId="21" xfId="0" applyNumberFormat="1" applyFont="1" applyFill="1" applyBorder="1" applyAlignment="1">
      <alignment horizontal="left" vertical="top" wrapText="1"/>
    </xf>
    <xf numFmtId="10" fontId="21" fillId="8" borderId="37" xfId="4" applyNumberFormat="1" applyFont="1" applyFill="1" applyBorder="1" applyAlignment="1">
      <alignment horizontal="center" vertical="center" wrapText="1"/>
    </xf>
    <xf numFmtId="10" fontId="21" fillId="8" borderId="50" xfId="4" applyNumberFormat="1" applyFont="1" applyFill="1" applyBorder="1" applyAlignment="1">
      <alignment horizontal="center" vertical="center" wrapText="1"/>
    </xf>
    <xf numFmtId="10" fontId="21" fillId="14" borderId="37" xfId="4" applyNumberFormat="1" applyFont="1" applyFill="1" applyBorder="1" applyAlignment="1">
      <alignment horizontal="center" vertical="center" wrapText="1"/>
    </xf>
    <xf numFmtId="10" fontId="21" fillId="14" borderId="50" xfId="4" applyNumberFormat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10" fontId="12" fillId="15" borderId="60" xfId="4" applyNumberFormat="1" applyFont="1" applyFill="1" applyBorder="1" applyAlignment="1">
      <alignment horizontal="left" vertical="top" wrapText="1"/>
    </xf>
    <xf numFmtId="10" fontId="12" fillId="15" borderId="7" xfId="4" applyNumberFormat="1" applyFont="1" applyFill="1" applyBorder="1" applyAlignment="1">
      <alignment horizontal="left" vertical="top" wrapText="1"/>
    </xf>
    <xf numFmtId="10" fontId="12" fillId="15" borderId="21" xfId="4" applyNumberFormat="1" applyFont="1" applyFill="1" applyBorder="1" applyAlignment="1">
      <alignment horizontal="left" vertical="top" wrapText="1"/>
    </xf>
    <xf numFmtId="10" fontId="12" fillId="15" borderId="6" xfId="4" applyNumberFormat="1" applyFont="1" applyFill="1" applyBorder="1" applyAlignment="1">
      <alignment horizontal="center" vertical="top" wrapText="1"/>
    </xf>
    <xf numFmtId="10" fontId="12" fillId="15" borderId="4" xfId="4" applyNumberFormat="1" applyFont="1" applyFill="1" applyBorder="1" applyAlignment="1">
      <alignment horizontal="center" vertical="top" wrapText="1"/>
    </xf>
    <xf numFmtId="0" fontId="12" fillId="15" borderId="6" xfId="0" applyFont="1" applyFill="1" applyBorder="1" applyAlignment="1">
      <alignment horizontal="left" vertical="top" wrapText="1"/>
    </xf>
    <xf numFmtId="0" fontId="12" fillId="15" borderId="4" xfId="0" applyFont="1" applyFill="1" applyBorder="1" applyAlignment="1">
      <alignment horizontal="left" vertical="top" wrapText="1"/>
    </xf>
    <xf numFmtId="0" fontId="12" fillId="15" borderId="79" xfId="0" applyFont="1" applyFill="1" applyBorder="1" applyAlignment="1">
      <alignment horizontal="left" vertical="top" wrapText="1"/>
    </xf>
    <xf numFmtId="49" fontId="12" fillId="15" borderId="6" xfId="0" applyNumberFormat="1" applyFont="1" applyFill="1" applyBorder="1" applyAlignment="1">
      <alignment horizontal="left" vertical="top" wrapText="1"/>
    </xf>
    <xf numFmtId="10" fontId="12" fillId="15" borderId="6" xfId="4" applyNumberFormat="1" applyFont="1" applyFill="1" applyBorder="1" applyAlignment="1">
      <alignment horizontal="left" vertical="top" wrapText="1"/>
    </xf>
    <xf numFmtId="10" fontId="12" fillId="15" borderId="4" xfId="4" applyNumberFormat="1" applyFont="1" applyFill="1" applyBorder="1" applyAlignment="1">
      <alignment horizontal="left" vertical="top" wrapText="1"/>
    </xf>
    <xf numFmtId="16" fontId="21" fillId="15" borderId="7" xfId="0" applyNumberFormat="1" applyFont="1" applyFill="1" applyBorder="1" applyAlignment="1">
      <alignment horizontal="left" vertical="top" wrapText="1"/>
    </xf>
    <xf numFmtId="16" fontId="21" fillId="15" borderId="21" xfId="0" applyNumberFormat="1" applyFont="1" applyFill="1" applyBorder="1" applyAlignment="1">
      <alignment horizontal="left" vertical="top" wrapText="1"/>
    </xf>
    <xf numFmtId="10" fontId="12" fillId="15" borderId="79" xfId="4" applyNumberFormat="1" applyFont="1" applyFill="1" applyBorder="1" applyAlignment="1">
      <alignment horizontal="left" vertical="top" wrapText="1"/>
    </xf>
    <xf numFmtId="16" fontId="21" fillId="15" borderId="79" xfId="0" applyNumberFormat="1" applyFont="1" applyFill="1" applyBorder="1" applyAlignment="1">
      <alignment horizontal="left" vertical="top" wrapText="1"/>
    </xf>
    <xf numFmtId="16" fontId="21" fillId="15" borderId="4" xfId="0" applyNumberFormat="1" applyFont="1" applyFill="1" applyBorder="1" applyAlignment="1">
      <alignment horizontal="left" vertical="top" wrapText="1"/>
    </xf>
    <xf numFmtId="49" fontId="12" fillId="15" borderId="79" xfId="0" applyNumberFormat="1" applyFont="1" applyFill="1" applyBorder="1" applyAlignment="1">
      <alignment horizontal="left" vertical="top" wrapText="1"/>
    </xf>
    <xf numFmtId="49" fontId="12" fillId="15" borderId="4" xfId="0" applyNumberFormat="1" applyFont="1" applyFill="1" applyBorder="1" applyAlignment="1">
      <alignment horizontal="left" vertical="top" wrapText="1"/>
    </xf>
    <xf numFmtId="0" fontId="4" fillId="17" borderId="59" xfId="0" applyFont="1" applyFill="1" applyBorder="1" applyAlignment="1">
      <alignment horizontal="center" vertical="top" wrapText="1"/>
    </xf>
    <xf numFmtId="0" fontId="4" fillId="17" borderId="68" xfId="0" applyFont="1" applyFill="1" applyBorder="1" applyAlignment="1">
      <alignment horizontal="center" vertical="top" wrapText="1"/>
    </xf>
    <xf numFmtId="0" fontId="4" fillId="17" borderId="85" xfId="0" applyFont="1" applyFill="1" applyBorder="1" applyAlignment="1">
      <alignment horizontal="center" vertical="top" wrapText="1"/>
    </xf>
    <xf numFmtId="0" fontId="4" fillId="17" borderId="37" xfId="0" applyFont="1" applyFill="1" applyBorder="1" applyAlignment="1">
      <alignment horizontal="left" vertical="top"/>
    </xf>
    <xf numFmtId="0" fontId="4" fillId="17" borderId="2" xfId="0" applyFont="1" applyFill="1" applyBorder="1" applyAlignment="1">
      <alignment horizontal="left" vertical="top"/>
    </xf>
    <xf numFmtId="0" fontId="4" fillId="17" borderId="6" xfId="0" applyFont="1" applyFill="1" applyBorder="1" applyAlignment="1">
      <alignment horizontal="left" vertical="top"/>
    </xf>
    <xf numFmtId="16" fontId="4" fillId="17" borderId="37" xfId="0" applyNumberFormat="1" applyFont="1" applyFill="1" applyBorder="1" applyAlignment="1">
      <alignment horizontal="center" vertical="top"/>
    </xf>
    <xf numFmtId="0" fontId="4" fillId="17" borderId="2" xfId="0" applyFont="1" applyFill="1" applyBorder="1" applyAlignment="1">
      <alignment horizontal="center" vertical="top"/>
    </xf>
    <xf numFmtId="0" fontId="4" fillId="17" borderId="6" xfId="0" applyFont="1" applyFill="1" applyBorder="1" applyAlignment="1">
      <alignment horizontal="center" vertical="top"/>
    </xf>
    <xf numFmtId="0" fontId="4" fillId="17" borderId="37" xfId="0" applyFont="1" applyFill="1" applyBorder="1" applyAlignment="1">
      <alignment horizontal="left" vertical="top" wrapText="1"/>
    </xf>
    <xf numFmtId="49" fontId="4" fillId="17" borderId="37" xfId="0" applyNumberFormat="1" applyFont="1" applyFill="1" applyBorder="1" applyAlignment="1">
      <alignment horizontal="left" vertical="top" wrapText="1"/>
    </xf>
    <xf numFmtId="49" fontId="4" fillId="17" borderId="2" xfId="0" applyNumberFormat="1" applyFont="1" applyFill="1" applyBorder="1" applyAlignment="1">
      <alignment horizontal="left" vertical="top" wrapText="1"/>
    </xf>
    <xf numFmtId="49" fontId="4" fillId="17" borderId="2" xfId="0" applyNumberFormat="1" applyFont="1" applyFill="1" applyBorder="1" applyAlignment="1">
      <alignment horizontal="left" vertical="top"/>
    </xf>
    <xf numFmtId="0" fontId="4" fillId="17" borderId="2" xfId="0" applyFont="1" applyFill="1" applyBorder="1" applyAlignment="1">
      <alignment horizontal="left" vertical="top" wrapText="1"/>
    </xf>
    <xf numFmtId="0" fontId="2" fillId="15" borderId="52" xfId="0" applyFont="1" applyFill="1" applyBorder="1" applyAlignment="1">
      <alignment horizontal="center" vertical="top" wrapText="1"/>
    </xf>
    <xf numFmtId="0" fontId="2" fillId="15" borderId="86" xfId="0" applyFont="1" applyFill="1" applyBorder="1" applyAlignment="1">
      <alignment horizontal="center" vertical="top" wrapText="1"/>
    </xf>
    <xf numFmtId="0" fontId="2" fillId="15" borderId="87" xfId="0" applyFont="1" applyFill="1" applyBorder="1" applyAlignment="1">
      <alignment horizontal="center" vertical="top" wrapText="1"/>
    </xf>
    <xf numFmtId="0" fontId="4" fillId="16" borderId="59" xfId="0" applyFont="1" applyFill="1" applyBorder="1" applyAlignment="1">
      <alignment horizontal="left" vertical="top" wrapText="1"/>
    </xf>
    <xf numFmtId="0" fontId="4" fillId="16" borderId="68" xfId="0" applyFont="1" applyFill="1" applyBorder="1" applyAlignment="1">
      <alignment horizontal="left" vertical="top" wrapText="1"/>
    </xf>
    <xf numFmtId="0" fontId="4" fillId="16" borderId="85" xfId="0" applyFont="1" applyFill="1" applyBorder="1" applyAlignment="1">
      <alignment horizontal="left" vertical="top" wrapText="1"/>
    </xf>
    <xf numFmtId="0" fontId="2" fillId="16" borderId="60" xfId="0" applyFont="1" applyFill="1" applyBorder="1" applyAlignment="1">
      <alignment horizontal="left" vertical="top" wrapText="1"/>
    </xf>
    <xf numFmtId="0" fontId="2" fillId="16" borderId="7" xfId="0" applyFont="1" applyFill="1" applyBorder="1" applyAlignment="1">
      <alignment horizontal="left" vertical="top" wrapText="1"/>
    </xf>
    <xf numFmtId="0" fontId="2" fillId="16" borderId="4" xfId="0" applyFont="1" applyFill="1" applyBorder="1" applyAlignment="1">
      <alignment horizontal="left" vertical="top" wrapText="1"/>
    </xf>
    <xf numFmtId="16" fontId="2" fillId="16" borderId="60" xfId="0" applyNumberFormat="1" applyFont="1" applyFill="1" applyBorder="1" applyAlignment="1">
      <alignment horizontal="left" vertical="top" wrapText="1"/>
    </xf>
    <xf numFmtId="16" fontId="2" fillId="16" borderId="7" xfId="0" applyNumberFormat="1" applyFont="1" applyFill="1" applyBorder="1" applyAlignment="1">
      <alignment horizontal="left" vertical="top" wrapText="1"/>
    </xf>
    <xf numFmtId="16" fontId="2" fillId="16" borderId="4" xfId="0" applyNumberFormat="1" applyFont="1" applyFill="1" applyBorder="1" applyAlignment="1">
      <alignment horizontal="left" vertical="top" wrapText="1"/>
    </xf>
    <xf numFmtId="0" fontId="4" fillId="16" borderId="60" xfId="0" applyFont="1" applyFill="1" applyBorder="1" applyAlignment="1">
      <alignment horizontal="left" vertical="top" wrapText="1"/>
    </xf>
    <xf numFmtId="0" fontId="4" fillId="16" borderId="7" xfId="0" applyFont="1" applyFill="1" applyBorder="1" applyAlignment="1">
      <alignment horizontal="left" vertical="top" wrapText="1"/>
    </xf>
    <xf numFmtId="0" fontId="4" fillId="16" borderId="4" xfId="0" applyFont="1" applyFill="1" applyBorder="1" applyAlignment="1">
      <alignment horizontal="left" vertical="top" wrapText="1"/>
    </xf>
    <xf numFmtId="49" fontId="4" fillId="16" borderId="60" xfId="0" applyNumberFormat="1" applyFont="1" applyFill="1" applyBorder="1" applyAlignment="1">
      <alignment horizontal="left" vertical="top" wrapText="1"/>
    </xf>
    <xf numFmtId="49" fontId="4" fillId="16" borderId="7" xfId="0" applyNumberFormat="1" applyFont="1" applyFill="1" applyBorder="1" applyAlignment="1">
      <alignment horizontal="left" vertical="top" wrapText="1"/>
    </xf>
    <xf numFmtId="49" fontId="4" fillId="16" borderId="4" xfId="0" applyNumberFormat="1" applyFont="1" applyFill="1" applyBorder="1" applyAlignment="1">
      <alignment horizontal="left" vertical="top" wrapText="1"/>
    </xf>
    <xf numFmtId="10" fontId="4" fillId="16" borderId="60" xfId="4" applyNumberFormat="1" applyFont="1" applyFill="1" applyBorder="1" applyAlignment="1">
      <alignment horizontal="left" vertical="top" wrapText="1"/>
    </xf>
    <xf numFmtId="10" fontId="4" fillId="16" borderId="7" xfId="4" applyNumberFormat="1" applyFont="1" applyFill="1" applyBorder="1" applyAlignment="1">
      <alignment horizontal="left" vertical="top" wrapText="1"/>
    </xf>
    <xf numFmtId="10" fontId="4" fillId="16" borderId="4" xfId="4" applyNumberFormat="1" applyFont="1" applyFill="1" applyBorder="1" applyAlignment="1">
      <alignment horizontal="left" vertical="top" wrapText="1"/>
    </xf>
    <xf numFmtId="0" fontId="2" fillId="16" borderId="52" xfId="0" applyFont="1" applyFill="1" applyBorder="1" applyAlignment="1">
      <alignment horizontal="center" vertical="top" wrapText="1"/>
    </xf>
    <xf numFmtId="0" fontId="2" fillId="16" borderId="86" xfId="0" applyFont="1" applyFill="1" applyBorder="1" applyAlignment="1">
      <alignment horizontal="center" vertical="top" wrapText="1"/>
    </xf>
    <xf numFmtId="0" fontId="2" fillId="16" borderId="87" xfId="0" applyFont="1" applyFill="1" applyBorder="1" applyAlignment="1">
      <alignment horizontal="center" vertical="top" wrapText="1"/>
    </xf>
    <xf numFmtId="0" fontId="12" fillId="18" borderId="17" xfId="0" applyFont="1" applyFill="1" applyBorder="1" applyAlignment="1">
      <alignment horizontal="left" vertical="top" wrapText="1"/>
    </xf>
    <xf numFmtId="0" fontId="12" fillId="18" borderId="4" xfId="0" applyFont="1" applyFill="1" applyBorder="1" applyAlignment="1">
      <alignment horizontal="left" vertical="top" wrapText="1"/>
    </xf>
    <xf numFmtId="0" fontId="12" fillId="18" borderId="2" xfId="0" applyFont="1" applyFill="1" applyBorder="1" applyAlignment="1">
      <alignment horizontal="left" vertical="top" wrapText="1"/>
    </xf>
    <xf numFmtId="10" fontId="4" fillId="18" borderId="79" xfId="4" applyNumberFormat="1" applyFont="1" applyFill="1" applyBorder="1" applyAlignment="1">
      <alignment horizontal="left" vertical="top" wrapText="1"/>
    </xf>
    <xf numFmtId="10" fontId="4" fillId="18" borderId="7" xfId="4" applyNumberFormat="1" applyFont="1" applyFill="1" applyBorder="1" applyAlignment="1">
      <alignment horizontal="left" vertical="top" wrapText="1"/>
    </xf>
    <xf numFmtId="10" fontId="4" fillId="18" borderId="21" xfId="4" applyNumberFormat="1" applyFont="1" applyFill="1" applyBorder="1" applyAlignment="1">
      <alignment horizontal="left" vertical="top" wrapText="1"/>
    </xf>
    <xf numFmtId="0" fontId="4" fillId="18" borderId="79" xfId="0" applyFont="1" applyFill="1" applyBorder="1" applyAlignment="1">
      <alignment horizontal="left" vertical="top" wrapText="1"/>
    </xf>
    <xf numFmtId="0" fontId="4" fillId="18" borderId="7" xfId="0" applyFont="1" applyFill="1" applyBorder="1" applyAlignment="1">
      <alignment horizontal="left" vertical="top" wrapText="1"/>
    </xf>
    <xf numFmtId="0" fontId="4" fillId="18" borderId="21" xfId="0" applyFont="1" applyFill="1" applyBorder="1" applyAlignment="1">
      <alignment horizontal="left" vertical="top" wrapText="1"/>
    </xf>
    <xf numFmtId="16" fontId="30" fillId="18" borderId="2" xfId="0" applyNumberFormat="1" applyFont="1" applyFill="1" applyBorder="1" applyAlignment="1">
      <alignment horizontal="left" vertical="top" wrapText="1"/>
    </xf>
    <xf numFmtId="0" fontId="30" fillId="18" borderId="2" xfId="0" applyFont="1" applyFill="1" applyBorder="1" applyAlignment="1">
      <alignment horizontal="left" vertical="top" wrapText="1"/>
    </xf>
    <xf numFmtId="49" fontId="30" fillId="18" borderId="17" xfId="0" applyNumberFormat="1" applyFont="1" applyFill="1" applyBorder="1" applyAlignment="1">
      <alignment horizontal="left" vertical="top" wrapText="1"/>
    </xf>
    <xf numFmtId="49" fontId="30" fillId="18" borderId="2" xfId="0" applyNumberFormat="1" applyFont="1" applyFill="1" applyBorder="1" applyAlignment="1">
      <alignment horizontal="left" vertical="top" wrapText="1"/>
    </xf>
    <xf numFmtId="49" fontId="30" fillId="18" borderId="20" xfId="0" applyNumberFormat="1" applyFont="1" applyFill="1" applyBorder="1" applyAlignment="1">
      <alignment horizontal="left" vertical="top" wrapText="1"/>
    </xf>
    <xf numFmtId="10" fontId="30" fillId="18" borderId="17" xfId="4" applyNumberFormat="1" applyFont="1" applyFill="1" applyBorder="1" applyAlignment="1">
      <alignment horizontal="left" vertical="top" wrapText="1"/>
    </xf>
    <xf numFmtId="10" fontId="30" fillId="18" borderId="2" xfId="4" applyNumberFormat="1" applyFont="1" applyFill="1" applyBorder="1" applyAlignment="1">
      <alignment horizontal="left" vertical="top" wrapText="1"/>
    </xf>
    <xf numFmtId="10" fontId="30" fillId="18" borderId="20" xfId="4" applyNumberFormat="1" applyFont="1" applyFill="1" applyBorder="1" applyAlignment="1">
      <alignment horizontal="left" vertical="top" wrapText="1"/>
    </xf>
    <xf numFmtId="10" fontId="12" fillId="18" borderId="2" xfId="4" applyNumberFormat="1" applyFont="1" applyFill="1" applyBorder="1" applyAlignment="1">
      <alignment horizontal="left" vertical="top" wrapText="1"/>
    </xf>
    <xf numFmtId="10" fontId="12" fillId="18" borderId="20" xfId="4" applyNumberFormat="1" applyFont="1" applyFill="1" applyBorder="1" applyAlignment="1">
      <alignment horizontal="left" vertical="top" wrapText="1"/>
    </xf>
    <xf numFmtId="0" fontId="12" fillId="18" borderId="20" xfId="0" applyFont="1" applyFill="1" applyBorder="1" applyAlignment="1">
      <alignment horizontal="left" vertical="top" wrapText="1"/>
    </xf>
    <xf numFmtId="0" fontId="12" fillId="19" borderId="59" xfId="0" applyFont="1" applyFill="1" applyBorder="1" applyAlignment="1">
      <alignment horizontal="left" vertical="top"/>
    </xf>
    <xf numFmtId="0" fontId="12" fillId="19" borderId="68" xfId="0" applyFont="1" applyFill="1" applyBorder="1" applyAlignment="1">
      <alignment horizontal="left" vertical="top"/>
    </xf>
    <xf numFmtId="0" fontId="12" fillId="19" borderId="85" xfId="0" applyFont="1" applyFill="1" applyBorder="1" applyAlignment="1">
      <alignment horizontal="left" vertical="top"/>
    </xf>
    <xf numFmtId="0" fontId="12" fillId="19" borderId="60" xfId="0" applyFont="1" applyFill="1" applyBorder="1" applyAlignment="1">
      <alignment horizontal="left" vertical="top"/>
    </xf>
    <xf numFmtId="0" fontId="12" fillId="19" borderId="7" xfId="0" applyFont="1" applyFill="1" applyBorder="1" applyAlignment="1">
      <alignment horizontal="left" vertical="top"/>
    </xf>
    <xf numFmtId="0" fontId="12" fillId="19" borderId="118" xfId="0" applyFont="1" applyFill="1" applyBorder="1" applyAlignment="1">
      <alignment horizontal="left" vertical="top"/>
    </xf>
    <xf numFmtId="16" fontId="12" fillId="19" borderId="37" xfId="0" applyNumberFormat="1" applyFont="1" applyFill="1" applyBorder="1" applyAlignment="1">
      <alignment horizontal="left" vertical="top"/>
    </xf>
    <xf numFmtId="16" fontId="12" fillId="19" borderId="2" xfId="0" applyNumberFormat="1" applyFont="1" applyFill="1" applyBorder="1" applyAlignment="1">
      <alignment horizontal="left" vertical="top"/>
    </xf>
    <xf numFmtId="0" fontId="12" fillId="19" borderId="37" xfId="0" applyFont="1" applyFill="1" applyBorder="1" applyAlignment="1">
      <alignment horizontal="left" vertical="top"/>
    </xf>
    <xf numFmtId="0" fontId="12" fillId="19" borderId="2" xfId="0" applyFont="1" applyFill="1" applyBorder="1" applyAlignment="1">
      <alignment horizontal="left" vertical="top"/>
    </xf>
    <xf numFmtId="49" fontId="12" fillId="19" borderId="37" xfId="0" applyNumberFormat="1" applyFont="1" applyFill="1" applyBorder="1" applyAlignment="1">
      <alignment horizontal="left" vertical="top"/>
    </xf>
    <xf numFmtId="49" fontId="12" fillId="19" borderId="2" xfId="0" applyNumberFormat="1" applyFont="1" applyFill="1" applyBorder="1" applyAlignment="1">
      <alignment horizontal="left" vertical="top"/>
    </xf>
    <xf numFmtId="16" fontId="4" fillId="18" borderId="2" xfId="0" applyNumberFormat="1" applyFont="1" applyFill="1" applyBorder="1" applyAlignment="1">
      <alignment horizontal="left" vertical="top" wrapText="1"/>
    </xf>
    <xf numFmtId="0" fontId="4" fillId="18" borderId="2" xfId="0" applyFont="1" applyFill="1" applyBorder="1" applyAlignment="1">
      <alignment horizontal="left" vertical="top" wrapText="1"/>
    </xf>
    <xf numFmtId="49" fontId="4" fillId="18" borderId="17" xfId="0" applyNumberFormat="1" applyFont="1" applyFill="1" applyBorder="1" applyAlignment="1">
      <alignment horizontal="left" vertical="top" wrapText="1"/>
    </xf>
    <xf numFmtId="49" fontId="4" fillId="18" borderId="2" xfId="0" applyNumberFormat="1" applyFont="1" applyFill="1" applyBorder="1" applyAlignment="1">
      <alignment horizontal="left" vertical="top" wrapText="1"/>
    </xf>
    <xf numFmtId="49" fontId="4" fillId="18" borderId="20" xfId="0" applyNumberFormat="1" applyFont="1" applyFill="1" applyBorder="1" applyAlignment="1">
      <alignment horizontal="left" vertical="top" wrapText="1"/>
    </xf>
    <xf numFmtId="10" fontId="4" fillId="18" borderId="17" xfId="4" applyNumberFormat="1" applyFont="1" applyFill="1" applyBorder="1" applyAlignment="1">
      <alignment horizontal="left" vertical="top" wrapText="1"/>
    </xf>
    <xf numFmtId="10" fontId="4" fillId="18" borderId="2" xfId="4" applyNumberFormat="1" applyFont="1" applyFill="1" applyBorder="1" applyAlignment="1">
      <alignment horizontal="left" vertical="top" wrapText="1"/>
    </xf>
    <xf numFmtId="10" fontId="4" fillId="18" borderId="20" xfId="4" applyNumberFormat="1" applyFont="1" applyFill="1" applyBorder="1" applyAlignment="1">
      <alignment horizontal="left" vertical="top" wrapText="1"/>
    </xf>
    <xf numFmtId="16" fontId="4" fillId="18" borderId="6" xfId="0" applyNumberFormat="1" applyFont="1" applyFill="1" applyBorder="1" applyAlignment="1">
      <alignment horizontal="left" vertical="top" wrapText="1"/>
    </xf>
    <xf numFmtId="16" fontId="4" fillId="18" borderId="7" xfId="0" applyNumberFormat="1" applyFont="1" applyFill="1" applyBorder="1" applyAlignment="1">
      <alignment horizontal="left" vertical="top" wrapText="1"/>
    </xf>
    <xf numFmtId="0" fontId="4" fillId="18" borderId="6" xfId="0" applyFont="1" applyFill="1" applyBorder="1" applyAlignment="1">
      <alignment horizontal="left" vertical="top" wrapText="1"/>
    </xf>
    <xf numFmtId="49" fontId="4" fillId="18" borderId="7" xfId="0" applyNumberFormat="1" applyFont="1" applyFill="1" applyBorder="1" applyAlignment="1">
      <alignment horizontal="left" vertical="top" wrapText="1"/>
    </xf>
    <xf numFmtId="10" fontId="4" fillId="18" borderId="4" xfId="4" applyNumberFormat="1" applyFont="1" applyFill="1" applyBorder="1" applyAlignment="1">
      <alignment horizontal="left" vertical="top" wrapText="1"/>
    </xf>
    <xf numFmtId="10" fontId="4" fillId="18" borderId="6" xfId="4" applyNumberFormat="1" applyFont="1" applyFill="1" applyBorder="1" applyAlignment="1">
      <alignment horizontal="left" vertical="top" wrapText="1"/>
    </xf>
    <xf numFmtId="0" fontId="12" fillId="19" borderId="2" xfId="0" applyFont="1" applyFill="1" applyBorder="1" applyAlignment="1">
      <alignment horizontal="left" vertical="top" wrapText="1"/>
    </xf>
    <xf numFmtId="4" fontId="21" fillId="20" borderId="6" xfId="0" applyNumberFormat="1" applyFont="1" applyFill="1" applyBorder="1" applyAlignment="1">
      <alignment horizontal="right" vertical="center"/>
    </xf>
    <xf numFmtId="4" fontId="21" fillId="20" borderId="4" xfId="0" applyNumberFormat="1" applyFont="1" applyFill="1" applyBorder="1" applyAlignment="1">
      <alignment horizontal="right" vertical="center"/>
    </xf>
    <xf numFmtId="0" fontId="4" fillId="18" borderId="4" xfId="0" applyFont="1" applyFill="1" applyBorder="1" applyAlignment="1">
      <alignment horizontal="left" vertical="top" wrapText="1"/>
    </xf>
    <xf numFmtId="49" fontId="4" fillId="17" borderId="6" xfId="0" applyNumberFormat="1" applyFont="1" applyFill="1" applyBorder="1" applyAlignment="1">
      <alignment horizontal="left" vertical="top"/>
    </xf>
    <xf numFmtId="0" fontId="12" fillId="17" borderId="52" xfId="0" applyFont="1" applyFill="1" applyBorder="1" applyAlignment="1">
      <alignment horizontal="center" vertical="top"/>
    </xf>
    <xf numFmtId="0" fontId="12" fillId="17" borderId="86" xfId="0" applyFont="1" applyFill="1" applyBorder="1" applyAlignment="1">
      <alignment horizontal="center" vertical="top"/>
    </xf>
    <xf numFmtId="0" fontId="12" fillId="17" borderId="87" xfId="0" applyFont="1" applyFill="1" applyBorder="1" applyAlignment="1">
      <alignment horizontal="center" vertical="top"/>
    </xf>
    <xf numFmtId="10" fontId="4" fillId="18" borderId="6" xfId="4" applyNumberFormat="1" applyFont="1" applyFill="1" applyBorder="1" applyAlignment="1">
      <alignment horizontal="center" vertical="top" wrapText="1"/>
    </xf>
    <xf numFmtId="10" fontId="4" fillId="18" borderId="7" xfId="4" applyNumberFormat="1" applyFont="1" applyFill="1" applyBorder="1" applyAlignment="1">
      <alignment horizontal="center" vertical="top" wrapText="1"/>
    </xf>
    <xf numFmtId="10" fontId="4" fillId="18" borderId="4" xfId="4" applyNumberFormat="1" applyFont="1" applyFill="1" applyBorder="1" applyAlignment="1">
      <alignment horizontal="center" vertical="top" wrapText="1"/>
    </xf>
    <xf numFmtId="10" fontId="4" fillId="18" borderId="60" xfId="4" applyNumberFormat="1" applyFont="1" applyFill="1" applyBorder="1" applyAlignment="1">
      <alignment horizontal="left" vertical="top" wrapText="1"/>
    </xf>
    <xf numFmtId="10" fontId="12" fillId="19" borderId="2" xfId="4" applyNumberFormat="1" applyFont="1" applyFill="1" applyBorder="1" applyAlignment="1">
      <alignment horizontal="left" vertical="top" wrapText="1"/>
    </xf>
    <xf numFmtId="16" fontId="12" fillId="18" borderId="2" xfId="0" applyNumberFormat="1" applyFont="1" applyFill="1" applyBorder="1" applyAlignment="1">
      <alignment horizontal="left" vertical="top" wrapText="1"/>
    </xf>
    <xf numFmtId="49" fontId="12" fillId="18" borderId="17" xfId="0" applyNumberFormat="1" applyFont="1" applyFill="1" applyBorder="1" applyAlignment="1">
      <alignment horizontal="left" vertical="top" wrapText="1"/>
    </xf>
    <xf numFmtId="49" fontId="12" fillId="18" borderId="4" xfId="0" applyNumberFormat="1" applyFont="1" applyFill="1" applyBorder="1" applyAlignment="1">
      <alignment horizontal="left" vertical="top" wrapText="1"/>
    </xf>
    <xf numFmtId="49" fontId="12" fillId="18" borderId="2" xfId="0" applyNumberFormat="1" applyFont="1" applyFill="1" applyBorder="1" applyAlignment="1">
      <alignment horizontal="left" vertical="top" wrapText="1"/>
    </xf>
    <xf numFmtId="10" fontId="12" fillId="18" borderId="17" xfId="4" applyNumberFormat="1" applyFont="1" applyFill="1" applyBorder="1" applyAlignment="1">
      <alignment horizontal="left" vertical="top" wrapText="1"/>
    </xf>
    <xf numFmtId="10" fontId="12" fillId="18" borderId="4" xfId="4" applyNumberFormat="1" applyFont="1" applyFill="1" applyBorder="1" applyAlignment="1">
      <alignment horizontal="left" vertical="top" wrapText="1"/>
    </xf>
    <xf numFmtId="49" fontId="11" fillId="0" borderId="3" xfId="3" applyNumberFormat="1" applyFont="1" applyFill="1" applyBorder="1" applyAlignment="1">
      <alignment horizontal="center" vertical="center"/>
    </xf>
    <xf numFmtId="49" fontId="11" fillId="0" borderId="5" xfId="3" applyNumberFormat="1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49" fontId="2" fillId="0" borderId="16" xfId="3" applyNumberFormat="1" applyFont="1" applyFill="1" applyBorder="1" applyAlignment="1">
      <alignment horizontal="center" vertical="center" wrapText="1"/>
    </xf>
    <xf numFmtId="49" fontId="2" fillId="0" borderId="17" xfId="3" applyNumberFormat="1" applyFont="1" applyFill="1" applyBorder="1" applyAlignment="1">
      <alignment horizontal="center" vertical="center" wrapText="1"/>
    </xf>
    <xf numFmtId="49" fontId="2" fillId="0" borderId="18" xfId="3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</cellXfs>
  <cellStyles count="5">
    <cellStyle name="Normálne" xfId="0" builtinId="0"/>
    <cellStyle name="normálne_Hárok1" xfId="3"/>
    <cellStyle name="normálne_Prijímatelia OPZ_280610" xfId="2"/>
    <cellStyle name="Percentá" xfId="4" builtinId="5"/>
    <cellStyle name="Výstup" xfId="1" builtinId="21"/>
  </cellStyles>
  <dxfs count="4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top" readingOrder="0"/>
    </dxf>
    <dxf>
      <alignment wrapText="1" readingOrder="0"/>
    </dxf>
    <dxf>
      <font>
        <color rgb="FFFF0000"/>
      </font>
      <fill>
        <patternFill>
          <bgColor rgb="FFFFC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2127\Euro\91\HODNOTENIE%20OP%20KZP\Hodnotenie%20ukazovatelov%20k%2031.12.2017\Hodnotenie%20ukazovatelov%20OP%20KZP%20k%2031.12.2017_V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l.vislocky\Documents\14-20\Kontrahovanie\Kontrahovanie%20K&#381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SVETLIVKY"/>
      <sheetName val="Vykon.ramec"/>
      <sheetName val="Vystup. ukazovatele programu"/>
      <sheetName val="Vystup. ukazovatele projektov"/>
      <sheetName val="1.1.1 Proj.real."/>
      <sheetName val="1.1.1 (10.V) Schv.ZoNFP"/>
      <sheetName val="1.1.1 (11.V) Schv.ZoNFP"/>
      <sheetName val="1.1.1 (12.V) Dor.ZoNFP"/>
      <sheetName val="1.1.1 (15.V) Dor.ZoNFP"/>
      <sheetName val="1.1.1 (16.V) Dor.ZoNFP"/>
      <sheetName val="1.2.1+1.2.2 Proj.real."/>
      <sheetName val="1.2.1+1.2.2 (1.V) Zasob"/>
      <sheetName val="1.2.3 Proj.real"/>
      <sheetName val="1.4.1 Proj.real"/>
      <sheetName val="1.4.2 Proj.real"/>
      <sheetName val="3.1.3 Proj.real"/>
      <sheetName val="4.1.1 Projekty (FN)"/>
      <sheetName val="4.1.1-4.1.2 Projekty (ZelDom)"/>
      <sheetName val="4.2.1 Projekty (FN)"/>
      <sheetName val="4.3.1 Projekty (FN)"/>
      <sheetName val="4.3.1 (6.V) Projekty"/>
      <sheetName val="4.3.1 (6.V) Schv. ZoNFP"/>
      <sheetName val="5.1.1 TP Proj.real."/>
      <sheetName val="5.1.1 TP ZoNFP"/>
      <sheetName val="Hodnotenie ukazovatelov OP KZP "/>
    </sheetNames>
    <sheetDataSet>
      <sheetData sheetId="0"/>
      <sheetData sheetId="1"/>
      <sheetData sheetId="2"/>
      <sheetData sheetId="3">
        <row r="5">
          <cell r="K5">
            <v>0</v>
          </cell>
          <cell r="M5">
            <v>0</v>
          </cell>
        </row>
        <row r="12">
          <cell r="K12">
            <v>220</v>
          </cell>
          <cell r="L12">
            <v>217</v>
          </cell>
          <cell r="M12">
            <v>0</v>
          </cell>
          <cell r="O12">
            <v>4</v>
          </cell>
        </row>
        <row r="13">
          <cell r="M13">
            <v>0</v>
          </cell>
        </row>
        <row r="14">
          <cell r="M14">
            <v>0</v>
          </cell>
          <cell r="P14">
            <v>512534.11</v>
          </cell>
        </row>
        <row r="15">
          <cell r="L15">
            <v>0</v>
          </cell>
          <cell r="M15">
            <v>0</v>
          </cell>
          <cell r="P15">
            <v>134925</v>
          </cell>
        </row>
        <row r="20">
          <cell r="K20">
            <v>0</v>
          </cell>
          <cell r="M20">
            <v>0</v>
          </cell>
        </row>
        <row r="21">
          <cell r="M21">
            <v>0</v>
          </cell>
          <cell r="P21">
            <v>7000</v>
          </cell>
        </row>
        <row r="22">
          <cell r="L22">
            <v>0</v>
          </cell>
          <cell r="M22">
            <v>0</v>
          </cell>
          <cell r="P22">
            <v>2300</v>
          </cell>
        </row>
        <row r="23">
          <cell r="K23">
            <v>0</v>
          </cell>
          <cell r="M23">
            <v>0</v>
          </cell>
          <cell r="P23">
            <v>1</v>
          </cell>
        </row>
        <row r="26">
          <cell r="K26">
            <v>273863</v>
          </cell>
          <cell r="L26">
            <v>172746</v>
          </cell>
          <cell r="M26">
            <v>3500</v>
          </cell>
        </row>
        <row r="29">
          <cell r="K29">
            <v>0</v>
          </cell>
          <cell r="M29">
            <v>0</v>
          </cell>
        </row>
        <row r="32">
          <cell r="K32">
            <v>3129</v>
          </cell>
          <cell r="L32">
            <v>729</v>
          </cell>
          <cell r="M32">
            <v>0</v>
          </cell>
          <cell r="N32">
            <v>1610</v>
          </cell>
        </row>
        <row r="35">
          <cell r="K35">
            <v>112190</v>
          </cell>
          <cell r="L35">
            <v>0</v>
          </cell>
          <cell r="M35">
            <v>5265</v>
          </cell>
        </row>
        <row r="36">
          <cell r="K36">
            <v>775356</v>
          </cell>
          <cell r="L36">
            <v>4763</v>
          </cell>
          <cell r="M36">
            <v>68829</v>
          </cell>
        </row>
        <row r="40">
          <cell r="K40">
            <v>0</v>
          </cell>
          <cell r="M40">
            <v>0</v>
          </cell>
        </row>
        <row r="41">
          <cell r="K41">
            <v>0</v>
          </cell>
          <cell r="M41">
            <v>0</v>
          </cell>
        </row>
        <row r="42">
          <cell r="K42">
            <v>122</v>
          </cell>
          <cell r="L42">
            <v>0</v>
          </cell>
          <cell r="M42">
            <v>49</v>
          </cell>
        </row>
        <row r="43">
          <cell r="K43">
            <v>1510</v>
          </cell>
          <cell r="L43">
            <v>0</v>
          </cell>
          <cell r="M43">
            <v>0</v>
          </cell>
        </row>
        <row r="45">
          <cell r="K45">
            <v>0</v>
          </cell>
          <cell r="M45">
            <v>0</v>
          </cell>
        </row>
        <row r="47">
          <cell r="K47">
            <v>0</v>
          </cell>
          <cell r="M47">
            <v>0</v>
          </cell>
        </row>
        <row r="49">
          <cell r="K49">
            <v>0</v>
          </cell>
          <cell r="M49">
            <v>0</v>
          </cell>
        </row>
        <row r="62">
          <cell r="K62">
            <v>0</v>
          </cell>
          <cell r="M62">
            <v>0</v>
          </cell>
        </row>
        <row r="65">
          <cell r="K65">
            <v>22</v>
          </cell>
          <cell r="L65">
            <v>2</v>
          </cell>
          <cell r="M65">
            <v>0</v>
          </cell>
        </row>
        <row r="73">
          <cell r="K73">
            <v>0</v>
          </cell>
          <cell r="M73">
            <v>0</v>
          </cell>
        </row>
        <row r="74">
          <cell r="K74">
            <v>0</v>
          </cell>
          <cell r="M74">
            <v>0</v>
          </cell>
        </row>
        <row r="76">
          <cell r="K76">
            <v>0</v>
          </cell>
          <cell r="M76">
            <v>0</v>
          </cell>
        </row>
        <row r="78">
          <cell r="K78">
            <v>0</v>
          </cell>
          <cell r="M78">
            <v>0</v>
          </cell>
        </row>
        <row r="82">
          <cell r="K82">
            <v>0</v>
          </cell>
          <cell r="M82">
            <v>0</v>
          </cell>
        </row>
        <row r="83">
          <cell r="K83">
            <v>205.1</v>
          </cell>
          <cell r="L83">
            <v>195</v>
          </cell>
          <cell r="M83">
            <v>195</v>
          </cell>
        </row>
        <row r="84">
          <cell r="K84">
            <v>12.46</v>
          </cell>
          <cell r="L84">
            <v>0</v>
          </cell>
          <cell r="M84">
            <v>0</v>
          </cell>
        </row>
        <row r="90">
          <cell r="K90">
            <v>0</v>
          </cell>
          <cell r="M90">
            <v>0</v>
          </cell>
        </row>
        <row r="135">
          <cell r="K135">
            <v>2</v>
          </cell>
          <cell r="L135">
            <v>1</v>
          </cell>
          <cell r="M135">
            <v>0</v>
          </cell>
        </row>
        <row r="139">
          <cell r="K139">
            <v>9109.5</v>
          </cell>
          <cell r="L139">
            <v>0</v>
          </cell>
          <cell r="M139">
            <v>0</v>
          </cell>
        </row>
        <row r="140">
          <cell r="K140">
            <v>1</v>
          </cell>
          <cell r="L140">
            <v>0</v>
          </cell>
          <cell r="M140">
            <v>0</v>
          </cell>
        </row>
        <row r="145">
          <cell r="K145">
            <v>20</v>
          </cell>
          <cell r="L145">
            <v>0</v>
          </cell>
          <cell r="M145">
            <v>0</v>
          </cell>
        </row>
        <row r="146">
          <cell r="K146">
            <v>17</v>
          </cell>
          <cell r="L146">
            <v>0</v>
          </cell>
          <cell r="M146">
            <v>0</v>
          </cell>
        </row>
        <row r="151">
          <cell r="K151">
            <v>9109.5</v>
          </cell>
          <cell r="L151">
            <v>0</v>
          </cell>
          <cell r="M151">
            <v>0</v>
          </cell>
        </row>
        <row r="152">
          <cell r="K152">
            <v>1</v>
          </cell>
          <cell r="L152">
            <v>0</v>
          </cell>
          <cell r="M152">
            <v>0</v>
          </cell>
        </row>
        <row r="154">
          <cell r="K154">
            <v>20</v>
          </cell>
          <cell r="L154">
            <v>0</v>
          </cell>
          <cell r="M154">
            <v>0</v>
          </cell>
        </row>
        <row r="155">
          <cell r="K155">
            <v>18</v>
          </cell>
          <cell r="L155">
            <v>0</v>
          </cell>
          <cell r="M155">
            <v>0</v>
          </cell>
        </row>
        <row r="156">
          <cell r="K156">
            <v>13590.02</v>
          </cell>
          <cell r="L156">
            <v>6612.0897000000004</v>
          </cell>
          <cell r="M156">
            <v>6612.0897000000004</v>
          </cell>
        </row>
        <row r="157">
          <cell r="K157">
            <v>13500</v>
          </cell>
          <cell r="L157">
            <v>3427</v>
          </cell>
          <cell r="M157">
            <v>3427</v>
          </cell>
        </row>
        <row r="158">
          <cell r="L158">
            <v>2.7614000000000001</v>
          </cell>
          <cell r="M158">
            <v>2.7614000000000001</v>
          </cell>
        </row>
        <row r="159">
          <cell r="K159">
            <v>50</v>
          </cell>
          <cell r="L159">
            <v>21.409199999999998</v>
          </cell>
          <cell r="M159">
            <v>21.409199999999998</v>
          </cell>
        </row>
        <row r="160">
          <cell r="K160">
            <v>33</v>
          </cell>
          <cell r="L160">
            <v>18.6478</v>
          </cell>
          <cell r="M160">
            <v>18.6478</v>
          </cell>
        </row>
        <row r="161">
          <cell r="K161">
            <v>1448.3</v>
          </cell>
          <cell r="L161">
            <v>358.63780000000003</v>
          </cell>
          <cell r="M161">
            <v>358.63780000000003</v>
          </cell>
        </row>
        <row r="162">
          <cell r="K162">
            <v>800</v>
          </cell>
          <cell r="L162">
            <v>251</v>
          </cell>
          <cell r="M162">
            <v>251</v>
          </cell>
        </row>
        <row r="163">
          <cell r="K163">
            <v>2</v>
          </cell>
          <cell r="L163">
            <v>0.1013</v>
          </cell>
          <cell r="M163">
            <v>0.1013</v>
          </cell>
        </row>
        <row r="164">
          <cell r="K164">
            <v>5</v>
          </cell>
          <cell r="L164">
            <v>1.34</v>
          </cell>
          <cell r="M164">
            <v>1.34</v>
          </cell>
        </row>
        <row r="165">
          <cell r="K165">
            <v>3</v>
          </cell>
          <cell r="L165">
            <v>1.2386999999999999</v>
          </cell>
          <cell r="M165">
            <v>1.2386999999999999</v>
          </cell>
        </row>
        <row r="169">
          <cell r="K169">
            <v>18984</v>
          </cell>
          <cell r="L169">
            <v>0</v>
          </cell>
          <cell r="M169">
            <v>0</v>
          </cell>
        </row>
        <row r="170">
          <cell r="K170">
            <v>55</v>
          </cell>
          <cell r="L170">
            <v>0</v>
          </cell>
          <cell r="M170">
            <v>0</v>
          </cell>
        </row>
        <row r="171">
          <cell r="K171">
            <v>8</v>
          </cell>
          <cell r="L171">
            <v>0</v>
          </cell>
          <cell r="M171">
            <v>0</v>
          </cell>
        </row>
        <row r="172">
          <cell r="K172">
            <v>45</v>
          </cell>
          <cell r="L172">
            <v>0</v>
          </cell>
          <cell r="M172">
            <v>0</v>
          </cell>
        </row>
        <row r="175">
          <cell r="K175">
            <v>4</v>
          </cell>
          <cell r="L175">
            <v>0</v>
          </cell>
          <cell r="M175">
            <v>0</v>
          </cell>
        </row>
        <row r="177">
          <cell r="K177">
            <v>51034</v>
          </cell>
          <cell r="L177">
            <v>0</v>
          </cell>
          <cell r="M177">
            <v>0</v>
          </cell>
        </row>
        <row r="180">
          <cell r="K180">
            <v>51034</v>
          </cell>
          <cell r="L180">
            <v>0</v>
          </cell>
          <cell r="M180">
            <v>0</v>
          </cell>
        </row>
        <row r="181">
          <cell r="K181">
            <v>4</v>
          </cell>
          <cell r="L181">
            <v>0</v>
          </cell>
          <cell r="M181">
            <v>0</v>
          </cell>
        </row>
        <row r="182">
          <cell r="K182">
            <v>10</v>
          </cell>
          <cell r="L182">
            <v>0</v>
          </cell>
          <cell r="M182">
            <v>0</v>
          </cell>
        </row>
        <row r="183">
          <cell r="K183">
            <v>6</v>
          </cell>
          <cell r="L183">
            <v>0</v>
          </cell>
          <cell r="M183">
            <v>0</v>
          </cell>
        </row>
        <row r="186">
          <cell r="L186">
            <v>5272.7560999999996</v>
          </cell>
          <cell r="M186">
            <v>0</v>
          </cell>
          <cell r="O186">
            <v>8572.2390999999989</v>
          </cell>
        </row>
        <row r="188">
          <cell r="L188">
            <v>88</v>
          </cell>
          <cell r="M188">
            <v>0</v>
          </cell>
        </row>
        <row r="189">
          <cell r="L189">
            <v>130293.80499999995</v>
          </cell>
          <cell r="M189">
            <v>553.91</v>
          </cell>
        </row>
        <row r="192">
          <cell r="L192">
            <v>10130447.783199998</v>
          </cell>
          <cell r="M192">
            <v>47.008099999999999</v>
          </cell>
        </row>
        <row r="197">
          <cell r="L197">
            <v>18545377.093399998</v>
          </cell>
          <cell r="M197">
            <v>47.008099999999999</v>
          </cell>
        </row>
        <row r="199">
          <cell r="L199">
            <v>213.15629999999993</v>
          </cell>
          <cell r="M199">
            <v>0</v>
          </cell>
        </row>
        <row r="224">
          <cell r="K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K225">
            <v>350</v>
          </cell>
          <cell r="L225">
            <v>313.2099</v>
          </cell>
          <cell r="M225">
            <v>313.2099</v>
          </cell>
          <cell r="O225">
            <v>83</v>
          </cell>
        </row>
        <row r="226">
          <cell r="K226">
            <v>120</v>
          </cell>
          <cell r="L226">
            <v>115.7</v>
          </cell>
          <cell r="M226">
            <v>115.7</v>
          </cell>
          <cell r="O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K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K229">
            <v>1</v>
          </cell>
          <cell r="L229">
            <v>1</v>
          </cell>
          <cell r="M229">
            <v>1</v>
          </cell>
          <cell r="O229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K231">
            <v>0</v>
          </cell>
          <cell r="L231">
            <v>0</v>
          </cell>
          <cell r="M231">
            <v>0</v>
          </cell>
          <cell r="O231">
            <v>0</v>
          </cell>
        </row>
        <row r="245">
          <cell r="K245">
            <v>841886458.1400001</v>
          </cell>
          <cell r="L245">
            <v>316346119.13</v>
          </cell>
          <cell r="N245">
            <v>158037636.66000003</v>
          </cell>
          <cell r="O245">
            <v>18630029.909999996</v>
          </cell>
          <cell r="P245">
            <v>79706771.569999993</v>
          </cell>
        </row>
        <row r="248">
          <cell r="K248">
            <v>0</v>
          </cell>
        </row>
        <row r="252">
          <cell r="K252">
            <v>49674703.509999998</v>
          </cell>
          <cell r="L252">
            <v>46728795.359999999</v>
          </cell>
          <cell r="N252">
            <v>0</v>
          </cell>
          <cell r="O252">
            <v>0</v>
          </cell>
          <cell r="P252">
            <v>0</v>
          </cell>
        </row>
        <row r="253">
          <cell r="K253">
            <v>50882353</v>
          </cell>
          <cell r="L253">
            <v>45000000</v>
          </cell>
        </row>
        <row r="256">
          <cell r="K256">
            <v>37736007.679999992</v>
          </cell>
          <cell r="L256">
            <v>34837466.879999995</v>
          </cell>
          <cell r="O256">
            <v>73678288.830000013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y"/>
      <sheetName val="Sumár"/>
      <sheetName val="Čerpanie záväzku"/>
      <sheetName val="Dĺžka realizácie"/>
      <sheetName val="80D"/>
      <sheetName val="HFRP"/>
      <sheetName val="HFRP - sumár"/>
      <sheetName val="Dodatky"/>
      <sheetName val="DMÚ"/>
      <sheetName val="Monitorovacie termíny + dáta"/>
    </sheetNames>
    <sheetDataSet>
      <sheetData sheetId="0">
        <row r="2">
          <cell r="A2" t="str">
            <v>Kód projektu</v>
          </cell>
          <cell r="B2" t="str">
            <v>PO</v>
          </cell>
          <cell r="C2" t="str">
            <v>Konkrétny cieľ</v>
          </cell>
          <cell r="D2" t="str">
            <v>Výzva</v>
          </cell>
          <cell r="E2" t="str">
            <v>Typ projektu</v>
          </cell>
          <cell r="F2" t="str">
            <v>Prijímateľ</v>
          </cell>
          <cell r="G2" t="str">
            <v>Názov projektu</v>
          </cell>
          <cell r="H2" t="str">
            <v>Oblasť intervencie</v>
          </cell>
          <cell r="I2" t="str">
            <v>VÚC</v>
          </cell>
          <cell r="J2" t="str">
            <v>Typ projektu</v>
          </cell>
          <cell r="K2" t="str">
            <v>HP UR</v>
          </cell>
          <cell r="L2" t="str">
            <v>HP PraN</v>
          </cell>
          <cell r="M2" t="str">
            <v>Dátum účinnosti zmluvy</v>
          </cell>
          <cell r="N2" t="str">
            <v>Stav realizácie projektu</v>
          </cell>
          <cell r="O2" t="str">
            <v>Dátum ukončenia projektu</v>
          </cell>
          <cell r="P2" t="str">
            <v>Link CRZ</v>
          </cell>
          <cell r="Q2" t="str">
            <v>Link CRP</v>
          </cell>
          <cell r="R2" t="str">
            <v>Číslo zmluvy o poskytnutí NFP</v>
          </cell>
          <cell r="S2" t="str">
            <v>EÚ</v>
          </cell>
          <cell r="T2" t="str">
            <v>ŠR</v>
          </cell>
          <cell r="U2" t="str">
            <v>VZ</v>
          </cell>
          <cell r="V2" t="str">
            <v>Typ VZ</v>
          </cell>
          <cell r="W2" t="str">
            <v>PÔVODNÉ
Zazmluvnenie
COV</v>
          </cell>
          <cell r="X2" t="str">
            <v>PÔVODNÉ
Zazmluvnenie
EÚ</v>
          </cell>
          <cell r="Y2" t="str">
            <v>PÔVODNÉ
Zazmluvnenie
ŠR</v>
          </cell>
          <cell r="Z2" t="str">
            <v>PÔVODNÉ
Zazmluvnenie
NFP</v>
          </cell>
          <cell r="AA2" t="str">
            <v>PÔVODNÉ
Zazmluvnenie
VZ</v>
          </cell>
          <cell r="AB2" t="str">
            <v>Zazmluvnenie
COV</v>
          </cell>
          <cell r="AC2" t="str">
            <v>Zazmluvnenie
EÚ</v>
          </cell>
          <cell r="AD2" t="str">
            <v>Zazmluvnenie
ŠR</v>
          </cell>
          <cell r="AE2" t="str">
            <v>Zazmluvnenie
NFP</v>
          </cell>
          <cell r="AF2" t="str">
            <v>Zazmluvnenie
VZ</v>
          </cell>
          <cell r="AG2" t="str">
            <v>Doručené (ešte nespracované) ŽoP na SO COV</v>
          </cell>
          <cell r="AH2" t="str">
            <v>Doručené (ešte nespracované) ŽoP na SO EÚ</v>
          </cell>
          <cell r="AI2" t="str">
            <v>Doručené (ešte nespracované) ŽoP na SO ŠR</v>
          </cell>
          <cell r="AJ2" t="str">
            <v>Doručené (ešte nespracované) ŽoP na SO NFP</v>
          </cell>
          <cell r="AK2" t="str">
            <v>Doručené (ešte nespracované) ŽoP na SO VZ</v>
          </cell>
          <cell r="AL2" t="str">
            <v>Spracované + uhradené ŽoP na SO COV</v>
          </cell>
          <cell r="AM2" t="str">
            <v>Spracované + uhradené ŽoP na SO EÚ</v>
          </cell>
          <cell r="AN2" t="str">
            <v>Spracované + uhradené ŽoP na SO ŠR</v>
          </cell>
          <cell r="AO2" t="str">
            <v>Spracované + uhradené ŽoP na SO NFP</v>
          </cell>
          <cell r="AP2" t="str">
            <v>Spracované + uhradené ŽoP na SO VZ</v>
          </cell>
          <cell r="AQ2" t="str">
            <v>Aktuálne na PJ
COV</v>
          </cell>
          <cell r="AR2" t="str">
            <v>Aktuálne na PJ
EÚ</v>
          </cell>
        </row>
        <row r="3">
          <cell r="A3" t="str">
            <v>310011A002</v>
          </cell>
          <cell r="B3">
            <v>1</v>
          </cell>
          <cell r="C3" t="str">
            <v>1.2.1</v>
          </cell>
          <cell r="D3" t="str">
            <v>OPKZP-PO1-SC121/122-2015</v>
          </cell>
          <cell r="E3" t="str">
            <v>voda</v>
          </cell>
          <cell r="F3" t="str">
            <v>Obec Pohronská Polhora</v>
          </cell>
          <cell r="G3" t="str">
            <v>Kanalizácia obcí Pohronská Polhora a Michalová</v>
          </cell>
          <cell r="H3" t="str">
            <v>022</v>
          </cell>
          <cell r="I3" t="str">
            <v>BB</v>
          </cell>
          <cell r="J3" t="str">
            <v>regionálny</v>
          </cell>
          <cell r="K3" t="str">
            <v>áno</v>
          </cell>
          <cell r="L3" t="str">
            <v>áno</v>
          </cell>
          <cell r="M3">
            <v>42459</v>
          </cell>
          <cell r="N3" t="str">
            <v>Realizácia</v>
          </cell>
          <cell r="P3" t="str">
            <v>https://www.crz.gov.sk/index.php?ID=2380696&amp;l=sk</v>
          </cell>
          <cell r="Q3" t="str">
            <v>http://crp.gov.sk/kanalizacia-obci-pohronska-polhora-a-michalova/</v>
          </cell>
          <cell r="R3" t="str">
            <v>OPKZP-PO1-SC121/122-2015/16</v>
          </cell>
          <cell r="S3">
            <v>0.85</v>
          </cell>
          <cell r="T3">
            <v>0.1</v>
          </cell>
          <cell r="U3">
            <v>0.05</v>
          </cell>
          <cell r="V3" t="str">
            <v>verejné</v>
          </cell>
          <cell r="W3">
            <v>16182134.66</v>
          </cell>
          <cell r="X3">
            <v>13754814.460000001</v>
          </cell>
          <cell r="Y3">
            <v>1618213.47</v>
          </cell>
          <cell r="Z3">
            <v>15373027.930000002</v>
          </cell>
          <cell r="AA3">
            <v>809106.73</v>
          </cell>
          <cell r="AB3">
            <v>16182134.66</v>
          </cell>
          <cell r="AC3">
            <v>13754814.460000001</v>
          </cell>
          <cell r="AD3">
            <v>1618213.47</v>
          </cell>
          <cell r="AE3">
            <v>15373027.930000002</v>
          </cell>
          <cell r="AF3">
            <v>809106.73</v>
          </cell>
          <cell r="AJ3">
            <v>0</v>
          </cell>
          <cell r="AO3">
            <v>0</v>
          </cell>
          <cell r="AQ3">
            <v>0</v>
          </cell>
          <cell r="AR3">
            <v>0</v>
          </cell>
        </row>
        <row r="4">
          <cell r="A4" t="str">
            <v>310011A003</v>
          </cell>
          <cell r="B4">
            <v>1</v>
          </cell>
          <cell r="C4" t="str">
            <v>1.2.1</v>
          </cell>
          <cell r="D4" t="str">
            <v>OPKZP-PO1-SC121/122-2015</v>
          </cell>
          <cell r="E4" t="str">
            <v>voda</v>
          </cell>
          <cell r="F4" t="str">
            <v>Obec Bojná</v>
          </cell>
          <cell r="G4" t="str">
            <v>Kanalizácia a ČOV Bojná-Veľké Dvorany</v>
          </cell>
          <cell r="H4" t="str">
            <v>022</v>
          </cell>
          <cell r="I4" t="str">
            <v>NR</v>
          </cell>
          <cell r="J4" t="str">
            <v>regionálny</v>
          </cell>
          <cell r="K4" t="str">
            <v>áno</v>
          </cell>
          <cell r="L4" t="str">
            <v>áno</v>
          </cell>
          <cell r="M4">
            <v>42510</v>
          </cell>
          <cell r="N4" t="str">
            <v>Realizácia</v>
          </cell>
          <cell r="P4" t="str">
            <v>https://www.crz.gov.sk/index.php?ID=2458539&amp;l=sk</v>
          </cell>
          <cell r="Q4" t="str">
            <v>http://crp.gov.sk/kanalizacia-a-cov-bojna-velke-dvorany/</v>
          </cell>
          <cell r="R4" t="str">
            <v>OPKZP-PO1-SC121/122-2015/27</v>
          </cell>
          <cell r="S4">
            <v>0.85</v>
          </cell>
          <cell r="T4">
            <v>0.1</v>
          </cell>
          <cell r="U4">
            <v>0.05</v>
          </cell>
          <cell r="V4" t="str">
            <v>verejné</v>
          </cell>
          <cell r="W4">
            <v>13248031.73</v>
          </cell>
          <cell r="X4">
            <v>11260826.970000001</v>
          </cell>
          <cell r="Y4">
            <v>1324803.17</v>
          </cell>
          <cell r="Z4">
            <v>12585630.140000001</v>
          </cell>
          <cell r="AA4">
            <v>662401.59</v>
          </cell>
          <cell r="AB4">
            <v>13248031.73</v>
          </cell>
          <cell r="AC4">
            <v>11260826.970000001</v>
          </cell>
          <cell r="AD4">
            <v>1324803.17</v>
          </cell>
          <cell r="AE4">
            <v>12585630.140000001</v>
          </cell>
          <cell r="AF4">
            <v>662401.59</v>
          </cell>
          <cell r="AG4">
            <v>12433.27</v>
          </cell>
          <cell r="AH4">
            <v>10568.279500000001</v>
          </cell>
          <cell r="AI4">
            <v>1243.3270000000002</v>
          </cell>
          <cell r="AJ4">
            <v>11811.606500000002</v>
          </cell>
          <cell r="AK4">
            <v>621.66350000000011</v>
          </cell>
          <cell r="AL4">
            <v>9590415.0800000001</v>
          </cell>
          <cell r="AM4">
            <v>8151852.8200000003</v>
          </cell>
          <cell r="AN4">
            <v>959041.51</v>
          </cell>
          <cell r="AO4">
            <v>9110894.3300000001</v>
          </cell>
          <cell r="AP4">
            <v>479520.75</v>
          </cell>
          <cell r="AQ4">
            <v>2258175.75</v>
          </cell>
          <cell r="AR4">
            <v>1919449.3900000006</v>
          </cell>
        </row>
        <row r="5">
          <cell r="A5" t="str">
            <v>310011A006</v>
          </cell>
          <cell r="B5">
            <v>1</v>
          </cell>
          <cell r="C5" t="str">
            <v>1.2.1</v>
          </cell>
          <cell r="D5" t="str">
            <v>OPKZP-PO1-SC121/122-2015</v>
          </cell>
          <cell r="E5" t="str">
            <v>voda</v>
          </cell>
          <cell r="F5" t="str">
            <v>Stredoslovenská vodárenská spoločnosť,  a.s.</v>
          </cell>
          <cell r="G5" t="str">
            <v>Očová, Zvolenská Slatina - odvedenie a čistenie odpadových vôd</v>
          </cell>
          <cell r="H5" t="str">
            <v>022</v>
          </cell>
          <cell r="I5" t="str">
            <v>BB</v>
          </cell>
          <cell r="J5" t="str">
            <v>regionálny</v>
          </cell>
          <cell r="K5" t="str">
            <v>áno</v>
          </cell>
          <cell r="L5" t="str">
            <v>áno</v>
          </cell>
          <cell r="M5">
            <v>42453</v>
          </cell>
          <cell r="N5" t="str">
            <v>Realizácia</v>
          </cell>
          <cell r="P5" t="str">
            <v>https://www.crz.gov.sk/index.php?ID=2375836&amp;l=sk</v>
          </cell>
          <cell r="Q5" t="str">
            <v>http://crp.gov.sk/ocova-zvolenska-slatina-odvedenie-a-cistenie-odpadovych-vod/</v>
          </cell>
          <cell r="R5" t="str">
            <v>OPKZP-PO1-SC121/122-2015/17</v>
          </cell>
          <cell r="S5">
            <v>0.85</v>
          </cell>
          <cell r="T5">
            <v>0.05</v>
          </cell>
          <cell r="U5">
            <v>0.1</v>
          </cell>
          <cell r="V5" t="str">
            <v>súkromné</v>
          </cell>
          <cell r="W5">
            <v>10984207.6</v>
          </cell>
          <cell r="X5">
            <v>9336576.4600000009</v>
          </cell>
          <cell r="Y5">
            <v>549210.38</v>
          </cell>
          <cell r="Z5">
            <v>9885786.8400000017</v>
          </cell>
          <cell r="AA5">
            <v>1098420.76</v>
          </cell>
          <cell r="AB5">
            <v>10984207.6</v>
          </cell>
          <cell r="AC5">
            <v>9336576.4600000009</v>
          </cell>
          <cell r="AD5">
            <v>549210.38</v>
          </cell>
          <cell r="AE5">
            <v>9885786.8400000017</v>
          </cell>
          <cell r="AF5">
            <v>1098420.76</v>
          </cell>
          <cell r="AG5">
            <v>2713.54</v>
          </cell>
          <cell r="AH5">
            <v>2306.509</v>
          </cell>
          <cell r="AI5">
            <v>135.67699999999999</v>
          </cell>
          <cell r="AJ5">
            <v>2442.1860000000001</v>
          </cell>
          <cell r="AK5">
            <v>271.35399999999998</v>
          </cell>
          <cell r="AO5">
            <v>0</v>
          </cell>
          <cell r="AQ5">
            <v>0</v>
          </cell>
          <cell r="AR5">
            <v>0</v>
          </cell>
        </row>
        <row r="6">
          <cell r="A6" t="str">
            <v>310011A007</v>
          </cell>
          <cell r="B6">
            <v>1</v>
          </cell>
          <cell r="C6" t="str">
            <v>1.2.1</v>
          </cell>
          <cell r="D6" t="str">
            <v>OPKZP-PO1-SC121/122-2015</v>
          </cell>
          <cell r="E6" t="str">
            <v>voda</v>
          </cell>
          <cell r="F6" t="str">
            <v>Združenie obcí AGLOMERÁCIA HRONOVCE</v>
          </cell>
          <cell r="G6" t="str">
            <v>Vybudovanie kanalizácie a ČOV v aglomerácií Hronovce</v>
          </cell>
          <cell r="H6" t="str">
            <v>022</v>
          </cell>
          <cell r="I6" t="str">
            <v>NR</v>
          </cell>
          <cell r="J6" t="str">
            <v>regionálny</v>
          </cell>
          <cell r="K6" t="str">
            <v>áno</v>
          </cell>
          <cell r="L6" t="str">
            <v>áno</v>
          </cell>
          <cell r="M6">
            <v>42444</v>
          </cell>
          <cell r="N6" t="str">
            <v>Realizácia</v>
          </cell>
          <cell r="P6" t="str">
            <v>https://www.crz.gov.sk/index.php?ID=2361426&amp;l=sk</v>
          </cell>
          <cell r="Q6" t="str">
            <v>http://crp.gov.sk/vybudovanie-kanalizacie-a-cov-v-aglomeracii-hronovce/</v>
          </cell>
          <cell r="R6" t="str">
            <v>OPKZP-PO1-SC121/122-2015/07</v>
          </cell>
          <cell r="S6">
            <v>0.85</v>
          </cell>
          <cell r="T6">
            <v>0.1</v>
          </cell>
          <cell r="U6">
            <v>0.05</v>
          </cell>
          <cell r="V6" t="str">
            <v>verejné</v>
          </cell>
          <cell r="W6">
            <v>16476687.289999999</v>
          </cell>
          <cell r="X6">
            <v>14005184.199999999</v>
          </cell>
          <cell r="Y6">
            <v>1647668.73</v>
          </cell>
          <cell r="Z6">
            <v>15652852.93</v>
          </cell>
          <cell r="AA6">
            <v>823834.36</v>
          </cell>
          <cell r="AB6">
            <v>16476687.289999999</v>
          </cell>
          <cell r="AC6">
            <v>14005184.199999999</v>
          </cell>
          <cell r="AD6">
            <v>1647668.73</v>
          </cell>
          <cell r="AE6">
            <v>15652852.93</v>
          </cell>
          <cell r="AF6">
            <v>823834.36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13665130.84</v>
          </cell>
          <cell r="AM6">
            <v>11615361.210000001</v>
          </cell>
          <cell r="AN6">
            <v>1366513.08</v>
          </cell>
          <cell r="AO6">
            <v>12981874.290000001</v>
          </cell>
          <cell r="AP6">
            <v>683256.55</v>
          </cell>
          <cell r="AQ6">
            <v>0</v>
          </cell>
          <cell r="AR6">
            <v>0</v>
          </cell>
        </row>
        <row r="7">
          <cell r="A7" t="str">
            <v>310011A008</v>
          </cell>
          <cell r="B7">
            <v>1</v>
          </cell>
          <cell r="C7" t="str">
            <v>1.2.1</v>
          </cell>
          <cell r="D7" t="str">
            <v>OPKZP-PO1-SC121/122-2015</v>
          </cell>
          <cell r="E7" t="str">
            <v>voda</v>
          </cell>
          <cell r="F7" t="str">
            <v>Regionálna vodárenská spoločnosť Vlára-Váh, s.r.o.</v>
          </cell>
          <cell r="G7" t="str">
            <v>Odkanalizovanie Mikroregiónu Vlára - Váh a intenzifikácia ČOV Nemšová</v>
          </cell>
          <cell r="H7" t="str">
            <v>022</v>
          </cell>
          <cell r="I7" t="str">
            <v>TN</v>
          </cell>
          <cell r="J7" t="str">
            <v>regionálny</v>
          </cell>
          <cell r="K7" t="str">
            <v>áno</v>
          </cell>
          <cell r="L7" t="str">
            <v>áno</v>
          </cell>
          <cell r="M7">
            <v>42448</v>
          </cell>
          <cell r="N7" t="str">
            <v>Realizácia</v>
          </cell>
          <cell r="P7" t="str">
            <v>https://www.crz.gov.sk/index.php?ID=2368687&amp;l=sk</v>
          </cell>
          <cell r="Q7" t="str">
            <v>http://crp.gov.sk/odkanalizovanie-mikroregionu-vlara-vah-a-intenzifikacia-cov-nemsova--/</v>
          </cell>
          <cell r="R7" t="str">
            <v>OPKZP-PO1-SC121/122-2015/08</v>
          </cell>
          <cell r="S7">
            <v>0.85</v>
          </cell>
          <cell r="T7">
            <v>0.05</v>
          </cell>
          <cell r="U7">
            <v>0.1</v>
          </cell>
          <cell r="V7" t="str">
            <v>súkromné</v>
          </cell>
          <cell r="W7">
            <v>38975859.950000003</v>
          </cell>
          <cell r="X7">
            <v>33129480.960000001</v>
          </cell>
          <cell r="Y7">
            <v>1948793</v>
          </cell>
          <cell r="Z7">
            <v>35078273.960000001</v>
          </cell>
          <cell r="AA7">
            <v>3897586</v>
          </cell>
          <cell r="AB7">
            <v>38975859.950000003</v>
          </cell>
          <cell r="AC7">
            <v>33129480.960000001</v>
          </cell>
          <cell r="AD7">
            <v>1948793</v>
          </cell>
          <cell r="AE7">
            <v>35078273.960000001</v>
          </cell>
          <cell r="AF7">
            <v>3897586</v>
          </cell>
          <cell r="AG7">
            <v>10234469.379999999</v>
          </cell>
          <cell r="AH7">
            <v>8699007.8889985178</v>
          </cell>
          <cell r="AI7">
            <v>511706.3464116776</v>
          </cell>
          <cell r="AJ7">
            <v>9210714.2354101948</v>
          </cell>
          <cell r="AK7">
            <v>1023412.6928233552</v>
          </cell>
          <cell r="AL7">
            <v>15534226.48</v>
          </cell>
          <cell r="AM7">
            <v>13204092.520000001</v>
          </cell>
          <cell r="AN7">
            <v>776711.30999999994</v>
          </cell>
          <cell r="AO7">
            <v>13980803.830000002</v>
          </cell>
          <cell r="AP7">
            <v>1553422.65</v>
          </cell>
          <cell r="AQ7">
            <v>0</v>
          </cell>
          <cell r="AR7">
            <v>0</v>
          </cell>
        </row>
        <row r="8">
          <cell r="A8" t="str">
            <v>310011A009</v>
          </cell>
          <cell r="B8">
            <v>1</v>
          </cell>
          <cell r="C8" t="str">
            <v>1.2.1</v>
          </cell>
          <cell r="D8" t="str">
            <v>OPKZP-PO1-SC121/122-2015</v>
          </cell>
          <cell r="E8" t="str">
            <v>voda</v>
          </cell>
          <cell r="F8" t="str">
            <v>Obec Šoporňa</v>
          </cell>
          <cell r="G8" t="str">
            <v>Šoporňa - rozšírenie kanalizácie a ČOV</v>
          </cell>
          <cell r="H8" t="str">
            <v>022</v>
          </cell>
          <cell r="I8" t="str">
            <v>TT</v>
          </cell>
          <cell r="J8" t="str">
            <v>regionálny</v>
          </cell>
          <cell r="K8" t="str">
            <v>áno</v>
          </cell>
          <cell r="L8" t="str">
            <v>áno</v>
          </cell>
          <cell r="M8">
            <v>42453</v>
          </cell>
          <cell r="N8" t="str">
            <v>Realizácia</v>
          </cell>
          <cell r="P8" t="str">
            <v>https://www.crz.gov.sk/index.php?ID=2375759&amp;l=sk</v>
          </cell>
          <cell r="Q8" t="str">
            <v>http://crp.gov.sk/soporna-rozsirenie-kanalizacie-a-cov/</v>
          </cell>
          <cell r="R8" t="str">
            <v>OPKZP-PO1-SC121/122-2015/13</v>
          </cell>
          <cell r="S8">
            <v>0.85</v>
          </cell>
          <cell r="T8">
            <v>0.1</v>
          </cell>
          <cell r="U8">
            <v>0.05</v>
          </cell>
          <cell r="V8" t="str">
            <v>verejné</v>
          </cell>
          <cell r="W8">
            <v>10424128.16</v>
          </cell>
          <cell r="X8">
            <v>8860508.9399999995</v>
          </cell>
          <cell r="Y8">
            <v>1042412.82</v>
          </cell>
          <cell r="Z8">
            <v>9902921.7599999998</v>
          </cell>
          <cell r="AA8">
            <v>521206.41</v>
          </cell>
          <cell r="AB8">
            <v>10424128.16</v>
          </cell>
          <cell r="AC8">
            <v>8860508.9399999995</v>
          </cell>
          <cell r="AD8">
            <v>1042412.82</v>
          </cell>
          <cell r="AE8">
            <v>9902921.7599999998</v>
          </cell>
          <cell r="AF8">
            <v>521206.41</v>
          </cell>
          <cell r="AJ8">
            <v>0</v>
          </cell>
          <cell r="AO8">
            <v>0</v>
          </cell>
          <cell r="AQ8">
            <v>0</v>
          </cell>
          <cell r="AR8">
            <v>0</v>
          </cell>
        </row>
        <row r="9">
          <cell r="A9" t="str">
            <v>310011A010</v>
          </cell>
          <cell r="B9">
            <v>1</v>
          </cell>
          <cell r="C9" t="str">
            <v>1.2.1</v>
          </cell>
          <cell r="D9" t="str">
            <v>OPKZP-PO1-SC121/122-2015</v>
          </cell>
          <cell r="E9" t="str">
            <v>voda</v>
          </cell>
          <cell r="F9" t="str">
            <v>Stredoslovenská vodárenská spoločnosť,  a.s.</v>
          </cell>
          <cell r="G9" t="str">
            <v>Aglomerácia Nedožery-Brezany - kanalizácia</v>
          </cell>
          <cell r="H9" t="str">
            <v>022</v>
          </cell>
          <cell r="I9" t="str">
            <v>TN</v>
          </cell>
          <cell r="J9" t="str">
            <v>regionálny</v>
          </cell>
          <cell r="K9" t="str">
            <v>áno</v>
          </cell>
          <cell r="L9" t="str">
            <v>áno</v>
          </cell>
          <cell r="M9">
            <v>42459</v>
          </cell>
          <cell r="N9" t="str">
            <v>Realizácia</v>
          </cell>
          <cell r="P9" t="str">
            <v xml:space="preserve">https://www.crz.gov.sk/index.php?ID=2380731&amp;l=sk </v>
          </cell>
          <cell r="Q9" t="str">
            <v>http://crp.gov.sk/aglomeracia-nedozery-brezany-kanalizacia/</v>
          </cell>
          <cell r="R9" t="str">
            <v>OPKZP-PO1-SC121/122-2015/19</v>
          </cell>
          <cell r="S9">
            <v>0.85</v>
          </cell>
          <cell r="T9">
            <v>0.05</v>
          </cell>
          <cell r="U9">
            <v>0.1</v>
          </cell>
          <cell r="V9" t="str">
            <v>súkromné</v>
          </cell>
          <cell r="W9">
            <v>13225369.07</v>
          </cell>
          <cell r="X9">
            <v>11241563.710000001</v>
          </cell>
          <cell r="Y9">
            <v>661268.44999999995</v>
          </cell>
          <cell r="Z9">
            <v>11902832.16</v>
          </cell>
          <cell r="AA9">
            <v>1322536.9099999999</v>
          </cell>
          <cell r="AB9">
            <v>13225369.07</v>
          </cell>
          <cell r="AC9">
            <v>11241563.710000001</v>
          </cell>
          <cell r="AD9">
            <v>661268.44999999995</v>
          </cell>
          <cell r="AE9">
            <v>11902832.16</v>
          </cell>
          <cell r="AF9">
            <v>1322536.9099999999</v>
          </cell>
          <cell r="AJ9">
            <v>0</v>
          </cell>
          <cell r="AO9">
            <v>0</v>
          </cell>
          <cell r="AQ9">
            <v>0</v>
          </cell>
          <cell r="AR9">
            <v>0</v>
          </cell>
        </row>
        <row r="10">
          <cell r="A10" t="str">
            <v>310011A011</v>
          </cell>
          <cell r="B10">
            <v>1</v>
          </cell>
          <cell r="C10" t="str">
            <v>1.2.1 
1.2.2</v>
          </cell>
          <cell r="D10" t="str">
            <v>OPKZP-PO1-SC121/122-2015</v>
          </cell>
          <cell r="E10" t="str">
            <v>voda</v>
          </cell>
          <cell r="F10" t="str">
            <v>Turčianska vodárenská spoločnosť, a.s.</v>
          </cell>
          <cell r="G10" t="str">
            <v>Turčiansky Peter, Košťany nad Turcom - odkanalizovanie</v>
          </cell>
          <cell r="H10" t="str">
            <v>020
022</v>
          </cell>
          <cell r="I10" t="str">
            <v>ZA</v>
          </cell>
          <cell r="J10" t="str">
            <v>regionálny</v>
          </cell>
          <cell r="K10" t="str">
            <v>áno</v>
          </cell>
          <cell r="L10" t="str">
            <v>áno</v>
          </cell>
          <cell r="M10">
            <v>42441</v>
          </cell>
          <cell r="N10" t="str">
            <v>Realizácia</v>
          </cell>
          <cell r="P10" t="str">
            <v>https://www.crz.gov.sk/index.php?ID=2359653&amp;l=sk</v>
          </cell>
          <cell r="Q10" t="str">
            <v>http://crp.gov.sk/turciansky-peter-kostany-nad-turcom-odkanalizovanie/</v>
          </cell>
          <cell r="R10" t="str">
            <v>OPKZP-PO1-SC121/122-2015/10</v>
          </cell>
          <cell r="S10">
            <v>0.85</v>
          </cell>
          <cell r="T10">
            <v>0.05</v>
          </cell>
          <cell r="U10">
            <v>0.1</v>
          </cell>
          <cell r="V10" t="str">
            <v>súkromné</v>
          </cell>
          <cell r="W10">
            <v>4095203.15</v>
          </cell>
          <cell r="X10">
            <v>3480922.68</v>
          </cell>
          <cell r="Y10">
            <v>204760.16</v>
          </cell>
          <cell r="Z10">
            <v>3685682.8400000003</v>
          </cell>
          <cell r="AA10">
            <v>409520.32</v>
          </cell>
          <cell r="AB10">
            <v>4095203.15</v>
          </cell>
          <cell r="AC10">
            <v>3480922.68</v>
          </cell>
          <cell r="AD10">
            <v>204760.16</v>
          </cell>
          <cell r="AE10">
            <v>3685682.8400000003</v>
          </cell>
          <cell r="AF10">
            <v>409520.32</v>
          </cell>
          <cell r="AG10">
            <v>790550.97</v>
          </cell>
          <cell r="AH10">
            <v>665353.27083378402</v>
          </cell>
          <cell r="AI10">
            <v>39138.427696104947</v>
          </cell>
          <cell r="AJ10">
            <v>704491.69852988899</v>
          </cell>
          <cell r="AK10">
            <v>78276.855392209894</v>
          </cell>
          <cell r="AL10">
            <v>3089112.64</v>
          </cell>
          <cell r="AM10">
            <v>2625745.7599999998</v>
          </cell>
          <cell r="AN10">
            <v>154455.60999999999</v>
          </cell>
          <cell r="AO10">
            <v>2780201.3699999996</v>
          </cell>
          <cell r="AP10">
            <v>308911.27</v>
          </cell>
          <cell r="AQ10">
            <v>0</v>
          </cell>
          <cell r="AR10">
            <v>0</v>
          </cell>
        </row>
        <row r="11">
          <cell r="A11" t="str">
            <v>310011A012</v>
          </cell>
          <cell r="B11">
            <v>1</v>
          </cell>
          <cell r="C11" t="str">
            <v>1.2.1</v>
          </cell>
          <cell r="D11" t="str">
            <v>OPKZP-PO1-SC121/122-2015</v>
          </cell>
          <cell r="E11" t="str">
            <v>voda</v>
          </cell>
          <cell r="F11" t="str">
            <v>Obec Víťaz</v>
          </cell>
          <cell r="G11" t="str">
            <v>Kanalizácia a ČOV - Víťaz</v>
          </cell>
          <cell r="H11" t="str">
            <v>020
022</v>
          </cell>
          <cell r="I11" t="str">
            <v>PO</v>
          </cell>
          <cell r="J11" t="str">
            <v>regionálny</v>
          </cell>
          <cell r="K11" t="str">
            <v>áno</v>
          </cell>
          <cell r="L11" t="str">
            <v>áno</v>
          </cell>
          <cell r="M11">
            <v>42511</v>
          </cell>
          <cell r="N11" t="str">
            <v>Mimoriadne ukončený</v>
          </cell>
          <cell r="O11">
            <v>42860</v>
          </cell>
          <cell r="P11" t="str">
            <v>https://www.crz.gov.sk/index.php?ID=2460568&amp;l=sk</v>
          </cell>
          <cell r="Q11" t="str">
            <v>http://crp.gov.sk/kanalizacia-a-cov-vitaz/</v>
          </cell>
          <cell r="R11" t="str">
            <v>OPKZP-PO1-SC121/122-2015/31</v>
          </cell>
          <cell r="S11">
            <v>0.85</v>
          </cell>
          <cell r="T11">
            <v>0.1</v>
          </cell>
          <cell r="U11">
            <v>0.05</v>
          </cell>
          <cell r="V11" t="str">
            <v>verejné</v>
          </cell>
          <cell r="W11">
            <v>6003566.3300000001</v>
          </cell>
          <cell r="X11">
            <v>5103031.38</v>
          </cell>
          <cell r="Y11">
            <v>600356.63</v>
          </cell>
          <cell r="Z11">
            <v>5703388.0099999998</v>
          </cell>
          <cell r="AA11">
            <v>300178.32</v>
          </cell>
          <cell r="AB11">
            <v>6003566.3300000001</v>
          </cell>
          <cell r="AC11">
            <v>5103031.38</v>
          </cell>
          <cell r="AD11">
            <v>600356.63</v>
          </cell>
          <cell r="AE11">
            <v>5703388.0099999998</v>
          </cell>
          <cell r="AF11">
            <v>300178.32</v>
          </cell>
          <cell r="AJ11">
            <v>0</v>
          </cell>
          <cell r="AO11">
            <v>0</v>
          </cell>
          <cell r="AQ11">
            <v>0</v>
          </cell>
          <cell r="AR11">
            <v>0</v>
          </cell>
        </row>
        <row r="12">
          <cell r="A12" t="str">
            <v>310011A013</v>
          </cell>
          <cell r="B12">
            <v>1</v>
          </cell>
          <cell r="C12" t="str">
            <v>1.2.1</v>
          </cell>
          <cell r="D12" t="str">
            <v>OPKZP-PO1-SC121/122-2015</v>
          </cell>
          <cell r="E12" t="str">
            <v>voda</v>
          </cell>
          <cell r="F12" t="str">
            <v>Obec Tekovské Lužany</v>
          </cell>
          <cell r="G12" t="str">
            <v>Obecná kanalizácia a ČOV Tekovské Lužany</v>
          </cell>
          <cell r="H12" t="str">
            <v>022</v>
          </cell>
          <cell r="I12" t="str">
            <v>NR</v>
          </cell>
          <cell r="J12" t="str">
            <v>regionálny</v>
          </cell>
          <cell r="K12" t="str">
            <v>áno</v>
          </cell>
          <cell r="L12" t="str">
            <v>áno</v>
          </cell>
          <cell r="M12">
            <v>42496</v>
          </cell>
          <cell r="N12" t="str">
            <v>Realizácia</v>
          </cell>
          <cell r="P12" t="str">
            <v>https://www.crz.gov.sk/index.php?ID=2441651&amp;l=sk</v>
          </cell>
          <cell r="Q12" t="str">
            <v>http://crp.gov.sk/obecna-kanalizacia-a-cov-tekovske-luzany/</v>
          </cell>
          <cell r="R12" t="str">
            <v>OPKZP-PO1-SC121/122-2015/33</v>
          </cell>
          <cell r="S12">
            <v>0.85</v>
          </cell>
          <cell r="T12">
            <v>0.1</v>
          </cell>
          <cell r="U12">
            <v>0.05</v>
          </cell>
          <cell r="V12" t="str">
            <v>verejné</v>
          </cell>
          <cell r="W12">
            <v>12932970.51</v>
          </cell>
          <cell r="X12">
            <v>10993024.93</v>
          </cell>
          <cell r="Y12">
            <v>1293297.05</v>
          </cell>
          <cell r="Z12">
            <v>12286321.98</v>
          </cell>
          <cell r="AA12">
            <v>646648.53</v>
          </cell>
          <cell r="AB12">
            <v>12932970.51</v>
          </cell>
          <cell r="AC12">
            <v>10993024.93</v>
          </cell>
          <cell r="AD12">
            <v>1293297.05</v>
          </cell>
          <cell r="AE12">
            <v>12286321.98</v>
          </cell>
          <cell r="AF12">
            <v>646648.53</v>
          </cell>
          <cell r="AJ12">
            <v>0</v>
          </cell>
          <cell r="AO12">
            <v>0</v>
          </cell>
          <cell r="AQ12">
            <v>0</v>
          </cell>
          <cell r="AR12">
            <v>0</v>
          </cell>
        </row>
        <row r="13">
          <cell r="A13" t="str">
            <v>310011A014</v>
          </cell>
          <cell r="B13">
            <v>1</v>
          </cell>
          <cell r="C13" t="str">
            <v>1.2.1</v>
          </cell>
          <cell r="D13" t="str">
            <v>OPKZP-PO1-SC121/122-2015</v>
          </cell>
          <cell r="E13" t="str">
            <v>voda</v>
          </cell>
          <cell r="F13" t="str">
            <v>Obec Petrovany</v>
          </cell>
          <cell r="G13" t="str">
            <v>Odkanalizovanie aglomerácie Kendice</v>
          </cell>
          <cell r="H13" t="str">
            <v>022</v>
          </cell>
          <cell r="I13" t="str">
            <v>PO</v>
          </cell>
          <cell r="J13" t="str">
            <v>regionálny</v>
          </cell>
          <cell r="K13" t="str">
            <v>áno</v>
          </cell>
          <cell r="L13" t="str">
            <v>áno</v>
          </cell>
          <cell r="M13">
            <v>42446</v>
          </cell>
          <cell r="N13" t="str">
            <v>Realizácia</v>
          </cell>
          <cell r="P13" t="str">
            <v>https://www.crz.gov.sk/index.php?ID=2365272&amp;l=sk</v>
          </cell>
          <cell r="Q13" t="str">
            <v>http://crp.gov.sk/odkanalizovanie-aglomeracie-kendice/</v>
          </cell>
          <cell r="R13" t="str">
            <v>OPKZP-PO1-SC121/122-2015/05</v>
          </cell>
          <cell r="S13">
            <v>0.85</v>
          </cell>
          <cell r="T13">
            <v>0.1</v>
          </cell>
          <cell r="U13">
            <v>0.05</v>
          </cell>
          <cell r="V13" t="str">
            <v>verejné</v>
          </cell>
          <cell r="W13">
            <v>6180112.8899999997</v>
          </cell>
          <cell r="X13">
            <v>5253095.96</v>
          </cell>
          <cell r="Y13">
            <v>618011.29</v>
          </cell>
          <cell r="Z13">
            <v>5871107.25</v>
          </cell>
          <cell r="AA13">
            <v>309005.64</v>
          </cell>
          <cell r="AB13">
            <v>6180112.8899999997</v>
          </cell>
          <cell r="AC13">
            <v>5253095.96</v>
          </cell>
          <cell r="AD13">
            <v>618011.29</v>
          </cell>
          <cell r="AE13">
            <v>5871107.25</v>
          </cell>
          <cell r="AF13">
            <v>309005.64</v>
          </cell>
          <cell r="AJ13">
            <v>0</v>
          </cell>
          <cell r="AO13">
            <v>0</v>
          </cell>
          <cell r="AQ13">
            <v>0</v>
          </cell>
          <cell r="AR13">
            <v>0</v>
          </cell>
        </row>
        <row r="14">
          <cell r="A14" t="str">
            <v>310011A016</v>
          </cell>
          <cell r="B14">
            <v>1</v>
          </cell>
          <cell r="C14" t="str">
            <v>1.2.1</v>
          </cell>
          <cell r="D14" t="str">
            <v>OPKZP-PO1-SC121/122-2015</v>
          </cell>
          <cell r="E14" t="str">
            <v>voda</v>
          </cell>
          <cell r="F14" t="str">
            <v>Obec Podolie</v>
          </cell>
          <cell r="G14" t="str">
            <v>Vybudovanie a využívanie stokovej siete v aglomerácii obcí Podolie a Očkov</v>
          </cell>
          <cell r="H14" t="str">
            <v>022</v>
          </cell>
          <cell r="I14" t="str">
            <v>TN</v>
          </cell>
          <cell r="J14" t="str">
            <v>regionálny</v>
          </cell>
          <cell r="K14" t="str">
            <v>áno</v>
          </cell>
          <cell r="L14" t="str">
            <v>áno</v>
          </cell>
          <cell r="M14">
            <v>42441</v>
          </cell>
          <cell r="N14" t="str">
            <v>Realizácia</v>
          </cell>
          <cell r="P14" t="str">
            <v>https://www.crz.gov.sk/index.php?ID=2359672&amp;l=sk</v>
          </cell>
          <cell r="Q14" t="str">
            <v>http://crp.gov.sk/vybudovanie-a-vyuzivanie-stokovej-siete-v-aglomeracii-obci-podolie-a-ockov/</v>
          </cell>
          <cell r="R14" t="str">
            <v>OPKZP-PO1-SC121/122-2015/02</v>
          </cell>
          <cell r="S14">
            <v>0.85</v>
          </cell>
          <cell r="T14">
            <v>0.1</v>
          </cell>
          <cell r="U14">
            <v>0.05</v>
          </cell>
          <cell r="V14" t="str">
            <v>verejné</v>
          </cell>
          <cell r="W14">
            <v>6171167.9699999997</v>
          </cell>
          <cell r="X14">
            <v>5245492.7699999996</v>
          </cell>
          <cell r="Y14">
            <v>617116.80000000005</v>
          </cell>
          <cell r="Z14">
            <v>5862609.5699999994</v>
          </cell>
          <cell r="AA14">
            <v>308558.40000000002</v>
          </cell>
          <cell r="AB14">
            <v>6171167.9699999997</v>
          </cell>
          <cell r="AC14">
            <v>5245492.7699999996</v>
          </cell>
          <cell r="AD14">
            <v>617116.80000000005</v>
          </cell>
          <cell r="AE14">
            <v>5862609.5699999994</v>
          </cell>
          <cell r="AF14">
            <v>308558.40000000002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254153.93</v>
          </cell>
          <cell r="AM14">
            <v>216030.84</v>
          </cell>
          <cell r="AN14">
            <v>25415.39</v>
          </cell>
          <cell r="AO14">
            <v>241446.22999999998</v>
          </cell>
          <cell r="AP14">
            <v>12707.7</v>
          </cell>
          <cell r="AQ14">
            <v>254153.93</v>
          </cell>
          <cell r="AR14">
            <v>216030.84</v>
          </cell>
        </row>
        <row r="15">
          <cell r="A15" t="str">
            <v>310011A019</v>
          </cell>
          <cell r="B15">
            <v>1</v>
          </cell>
          <cell r="C15" t="str">
            <v>1.2.1 
1.2.2</v>
          </cell>
          <cell r="D15" t="str">
            <v>OPKZP-PO1-SC121/122-2015</v>
          </cell>
          <cell r="E15" t="str">
            <v>voda</v>
          </cell>
          <cell r="F15" t="str">
            <v>ZDRUŽENIE OBCÍ ENVIROPARK POMORAVIE</v>
          </cell>
          <cell r="G15" t="str">
            <v>Dobudovanie kanalizačnej siete v aglomerácii Veľké Leváre a rozšírenie ČOV Gajary</v>
          </cell>
          <cell r="H15" t="str">
            <v>020
022</v>
          </cell>
          <cell r="I15" t="str">
            <v>BA</v>
          </cell>
          <cell r="J15" t="str">
            <v>regionálny</v>
          </cell>
          <cell r="K15" t="str">
            <v>áno</v>
          </cell>
          <cell r="L15" t="str">
            <v>áno</v>
          </cell>
          <cell r="M15">
            <v>42452</v>
          </cell>
          <cell r="N15" t="str">
            <v>Mimoriadne ukončený</v>
          </cell>
          <cell r="O15">
            <v>42905</v>
          </cell>
          <cell r="P15" t="str">
            <v>https://www.crz.gov.sk/index.php?ID=2373420&amp;l=sk</v>
          </cell>
          <cell r="Q15" t="str">
            <v>http://crp.gov.sk/dobudovanie-kanalizacnej-siete-v-aglomeracii-velke-levare-a-rozsirenie-cov-gajary/</v>
          </cell>
          <cell r="R15" t="str">
            <v>OPKZP-PO1-SC121/122-2015/04</v>
          </cell>
          <cell r="S15">
            <v>0.85</v>
          </cell>
          <cell r="T15">
            <v>0.1</v>
          </cell>
          <cell r="U15">
            <v>0.05</v>
          </cell>
          <cell r="V15" t="str">
            <v>verejné</v>
          </cell>
          <cell r="W15">
            <v>16165937.74</v>
          </cell>
          <cell r="X15">
            <v>13741047.08</v>
          </cell>
          <cell r="Y15">
            <v>1616593.77</v>
          </cell>
          <cell r="Z15">
            <v>15357640.85</v>
          </cell>
          <cell r="AA15">
            <v>808296.89</v>
          </cell>
          <cell r="AB15">
            <v>16165937.74</v>
          </cell>
          <cell r="AC15">
            <v>13741047.08</v>
          </cell>
          <cell r="AD15">
            <v>1616593.77</v>
          </cell>
          <cell r="AE15">
            <v>15357640.85</v>
          </cell>
          <cell r="AF15">
            <v>808296.89</v>
          </cell>
          <cell r="AJ15">
            <v>0</v>
          </cell>
          <cell r="AO15">
            <v>0</v>
          </cell>
          <cell r="AQ15">
            <v>0</v>
          </cell>
          <cell r="AR15">
            <v>0</v>
          </cell>
        </row>
        <row r="16">
          <cell r="A16" t="str">
            <v>310011A023</v>
          </cell>
          <cell r="B16">
            <v>1</v>
          </cell>
          <cell r="C16" t="str">
            <v>1.2.1</v>
          </cell>
          <cell r="D16" t="str">
            <v>OPKZP-PO1-SC121/122-2015</v>
          </cell>
          <cell r="E16" t="str">
            <v>voda</v>
          </cell>
          <cell r="F16" t="str">
            <v>Stredoslovenská vodárenská spoločnosť,  a.s.</v>
          </cell>
          <cell r="G16" t="str">
            <v>Aglomerácia Hriňová - kanalizácia a ČOV</v>
          </cell>
          <cell r="H16" t="str">
            <v>022</v>
          </cell>
          <cell r="I16" t="str">
            <v>BB</v>
          </cell>
          <cell r="J16" t="str">
            <v>regionálny</v>
          </cell>
          <cell r="K16" t="str">
            <v>áno</v>
          </cell>
          <cell r="L16" t="str">
            <v>áno</v>
          </cell>
          <cell r="M16">
            <v>42462</v>
          </cell>
          <cell r="N16" t="str">
            <v>Realizácia</v>
          </cell>
          <cell r="P16" t="str">
            <v xml:space="preserve">https://www.crz.gov.sk/index.php?ID=2389009&amp;l=sk </v>
          </cell>
          <cell r="Q16" t="str">
            <v>http://crp.gov.sk/aglomeracia-hrinova-kanalizacia-a-cov/</v>
          </cell>
          <cell r="R16" t="str">
            <v>OPKZP-PO1-SC121/122-2015/20</v>
          </cell>
          <cell r="S16">
            <v>0.85</v>
          </cell>
          <cell r="T16">
            <v>0.05</v>
          </cell>
          <cell r="U16">
            <v>0.1</v>
          </cell>
          <cell r="V16" t="str">
            <v>súkromné</v>
          </cell>
          <cell r="W16">
            <v>4625983.91</v>
          </cell>
          <cell r="X16">
            <v>3932086.32</v>
          </cell>
          <cell r="Y16">
            <v>231299.20000000001</v>
          </cell>
          <cell r="Z16">
            <v>4163385.52</v>
          </cell>
          <cell r="AA16">
            <v>462598.39</v>
          </cell>
          <cell r="AB16">
            <v>4625983.91</v>
          </cell>
          <cell r="AC16">
            <v>3932086.32</v>
          </cell>
          <cell r="AD16">
            <v>231299.20000000001</v>
          </cell>
          <cell r="AE16">
            <v>4163385.52</v>
          </cell>
          <cell r="AF16">
            <v>462598.39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355690.27</v>
          </cell>
          <cell r="AM16">
            <v>302336.73</v>
          </cell>
          <cell r="AN16">
            <v>17784.52</v>
          </cell>
          <cell r="AO16">
            <v>320121.25</v>
          </cell>
          <cell r="AP16">
            <v>35569.019999999997</v>
          </cell>
          <cell r="AQ16">
            <v>271296.03000000003</v>
          </cell>
          <cell r="AR16">
            <v>230601.62999999998</v>
          </cell>
        </row>
        <row r="17">
          <cell r="A17" t="str">
            <v>310011A028</v>
          </cell>
          <cell r="B17">
            <v>1</v>
          </cell>
          <cell r="C17" t="str">
            <v>1.2.1</v>
          </cell>
          <cell r="D17" t="str">
            <v>OPKZP-PO1-SC121/122-2015</v>
          </cell>
          <cell r="E17" t="str">
            <v>voda</v>
          </cell>
          <cell r="F17" t="str">
            <v>Bratislavská vodárenská spoločnosť, a.s.</v>
          </cell>
          <cell r="G17" t="str">
            <v>ČOV Rohožník – rekonštrukcia a modernizácia</v>
          </cell>
          <cell r="H17" t="str">
            <v>022</v>
          </cell>
          <cell r="I17" t="str">
            <v>BA</v>
          </cell>
          <cell r="J17" t="str">
            <v>regionálny</v>
          </cell>
          <cell r="K17" t="str">
            <v>áno</v>
          </cell>
          <cell r="L17" t="str">
            <v>áno</v>
          </cell>
          <cell r="M17">
            <v>42448</v>
          </cell>
          <cell r="N17" t="str">
            <v>Realizácia</v>
          </cell>
          <cell r="P17" t="str">
            <v>https://www.crz.gov.sk/index.php?ID=2368659&amp;l=sk</v>
          </cell>
          <cell r="Q17" t="str">
            <v>http://crp.gov.sk/cov-rohoznik-rekonstrukcia-a-modernizacia/</v>
          </cell>
          <cell r="R17" t="str">
            <v>OPKZP-PO1-SC121/122-2015/01</v>
          </cell>
          <cell r="S17">
            <v>0.85</v>
          </cell>
          <cell r="T17">
            <v>0.05</v>
          </cell>
          <cell r="U17">
            <v>0.1</v>
          </cell>
          <cell r="V17" t="str">
            <v>súkromné</v>
          </cell>
          <cell r="W17">
            <v>2679101.91</v>
          </cell>
          <cell r="X17">
            <v>2277236.62</v>
          </cell>
          <cell r="Y17">
            <v>133955.1</v>
          </cell>
          <cell r="Z17">
            <v>2411191.7200000002</v>
          </cell>
          <cell r="AA17">
            <v>267910.19</v>
          </cell>
          <cell r="AB17">
            <v>2679101.91</v>
          </cell>
          <cell r="AC17">
            <v>2277236.62</v>
          </cell>
          <cell r="AD17">
            <v>133955.1</v>
          </cell>
          <cell r="AE17">
            <v>2411191.7200000002</v>
          </cell>
          <cell r="AF17">
            <v>267910.19</v>
          </cell>
          <cell r="AG17">
            <v>204770.29</v>
          </cell>
          <cell r="AH17">
            <v>160796.69106776846</v>
          </cell>
          <cell r="AI17">
            <v>9458.628886339322</v>
          </cell>
          <cell r="AJ17">
            <v>170255.31995410778</v>
          </cell>
          <cell r="AK17">
            <v>18917.257772678644</v>
          </cell>
          <cell r="AL17">
            <v>45243.97</v>
          </cell>
          <cell r="AM17">
            <v>38457.370000000003</v>
          </cell>
          <cell r="AN17">
            <v>2262.1999999999998</v>
          </cell>
          <cell r="AO17">
            <v>40719.57</v>
          </cell>
          <cell r="AP17">
            <v>4524.3999999999996</v>
          </cell>
          <cell r="AQ17">
            <v>45243.97</v>
          </cell>
          <cell r="AR17">
            <v>38457.370000000003</v>
          </cell>
        </row>
        <row r="18">
          <cell r="A18" t="str">
            <v>310011A029</v>
          </cell>
          <cell r="B18">
            <v>1</v>
          </cell>
          <cell r="C18" t="str">
            <v>1.2.1</v>
          </cell>
          <cell r="D18" t="str">
            <v>OPKZP-PO1-SC121/122-2015</v>
          </cell>
          <cell r="E18" t="str">
            <v>voda</v>
          </cell>
          <cell r="F18" t="str">
            <v>Obec Čierny Balog</v>
          </cell>
          <cell r="G18" t="str">
            <v>Čierny Balog, kanalizácia a ČOV</v>
          </cell>
          <cell r="H18" t="str">
            <v>022</v>
          </cell>
          <cell r="I18" t="str">
            <v>BB</v>
          </cell>
          <cell r="J18" t="str">
            <v>regionálny</v>
          </cell>
          <cell r="K18" t="str">
            <v>áno</v>
          </cell>
          <cell r="L18" t="str">
            <v>áno</v>
          </cell>
          <cell r="M18">
            <v>42453</v>
          </cell>
          <cell r="N18" t="str">
            <v>Realizácia</v>
          </cell>
          <cell r="P18" t="str">
            <v>https://www.crz.gov.sk/index.php?ID=2375636&amp;l=sk</v>
          </cell>
          <cell r="Q18" t="str">
            <v>http://crp.gov.sk/cierny-balog-kanalizacia-a-cov/</v>
          </cell>
          <cell r="R18" t="str">
            <v>OPKZP-PO1-SC121/122-2015/09</v>
          </cell>
          <cell r="S18">
            <v>0.85</v>
          </cell>
          <cell r="T18">
            <v>0.1</v>
          </cell>
          <cell r="U18">
            <v>0.05</v>
          </cell>
          <cell r="V18" t="str">
            <v>verejné</v>
          </cell>
          <cell r="W18">
            <v>18949668.760000002</v>
          </cell>
          <cell r="X18">
            <v>16107218.439999999</v>
          </cell>
          <cell r="Y18">
            <v>1894966.88</v>
          </cell>
          <cell r="Z18">
            <v>18002185.32</v>
          </cell>
          <cell r="AA18">
            <v>947483.44</v>
          </cell>
          <cell r="AB18">
            <v>18748894.899999999</v>
          </cell>
          <cell r="AC18">
            <v>15936560.66</v>
          </cell>
          <cell r="AD18">
            <v>1874889.49</v>
          </cell>
          <cell r="AE18">
            <v>17811450.149999999</v>
          </cell>
          <cell r="AF18">
            <v>937444.75</v>
          </cell>
          <cell r="AG18">
            <v>903341.61</v>
          </cell>
          <cell r="AH18">
            <v>767840.36849999998</v>
          </cell>
          <cell r="AI18">
            <v>90334.161000000007</v>
          </cell>
          <cell r="AJ18">
            <v>858174.52949999995</v>
          </cell>
          <cell r="AK18">
            <v>45167.080500000004</v>
          </cell>
          <cell r="AL18">
            <v>9306945.4800000004</v>
          </cell>
          <cell r="AM18">
            <v>7910903.6600000001</v>
          </cell>
          <cell r="AN18">
            <v>930694.54999999993</v>
          </cell>
          <cell r="AO18">
            <v>8841598.2100000009</v>
          </cell>
          <cell r="AP18">
            <v>465347.26999999996</v>
          </cell>
          <cell r="AQ18">
            <v>653062.18999999948</v>
          </cell>
          <cell r="AR18">
            <v>555102.86000000034</v>
          </cell>
        </row>
        <row r="19">
          <cell r="A19" t="str">
            <v>310011A030</v>
          </cell>
          <cell r="B19">
            <v>1</v>
          </cell>
          <cell r="C19" t="str">
            <v>1.2.1</v>
          </cell>
          <cell r="D19" t="str">
            <v>OPKZP-PO1-SC121/122-2015</v>
          </cell>
          <cell r="E19" t="str">
            <v>voda</v>
          </cell>
          <cell r="F19" t="str">
            <v>Mesto Myjava</v>
          </cell>
          <cell r="G19" t="str">
            <v>Rozšírenie kanalizácie v meste Myjava</v>
          </cell>
          <cell r="H19" t="str">
            <v>022</v>
          </cell>
          <cell r="I19" t="str">
            <v>TN</v>
          </cell>
          <cell r="J19" t="str">
            <v>regionálny</v>
          </cell>
          <cell r="K19" t="str">
            <v>áno</v>
          </cell>
          <cell r="L19" t="str">
            <v>áno</v>
          </cell>
          <cell r="M19">
            <v>42452</v>
          </cell>
          <cell r="N19" t="str">
            <v>Realizácia</v>
          </cell>
          <cell r="P19" t="str">
            <v>https://www.crz.gov.sk/index.php?ID=2373682&amp;l=sk</v>
          </cell>
          <cell r="Q19" t="str">
            <v>http://crp.gov.sk/rozsirenie-kanalizacie-v-meste-myjava/</v>
          </cell>
          <cell r="R19" t="str">
            <v>OPKZP-PO-1SC121/122-2015/03</v>
          </cell>
          <cell r="S19">
            <v>0.85</v>
          </cell>
          <cell r="T19">
            <v>0.1</v>
          </cell>
          <cell r="U19">
            <v>0.05</v>
          </cell>
          <cell r="V19" t="str">
            <v>verejné</v>
          </cell>
          <cell r="W19">
            <v>858108.43</v>
          </cell>
          <cell r="X19">
            <v>729392.17</v>
          </cell>
          <cell r="Y19">
            <v>85810.84</v>
          </cell>
          <cell r="Z19">
            <v>815203.01</v>
          </cell>
          <cell r="AA19">
            <v>42905.42</v>
          </cell>
          <cell r="AB19">
            <v>746611.49</v>
          </cell>
          <cell r="AC19">
            <v>634619.77</v>
          </cell>
          <cell r="AD19">
            <v>74661.149999999994</v>
          </cell>
          <cell r="AE19">
            <v>709280.92</v>
          </cell>
          <cell r="AF19">
            <v>37330.57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7654.24</v>
          </cell>
          <cell r="AM19">
            <v>6506.1</v>
          </cell>
          <cell r="AN19">
            <v>765.43</v>
          </cell>
          <cell r="AO19">
            <v>7271.5300000000007</v>
          </cell>
          <cell r="AP19">
            <v>382.71</v>
          </cell>
          <cell r="AQ19">
            <v>0</v>
          </cell>
          <cell r="AR19">
            <v>0</v>
          </cell>
        </row>
        <row r="20">
          <cell r="A20" t="str">
            <v>310011A032</v>
          </cell>
          <cell r="B20">
            <v>1</v>
          </cell>
          <cell r="C20" t="str">
            <v>1.2.1</v>
          </cell>
          <cell r="D20" t="str">
            <v>OPKZP-PO1-SC121/122-2015</v>
          </cell>
          <cell r="E20" t="str">
            <v>voda</v>
          </cell>
          <cell r="F20" t="str">
            <v>Východoslovenská vodárenská spoločnosť, a.s. Košice</v>
          </cell>
          <cell r="G20" t="str">
            <v>Streda nad Bodrogom - kanalizácia a ČOV</v>
          </cell>
          <cell r="H20" t="str">
            <v>022</v>
          </cell>
          <cell r="I20" t="str">
            <v>KE</v>
          </cell>
          <cell r="J20" t="str">
            <v>regionálny</v>
          </cell>
          <cell r="K20" t="str">
            <v>áno</v>
          </cell>
          <cell r="L20" t="str">
            <v>áno</v>
          </cell>
          <cell r="M20">
            <v>42452</v>
          </cell>
          <cell r="N20" t="str">
            <v>Mimoriadne ukončený</v>
          </cell>
          <cell r="O20">
            <v>43045</v>
          </cell>
          <cell r="P20" t="str">
            <v>https://www.crz.gov.sk/index.php?ID=2374447&amp;l=sk</v>
          </cell>
          <cell r="Q20" t="str">
            <v>http://crp.gov.sk/streda-nad-bodrogom-%E2%80%93-kanalizacia-a-cov/</v>
          </cell>
          <cell r="R20" t="str">
            <v>OPKZP-PO1-SC121/122-2015/18</v>
          </cell>
          <cell r="S20">
            <v>0.85</v>
          </cell>
          <cell r="T20">
            <v>0.05</v>
          </cell>
          <cell r="U20">
            <v>0.1</v>
          </cell>
          <cell r="V20" t="str">
            <v>súkromné</v>
          </cell>
          <cell r="W20">
            <v>9353928.25</v>
          </cell>
          <cell r="X20">
            <v>7950839.0099999998</v>
          </cell>
          <cell r="Y20">
            <v>467696.41</v>
          </cell>
          <cell r="Z20">
            <v>8418535.4199999999</v>
          </cell>
          <cell r="AA20">
            <v>935392.83</v>
          </cell>
          <cell r="AB20">
            <v>9353928.25</v>
          </cell>
          <cell r="AC20">
            <v>7950839.0099999998</v>
          </cell>
          <cell r="AD20">
            <v>467696.41</v>
          </cell>
          <cell r="AE20">
            <v>8418535.4199999999</v>
          </cell>
          <cell r="AF20">
            <v>935392.83</v>
          </cell>
          <cell r="AJ20">
            <v>0</v>
          </cell>
          <cell r="AO20">
            <v>0</v>
          </cell>
          <cell r="AQ20">
            <v>0</v>
          </cell>
          <cell r="AR20">
            <v>0</v>
          </cell>
        </row>
        <row r="21">
          <cell r="A21" t="str">
            <v>310011A033</v>
          </cell>
          <cell r="B21">
            <v>1</v>
          </cell>
          <cell r="C21" t="str">
            <v>1.2.1</v>
          </cell>
          <cell r="D21" t="str">
            <v>OPKZP-PO1-SC121/122-2015</v>
          </cell>
          <cell r="E21" t="str">
            <v>voda</v>
          </cell>
          <cell r="F21" t="str">
            <v>Východoslovenská vodárenská spoločnosť, a.s. Košice</v>
          </cell>
          <cell r="G21" t="str">
            <v>Trhovište, Bánovce nad Ondavou - kanalizácia a ČOV</v>
          </cell>
          <cell r="H21" t="str">
            <v>022</v>
          </cell>
          <cell r="I21" t="str">
            <v>KE</v>
          </cell>
          <cell r="J21" t="str">
            <v>regionálny</v>
          </cell>
          <cell r="K21" t="str">
            <v>áno</v>
          </cell>
          <cell r="L21" t="str">
            <v>áno</v>
          </cell>
          <cell r="M21">
            <v>42452</v>
          </cell>
          <cell r="N21" t="str">
            <v>Realizácia</v>
          </cell>
          <cell r="P21" t="str">
            <v>https://www.crz.gov.sk/index.php?ID=2373597&amp;l=sk</v>
          </cell>
          <cell r="Q21" t="str">
            <v>http://crp.gov.sk/trhoviste-banovce-nad-ondavou-kanalizacia-a-cov/</v>
          </cell>
          <cell r="R21" t="str">
            <v>OPKZP-PO1-SC121/122-2015/06</v>
          </cell>
          <cell r="S21">
            <v>0.85</v>
          </cell>
          <cell r="T21">
            <v>0.05</v>
          </cell>
          <cell r="U21">
            <v>0.1</v>
          </cell>
          <cell r="V21" t="str">
            <v>súkromné</v>
          </cell>
          <cell r="W21">
            <v>11394739.109999999</v>
          </cell>
          <cell r="X21">
            <v>9685528.2400000002</v>
          </cell>
          <cell r="Y21">
            <v>569736.95999999996</v>
          </cell>
          <cell r="Z21">
            <v>10255265.199999999</v>
          </cell>
          <cell r="AA21">
            <v>1139473.9099999999</v>
          </cell>
          <cell r="AB21">
            <v>11394739.109999999</v>
          </cell>
          <cell r="AC21">
            <v>9685528.2400000002</v>
          </cell>
          <cell r="AD21">
            <v>569736.95999999996</v>
          </cell>
          <cell r="AE21">
            <v>10255265.199999999</v>
          </cell>
          <cell r="AF21">
            <v>1139473.9099999999</v>
          </cell>
          <cell r="AJ21">
            <v>0</v>
          </cell>
          <cell r="AO21">
            <v>0</v>
          </cell>
          <cell r="AQ21">
            <v>0</v>
          </cell>
          <cell r="AR21">
            <v>0</v>
          </cell>
        </row>
        <row r="22">
          <cell r="A22" t="str">
            <v>310011A034</v>
          </cell>
          <cell r="B22">
            <v>1</v>
          </cell>
          <cell r="C22" t="str">
            <v>1.2.1</v>
          </cell>
          <cell r="D22" t="str">
            <v>OPKZP-PO1-SC121/122-2015</v>
          </cell>
          <cell r="E22" t="str">
            <v>voda</v>
          </cell>
          <cell r="F22" t="str">
            <v>Východoslovenská vodárenská spoločnosť, a.s. Košice</v>
          </cell>
          <cell r="G22" t="str">
            <v>Kráľovský Chlmec - rozšírenie jednotnej a splaškovej kanalizácie a intenzifikácia ČOV</v>
          </cell>
          <cell r="H22" t="str">
            <v>022</v>
          </cell>
          <cell r="I22" t="str">
            <v>KE</v>
          </cell>
          <cell r="J22" t="str">
            <v>regionálny</v>
          </cell>
          <cell r="K22" t="str">
            <v>áno</v>
          </cell>
          <cell r="L22" t="str">
            <v>áno</v>
          </cell>
          <cell r="M22">
            <v>42453</v>
          </cell>
          <cell r="N22" t="str">
            <v>Realizácia</v>
          </cell>
          <cell r="P22" t="str">
            <v>https://www.crz.gov.sk/index.php?ID=2375802&amp;l=sk</v>
          </cell>
          <cell r="Q22" t="str">
            <v>http://crp.gov.sk/kralovsky-chlmec-rozsirenie-jednotnej-a-splaskovej-kanalizacie-a-intenzifikacia-cov/</v>
          </cell>
          <cell r="R22" t="str">
            <v>OPKZP-PO1-SC121/122-2015/14</v>
          </cell>
          <cell r="S22">
            <v>0.85</v>
          </cell>
          <cell r="T22">
            <v>0.05</v>
          </cell>
          <cell r="U22">
            <v>0.1</v>
          </cell>
          <cell r="V22" t="str">
            <v>súkromné</v>
          </cell>
          <cell r="W22">
            <v>15449573.050000001</v>
          </cell>
          <cell r="X22">
            <v>13132137.09</v>
          </cell>
          <cell r="Y22">
            <v>772478.65</v>
          </cell>
          <cell r="Z22">
            <v>13904615.74</v>
          </cell>
          <cell r="AA22">
            <v>1544957.31</v>
          </cell>
          <cell r="AB22">
            <v>15449573.050000001</v>
          </cell>
          <cell r="AC22">
            <v>13132137.09</v>
          </cell>
          <cell r="AD22">
            <v>772478.65</v>
          </cell>
          <cell r="AE22">
            <v>13904615.74</v>
          </cell>
          <cell r="AF22">
            <v>1544957.31</v>
          </cell>
          <cell r="AG22">
            <v>204837.79</v>
          </cell>
          <cell r="AH22">
            <v>172681.90363965218</v>
          </cell>
          <cell r="AI22">
            <v>10157.759037626598</v>
          </cell>
          <cell r="AJ22">
            <v>182839.66267727877</v>
          </cell>
          <cell r="AK22">
            <v>20315.518075253196</v>
          </cell>
          <cell r="AO22">
            <v>0</v>
          </cell>
          <cell r="AQ22">
            <v>0</v>
          </cell>
          <cell r="AR22">
            <v>0</v>
          </cell>
        </row>
        <row r="23">
          <cell r="A23" t="str">
            <v>310011A035</v>
          </cell>
          <cell r="B23">
            <v>1</v>
          </cell>
          <cell r="C23" t="str">
            <v>1.2.1</v>
          </cell>
          <cell r="D23" t="str">
            <v>OPKZP-PO1-SC121/122-2015</v>
          </cell>
          <cell r="E23" t="str">
            <v>voda</v>
          </cell>
          <cell r="F23" t="str">
            <v>Východoslovenská vodárenská spoločnosť, a.s. Košice</v>
          </cell>
          <cell r="G23" t="str">
            <v>Čierna nad Tisou - splašková kanalizácia priľahlých obcí a intenzifikácia ČOV</v>
          </cell>
          <cell r="H23" t="str">
            <v>022</v>
          </cell>
          <cell r="I23" t="str">
            <v>KE</v>
          </cell>
          <cell r="J23" t="str">
            <v>regionálny</v>
          </cell>
          <cell r="K23" t="str">
            <v>áno</v>
          </cell>
          <cell r="L23" t="str">
            <v>áno</v>
          </cell>
          <cell r="M23">
            <v>42453</v>
          </cell>
          <cell r="N23" t="str">
            <v>Realizácia</v>
          </cell>
          <cell r="P23" t="str">
            <v>https://www.crz.gov.sk/index.php?ID=2375777&amp;l=sk</v>
          </cell>
          <cell r="Q23" t="str">
            <v>http://crp.gov.sk/cierna-nad-tisou-splaskova-kanalizacia-prilahlych-obci-a-intenzifikacia-cov---/</v>
          </cell>
          <cell r="R23" t="str">
            <v>OPKZP-PO1-SC121/122-2015/15</v>
          </cell>
          <cell r="S23">
            <v>0.85</v>
          </cell>
          <cell r="T23">
            <v>0.05</v>
          </cell>
          <cell r="U23">
            <v>0.1</v>
          </cell>
          <cell r="V23" t="str">
            <v>súkromné</v>
          </cell>
          <cell r="W23">
            <v>11667053.84</v>
          </cell>
          <cell r="X23">
            <v>9916995.7599999998</v>
          </cell>
          <cell r="Y23">
            <v>583352.68999999994</v>
          </cell>
          <cell r="Z23">
            <v>10500348.449999999</v>
          </cell>
          <cell r="AA23">
            <v>1166705.3799999999</v>
          </cell>
          <cell r="AB23">
            <v>11667053.84</v>
          </cell>
          <cell r="AC23">
            <v>9916995.7599999998</v>
          </cell>
          <cell r="AD23">
            <v>583352.68999999994</v>
          </cell>
          <cell r="AE23">
            <v>10500348.449999999</v>
          </cell>
          <cell r="AF23">
            <v>1166705.3799999999</v>
          </cell>
          <cell r="AG23">
            <v>170850</v>
          </cell>
          <cell r="AH23">
            <v>145222.5</v>
          </cell>
          <cell r="AI23">
            <v>8542.5</v>
          </cell>
          <cell r="AJ23">
            <v>153765</v>
          </cell>
          <cell r="AK23">
            <v>17085</v>
          </cell>
          <cell r="AO23">
            <v>0</v>
          </cell>
          <cell r="AQ23">
            <v>0</v>
          </cell>
          <cell r="AR23">
            <v>0</v>
          </cell>
        </row>
        <row r="24">
          <cell r="A24" t="str">
            <v>310011A037</v>
          </cell>
          <cell r="B24">
            <v>1</v>
          </cell>
          <cell r="C24" t="str">
            <v>1.2.1</v>
          </cell>
          <cell r="D24" t="str">
            <v>OPKZP-PO1-SC121/122-2015</v>
          </cell>
          <cell r="E24" t="str">
            <v>voda</v>
          </cell>
          <cell r="F24" t="str">
            <v>Východoslovenská vodárenská spoločnosť, a.s. Košice</v>
          </cell>
          <cell r="G24" t="str">
            <v>Malcov - Lenartov - kanalizácia a ČOV</v>
          </cell>
          <cell r="H24" t="str">
            <v>022</v>
          </cell>
          <cell r="I24" t="str">
            <v>PO</v>
          </cell>
          <cell r="J24" t="str">
            <v>regionálny</v>
          </cell>
          <cell r="K24" t="str">
            <v>áno</v>
          </cell>
          <cell r="L24" t="str">
            <v>áno</v>
          </cell>
          <cell r="M24">
            <v>42452</v>
          </cell>
          <cell r="N24" t="str">
            <v>Mimoriadne ukončený</v>
          </cell>
          <cell r="O24">
            <v>42989</v>
          </cell>
          <cell r="P24" t="str">
            <v>https://www.crz.gov.sk/index.php?ID=2373645&amp;l=sk</v>
          </cell>
          <cell r="Q24" t="str">
            <v>http://crp.gov.sk/malcov-lenartov-%E2%80%93-kanalizacia-a-cov/</v>
          </cell>
          <cell r="R24" t="str">
            <v>OPKZP-PO1-SC121/122-2015/11</v>
          </cell>
          <cell r="S24">
            <v>0.85</v>
          </cell>
          <cell r="T24">
            <v>0.05</v>
          </cell>
          <cell r="U24">
            <v>0.1</v>
          </cell>
          <cell r="V24" t="str">
            <v>súkromné</v>
          </cell>
          <cell r="W24">
            <v>7856475.1100000003</v>
          </cell>
          <cell r="X24">
            <v>6678003.8399999999</v>
          </cell>
          <cell r="Y24">
            <v>392823.76</v>
          </cell>
          <cell r="Z24">
            <v>7070827.5999999996</v>
          </cell>
          <cell r="AA24">
            <v>785647.51</v>
          </cell>
          <cell r="AB24">
            <v>7856475.1100000003</v>
          </cell>
          <cell r="AC24">
            <v>6678003.8399999999</v>
          </cell>
          <cell r="AD24">
            <v>392823.76</v>
          </cell>
          <cell r="AE24">
            <v>7070827.5999999996</v>
          </cell>
          <cell r="AF24">
            <v>785647.51</v>
          </cell>
          <cell r="AJ24">
            <v>0</v>
          </cell>
          <cell r="AO24">
            <v>0</v>
          </cell>
          <cell r="AQ24">
            <v>0</v>
          </cell>
          <cell r="AR24">
            <v>0</v>
          </cell>
        </row>
        <row r="25">
          <cell r="A25" t="str">
            <v>310011A040</v>
          </cell>
          <cell r="B25">
            <v>1</v>
          </cell>
          <cell r="C25" t="str">
            <v>1.2.1</v>
          </cell>
          <cell r="D25" t="str">
            <v>OPKZP-PO1-SC121/122-2015</v>
          </cell>
          <cell r="E25" t="str">
            <v>voda</v>
          </cell>
          <cell r="F25" t="str">
            <v>Stredoslovenská vodárenská spoločnosť,  a.s.</v>
          </cell>
          <cell r="G25" t="str">
            <v>Aglomerácia Sebedražie - kanalizácia</v>
          </cell>
          <cell r="H25" t="str">
            <v>022</v>
          </cell>
          <cell r="I25" t="str">
            <v>TN</v>
          </cell>
          <cell r="J25" t="str">
            <v>regionálny</v>
          </cell>
          <cell r="K25" t="str">
            <v>áno</v>
          </cell>
          <cell r="L25" t="str">
            <v>áno</v>
          </cell>
          <cell r="M25">
            <v>42465</v>
          </cell>
          <cell r="N25" t="str">
            <v>Realizácia</v>
          </cell>
          <cell r="P25" t="str">
            <v xml:space="preserve">https://www.crz.gov.sk/index.php?ID=2390696&amp;l=sk                                          </v>
          </cell>
          <cell r="Q25" t="str">
            <v>http://crp.gov.sk/72929-sk/aglomeracia-sebedrazie-kanalizacia/</v>
          </cell>
          <cell r="R25" t="str">
            <v>OPKZP-PO1-SC121/122-2015/12</v>
          </cell>
          <cell r="S25">
            <v>0.85</v>
          </cell>
          <cell r="T25">
            <v>0.05</v>
          </cell>
          <cell r="U25">
            <v>0.1</v>
          </cell>
          <cell r="V25" t="str">
            <v>súkromné</v>
          </cell>
          <cell r="W25">
            <v>7772786.2400000002</v>
          </cell>
          <cell r="X25">
            <v>6606868.2999999998</v>
          </cell>
          <cell r="Y25">
            <v>388639.31</v>
          </cell>
          <cell r="Z25">
            <v>6995507.6099999994</v>
          </cell>
          <cell r="AA25">
            <v>777278.62</v>
          </cell>
          <cell r="AB25">
            <v>7772786.2400000002</v>
          </cell>
          <cell r="AC25">
            <v>6606868.2999999998</v>
          </cell>
          <cell r="AD25">
            <v>388639.32</v>
          </cell>
          <cell r="AE25">
            <v>6995507.6200000001</v>
          </cell>
          <cell r="AF25">
            <v>777278.62</v>
          </cell>
          <cell r="AG25">
            <v>427108.41</v>
          </cell>
          <cell r="AH25">
            <v>363042.14849999995</v>
          </cell>
          <cell r="AI25">
            <v>21355.4205</v>
          </cell>
          <cell r="AJ25">
            <v>384397.56899999996</v>
          </cell>
          <cell r="AK25">
            <v>42710.841</v>
          </cell>
          <cell r="AL25">
            <v>279129.31</v>
          </cell>
          <cell r="AM25">
            <v>237259.91</v>
          </cell>
          <cell r="AN25">
            <v>13956.47</v>
          </cell>
          <cell r="AO25">
            <v>251216.38</v>
          </cell>
          <cell r="AP25">
            <v>27912.93</v>
          </cell>
          <cell r="AQ25">
            <v>279129.31</v>
          </cell>
          <cell r="AR25">
            <v>237259.91</v>
          </cell>
        </row>
        <row r="26">
          <cell r="A26" t="str">
            <v>310011A042</v>
          </cell>
          <cell r="B26">
            <v>1</v>
          </cell>
          <cell r="C26" t="str">
            <v>1.2.1</v>
          </cell>
          <cell r="D26" t="str">
            <v>OPKZP-PO1-SC121/122-2015</v>
          </cell>
          <cell r="E26" t="str">
            <v>voda</v>
          </cell>
          <cell r="F26" t="str">
            <v>Obec Nesvady</v>
          </cell>
          <cell r="G26" t="str">
            <v>Nesvady - rozšírenie kanalizácie a ČOV</v>
          </cell>
          <cell r="H26" t="str">
            <v>022</v>
          </cell>
          <cell r="I26" t="str">
            <v>NR</v>
          </cell>
          <cell r="J26" t="str">
            <v>regionálny</v>
          </cell>
          <cell r="K26" t="str">
            <v>áno</v>
          </cell>
          <cell r="L26" t="str">
            <v>áno</v>
          </cell>
          <cell r="M26">
            <v>42507</v>
          </cell>
          <cell r="N26" t="str">
            <v>Realizácia</v>
          </cell>
          <cell r="P26" t="str">
            <v>https://www.crz.gov.sk/index.php?ID=2454592&amp;l=sk</v>
          </cell>
          <cell r="Q26" t="str">
            <v>http://crp.gov.sk/nesvady-%E2%80%93-rozsirenie-kanalizacie-a-cov/</v>
          </cell>
          <cell r="R26" t="str">
            <v>OPKZP-PO1-SC121/122-2015/28</v>
          </cell>
          <cell r="S26">
            <v>0.85</v>
          </cell>
          <cell r="T26">
            <v>0.1</v>
          </cell>
          <cell r="U26">
            <v>0.05</v>
          </cell>
          <cell r="V26" t="str">
            <v>verejné</v>
          </cell>
          <cell r="W26">
            <v>18668712.469999999</v>
          </cell>
          <cell r="X26">
            <v>15868405.6</v>
          </cell>
          <cell r="Y26">
            <v>1866871.25</v>
          </cell>
          <cell r="Z26">
            <v>17735276.850000001</v>
          </cell>
          <cell r="AA26">
            <v>933435.62</v>
          </cell>
          <cell r="AB26">
            <v>18668712.469999999</v>
          </cell>
          <cell r="AC26">
            <v>15868405.6</v>
          </cell>
          <cell r="AD26">
            <v>1866871.25</v>
          </cell>
          <cell r="AE26">
            <v>17735276.850000001</v>
          </cell>
          <cell r="AF26">
            <v>933435.62</v>
          </cell>
          <cell r="AJ26">
            <v>0</v>
          </cell>
          <cell r="AO26">
            <v>0</v>
          </cell>
          <cell r="AQ26">
            <v>0</v>
          </cell>
          <cell r="AR26">
            <v>0</v>
          </cell>
        </row>
        <row r="27">
          <cell r="A27" t="str">
            <v>310011A066</v>
          </cell>
          <cell r="B27">
            <v>1</v>
          </cell>
          <cell r="C27" t="str">
            <v>1.2.1</v>
          </cell>
          <cell r="D27" t="str">
            <v>OPKZP-PO1-SC121/122-2015</v>
          </cell>
          <cell r="E27" t="str">
            <v>voda</v>
          </cell>
          <cell r="F27" t="str">
            <v>Obec Dvory nad Žitavou</v>
          </cell>
          <cell r="G27" t="str">
            <v>Dobudovanie kanalizácie a intenzifikácia ČOV v Dvoroch nad Žitavou</v>
          </cell>
          <cell r="H27" t="str">
            <v>022</v>
          </cell>
          <cell r="I27" t="str">
            <v>NR</v>
          </cell>
          <cell r="J27" t="str">
            <v>regionálny</v>
          </cell>
          <cell r="K27" t="str">
            <v>áno</v>
          </cell>
          <cell r="L27" t="str">
            <v>áno</v>
          </cell>
          <cell r="M27">
            <v>42497</v>
          </cell>
          <cell r="N27" t="str">
            <v>Realizácia</v>
          </cell>
          <cell r="P27" t="str">
            <v>https://www.crz.gov.sk/index.php?ID=2442663&amp;l=sk</v>
          </cell>
          <cell r="Q27" t="str">
            <v>http://crp.gov.sk/dobudovanie-kanalizacie-a-intenzifikacia-cov-v-dvoroch-nad-zitavou/</v>
          </cell>
          <cell r="R27" t="str">
            <v>OPKZP-PO1-SC121/122-2015/23</v>
          </cell>
          <cell r="S27">
            <v>0.85</v>
          </cell>
          <cell r="T27">
            <v>0.1</v>
          </cell>
          <cell r="U27">
            <v>0.05</v>
          </cell>
          <cell r="V27" t="str">
            <v>verejné</v>
          </cell>
          <cell r="W27">
            <v>7833842.4199999999</v>
          </cell>
          <cell r="X27">
            <v>6658766.0599999996</v>
          </cell>
          <cell r="Y27">
            <v>783384.24</v>
          </cell>
          <cell r="Z27">
            <v>7442150.2999999998</v>
          </cell>
          <cell r="AA27">
            <v>391692.12</v>
          </cell>
          <cell r="AB27">
            <v>7833842.4199999999</v>
          </cell>
          <cell r="AC27">
            <v>6658766.0599999996</v>
          </cell>
          <cell r="AD27">
            <v>783384.24</v>
          </cell>
          <cell r="AE27">
            <v>7442150.2999999998</v>
          </cell>
          <cell r="AF27">
            <v>391692.12</v>
          </cell>
          <cell r="AJ27">
            <v>0</v>
          </cell>
          <cell r="AO27">
            <v>0</v>
          </cell>
          <cell r="AQ27">
            <v>0</v>
          </cell>
          <cell r="AR27">
            <v>0</v>
          </cell>
        </row>
        <row r="28">
          <cell r="A28" t="str">
            <v>310011A067</v>
          </cell>
          <cell r="B28">
            <v>1</v>
          </cell>
          <cell r="C28" t="str">
            <v>1.2.1</v>
          </cell>
          <cell r="D28" t="str">
            <v>OPKZP-PO1-SC121/122-2015</v>
          </cell>
          <cell r="E28" t="str">
            <v>voda</v>
          </cell>
          <cell r="F28" t="str">
            <v>Obec Svätý Peter</v>
          </cell>
          <cell r="G28" t="str">
            <v>Svätý Peter, celo obecná splašková kanalizácia a ČOV</v>
          </cell>
          <cell r="H28" t="str">
            <v>022</v>
          </cell>
          <cell r="I28" t="str">
            <v>NR</v>
          </cell>
          <cell r="J28" t="str">
            <v>regionálny</v>
          </cell>
          <cell r="K28" t="str">
            <v>áno</v>
          </cell>
          <cell r="L28" t="str">
            <v>áno</v>
          </cell>
          <cell r="M28">
            <v>42495</v>
          </cell>
          <cell r="N28" t="str">
            <v>Realizácia</v>
          </cell>
          <cell r="P28" t="str">
            <v>https://www.crz.gov.sk/index.php?ID=2439873&amp;l=sk</v>
          </cell>
          <cell r="Q28" t="str">
            <v>http://crp.gov.sk/svaty-peter-celo-obecna-splaskova-kanalizacia-a-cov/</v>
          </cell>
          <cell r="R28" t="str">
            <v>OPKZP-PO1-SC121/122-2015/34</v>
          </cell>
          <cell r="S28">
            <v>0.85</v>
          </cell>
          <cell r="T28">
            <v>0.1</v>
          </cell>
          <cell r="U28">
            <v>0.05</v>
          </cell>
          <cell r="V28" t="str">
            <v>verejné</v>
          </cell>
          <cell r="W28">
            <v>9488346.3200000003</v>
          </cell>
          <cell r="X28">
            <v>8065094.3700000001</v>
          </cell>
          <cell r="Y28">
            <v>948834.63</v>
          </cell>
          <cell r="Z28">
            <v>9013929</v>
          </cell>
          <cell r="AA28">
            <v>474417.32</v>
          </cell>
          <cell r="AB28">
            <v>9422813.1799999997</v>
          </cell>
          <cell r="AC28">
            <v>8009391.2000000002</v>
          </cell>
          <cell r="AD28">
            <v>942281.32</v>
          </cell>
          <cell r="AE28">
            <v>8951672.5199999996</v>
          </cell>
          <cell r="AF28">
            <v>471140.66</v>
          </cell>
          <cell r="AG28">
            <v>721915.84</v>
          </cell>
          <cell r="AH28">
            <v>613628.46399999992</v>
          </cell>
          <cell r="AI28">
            <v>72191.584000000003</v>
          </cell>
          <cell r="AJ28">
            <v>685820.04799999995</v>
          </cell>
          <cell r="AK28">
            <v>36095.792000000001</v>
          </cell>
          <cell r="AL28">
            <v>6654208.5999999987</v>
          </cell>
          <cell r="AM28">
            <v>5656077.3200000003</v>
          </cell>
          <cell r="AN28">
            <v>665420.82999999996</v>
          </cell>
          <cell r="AO28">
            <v>6321498.1500000004</v>
          </cell>
          <cell r="AP28">
            <v>332710.45</v>
          </cell>
          <cell r="AQ28">
            <v>0</v>
          </cell>
          <cell r="AR28">
            <v>0</v>
          </cell>
        </row>
        <row r="29">
          <cell r="A29" t="str">
            <v>310011A074</v>
          </cell>
          <cell r="B29">
            <v>1</v>
          </cell>
          <cell r="C29" t="str">
            <v>1.2.1</v>
          </cell>
          <cell r="D29" t="str">
            <v>OPKZP-PO1-SC121/122-2015</v>
          </cell>
          <cell r="E29" t="str">
            <v>voda</v>
          </cell>
          <cell r="F29" t="str">
            <v>Stredoslovenská vodárenská spoločnosť,  a.s.</v>
          </cell>
          <cell r="G29" t="str">
            <v>Aglomerácia Podbrezová – odkanalizovanie</v>
          </cell>
          <cell r="H29" t="str">
            <v>022</v>
          </cell>
          <cell r="I29" t="str">
            <v>BB</v>
          </cell>
          <cell r="J29" t="str">
            <v>regionálny</v>
          </cell>
          <cell r="K29" t="str">
            <v>áno</v>
          </cell>
          <cell r="L29" t="str">
            <v>áno</v>
          </cell>
          <cell r="M29">
            <v>42514</v>
          </cell>
          <cell r="N29" t="str">
            <v>Realizácia</v>
          </cell>
          <cell r="P29" t="str">
            <v>https://www.crz.gov.sk/index.php?ID=2462165&amp;l=sk</v>
          </cell>
          <cell r="Q29" t="str">
            <v>http://crp.gov.sk/aglomeracia-podbrezova-%E2%80%93-odkanalizovanie/</v>
          </cell>
          <cell r="R29" t="str">
            <v>OPKZP-PO1-SC121/122-2015/38</v>
          </cell>
          <cell r="S29">
            <v>0.85</v>
          </cell>
          <cell r="T29">
            <v>0.05</v>
          </cell>
          <cell r="U29">
            <v>0.1</v>
          </cell>
          <cell r="V29" t="str">
            <v>súkromné</v>
          </cell>
          <cell r="W29">
            <v>5612262.6100000003</v>
          </cell>
          <cell r="X29">
            <v>4770423.22</v>
          </cell>
          <cell r="Y29">
            <v>280613.13</v>
          </cell>
          <cell r="Z29">
            <v>5051036.3499999996</v>
          </cell>
          <cell r="AA29">
            <v>561226.26</v>
          </cell>
          <cell r="AB29">
            <v>5612262.6100000003</v>
          </cell>
          <cell r="AC29">
            <v>4770423.22</v>
          </cell>
          <cell r="AD29">
            <v>280613.13</v>
          </cell>
          <cell r="AE29">
            <v>5051036.3499999996</v>
          </cell>
          <cell r="AF29">
            <v>561226.26</v>
          </cell>
          <cell r="AJ29">
            <v>0</v>
          </cell>
          <cell r="AO29">
            <v>0</v>
          </cell>
          <cell r="AQ29">
            <v>0</v>
          </cell>
          <cell r="AR29">
            <v>0</v>
          </cell>
        </row>
        <row r="30">
          <cell r="A30" t="str">
            <v>310011A080</v>
          </cell>
          <cell r="B30">
            <v>1</v>
          </cell>
          <cell r="C30" t="str">
            <v>1.2.1</v>
          </cell>
          <cell r="D30" t="str">
            <v>OPKZP-PO1-SC121/122-2015</v>
          </cell>
          <cell r="E30" t="str">
            <v>voda</v>
          </cell>
          <cell r="F30" t="str">
            <v>Obec Liptovská Teplička</v>
          </cell>
          <cell r="G30" t="str">
            <v>Dobudovanie ČOV a splaškovej kanalizácie v obci Liptovská Teplička - 2 stavba</v>
          </cell>
          <cell r="H30" t="str">
            <v>022</v>
          </cell>
          <cell r="I30" t="str">
            <v>PO</v>
          </cell>
          <cell r="J30" t="str">
            <v>regionálny</v>
          </cell>
          <cell r="K30" t="str">
            <v>áno</v>
          </cell>
          <cell r="L30" t="str">
            <v>áno</v>
          </cell>
          <cell r="M30">
            <v>42497</v>
          </cell>
          <cell r="N30" t="str">
            <v>Realizácia</v>
          </cell>
          <cell r="P30" t="str">
            <v xml:space="preserve">https://www.crz.gov.sk/index.php?ID=2442042&amp;l=sk
</v>
          </cell>
          <cell r="Q30" t="str">
            <v>https://crp.gov.sk/dobudovanie-cov-a-splaskovej-kanalizacie-v-obci-liptovska-teplicka-%E2%80%93-2-stavba-/</v>
          </cell>
          <cell r="R30" t="str">
            <v>OPKZP-PO1-SC121/122-2015/26</v>
          </cell>
          <cell r="S30">
            <v>0.85</v>
          </cell>
          <cell r="T30">
            <v>0.1</v>
          </cell>
          <cell r="U30">
            <v>0.05</v>
          </cell>
          <cell r="V30" t="str">
            <v>verejné</v>
          </cell>
          <cell r="W30">
            <v>2520178.1800000002</v>
          </cell>
          <cell r="X30">
            <v>2142151.4500000002</v>
          </cell>
          <cell r="Y30">
            <v>252017.82</v>
          </cell>
          <cell r="Z30">
            <v>2394169.27</v>
          </cell>
          <cell r="AA30">
            <v>126008.91</v>
          </cell>
          <cell r="AB30">
            <v>2507439.6</v>
          </cell>
          <cell r="AC30">
            <v>2131323.66</v>
          </cell>
          <cell r="AD30">
            <v>250743.96</v>
          </cell>
          <cell r="AE30">
            <v>2382067.62</v>
          </cell>
          <cell r="AF30">
            <v>125371.98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2196126.15</v>
          </cell>
          <cell r="AM30">
            <v>1866707.2499999998</v>
          </cell>
          <cell r="AN30">
            <v>219612.55000000002</v>
          </cell>
          <cell r="AO30">
            <v>2086319.7999999998</v>
          </cell>
          <cell r="AP30">
            <v>109806.35000000002</v>
          </cell>
          <cell r="AQ30">
            <v>174219.10999999987</v>
          </cell>
          <cell r="AR30">
            <v>148086.24</v>
          </cell>
        </row>
        <row r="31">
          <cell r="A31" t="str">
            <v>310011A084</v>
          </cell>
          <cell r="B31">
            <v>1</v>
          </cell>
          <cell r="C31" t="str">
            <v>1.2.1</v>
          </cell>
          <cell r="D31" t="str">
            <v>OPKZP-PO1-SC121/122-2015</v>
          </cell>
          <cell r="E31" t="str">
            <v>voda</v>
          </cell>
          <cell r="F31" t="str">
            <v>Stredoslovenská vodárenská spoločnosť,  a.s.</v>
          </cell>
          <cell r="G31" t="str">
            <v>Aglomerácia Oslany, Čereňany - kanalizácia a ČOV</v>
          </cell>
          <cell r="H31" t="str">
            <v>022</v>
          </cell>
          <cell r="I31" t="str">
            <v>TN</v>
          </cell>
          <cell r="J31" t="str">
            <v>regionálny</v>
          </cell>
          <cell r="K31" t="str">
            <v>áno</v>
          </cell>
          <cell r="L31" t="str">
            <v>áno</v>
          </cell>
          <cell r="M31">
            <v>42495</v>
          </cell>
          <cell r="N31" t="str">
            <v>Realizácia</v>
          </cell>
          <cell r="P31" t="str">
            <v>https://www.crz.gov.sk/index.php?ID=2439635&amp;l=sk</v>
          </cell>
          <cell r="Q31" t="str">
            <v>http://crp.gov.sk/aglomeracia-oslany-cerenany-kanalizacia-a-cov/</v>
          </cell>
          <cell r="R31" t="str">
            <v>OPKZP-PO1-SC121/122-2015/36</v>
          </cell>
          <cell r="S31">
            <v>0.85</v>
          </cell>
          <cell r="T31">
            <v>0.05</v>
          </cell>
          <cell r="U31">
            <v>0.1</v>
          </cell>
          <cell r="V31" t="str">
            <v>súkromné</v>
          </cell>
          <cell r="W31">
            <v>12945225.52</v>
          </cell>
          <cell r="X31">
            <v>11003441.689999999</v>
          </cell>
          <cell r="Y31">
            <v>647261.28</v>
          </cell>
          <cell r="Z31">
            <v>11650702.969999999</v>
          </cell>
          <cell r="AA31">
            <v>1294522.55</v>
          </cell>
          <cell r="AB31">
            <v>12945225.52</v>
          </cell>
          <cell r="AC31">
            <v>11003441.689999999</v>
          </cell>
          <cell r="AD31">
            <v>647261.28</v>
          </cell>
          <cell r="AE31">
            <v>11650702.969999999</v>
          </cell>
          <cell r="AF31">
            <v>1294522.55</v>
          </cell>
          <cell r="AJ31">
            <v>0</v>
          </cell>
          <cell r="AO31">
            <v>0</v>
          </cell>
          <cell r="AQ31">
            <v>0</v>
          </cell>
          <cell r="AR31">
            <v>0</v>
          </cell>
        </row>
        <row r="32">
          <cell r="A32" t="str">
            <v>310011A085</v>
          </cell>
          <cell r="B32">
            <v>1</v>
          </cell>
          <cell r="C32" t="str">
            <v>1.2.1 
1.2.2</v>
          </cell>
          <cell r="D32" t="str">
            <v>OPKZP-PO1-SC121/122-2015</v>
          </cell>
          <cell r="E32" t="str">
            <v>voda</v>
          </cell>
          <cell r="F32" t="str">
            <v>Severoslovenské vodárne a kanalizácie, a. s.</v>
          </cell>
          <cell r="G32" t="str">
            <v>Zásobovanie vodou, odkanalizovanie a čistenie odpadových vôd regiónu Stredné Kysuce</v>
          </cell>
          <cell r="H32" t="str">
            <v>020
022</v>
          </cell>
          <cell r="I32" t="str">
            <v>ZA</v>
          </cell>
          <cell r="J32" t="str">
            <v>regionálny</v>
          </cell>
          <cell r="K32" t="str">
            <v>áno</v>
          </cell>
          <cell r="L32" t="str">
            <v>áno</v>
          </cell>
          <cell r="M32">
            <v>42543</v>
          </cell>
          <cell r="N32" t="str">
            <v>Realizácia</v>
          </cell>
          <cell r="P32" t="str">
            <v>https://www.crz.gov.sk/index.php?ID=2498085&amp;l=sk</v>
          </cell>
          <cell r="Q32" t="str">
            <v>http://crp.gov.sk/zasobovanie-vodou-odkanalizovanie-a-cistenie-odpadovych-vod-regionu-stredne-kysuce/</v>
          </cell>
          <cell r="R32" t="str">
            <v>OPKZP-PO1-SC121/122-2015/21</v>
          </cell>
          <cell r="S32">
            <v>0.85</v>
          </cell>
          <cell r="T32">
            <v>0.05</v>
          </cell>
          <cell r="U32">
            <v>0.1</v>
          </cell>
          <cell r="V32" t="str">
            <v>súkromné</v>
          </cell>
          <cell r="W32">
            <v>48745468.359999999</v>
          </cell>
          <cell r="X32">
            <v>41433648.109999999</v>
          </cell>
          <cell r="Y32">
            <v>2437273.42</v>
          </cell>
          <cell r="Z32">
            <v>43870921.530000001</v>
          </cell>
          <cell r="AA32">
            <v>4874546.84</v>
          </cell>
          <cell r="AB32">
            <v>48745468.359999999</v>
          </cell>
          <cell r="AC32">
            <v>41433648.109999999</v>
          </cell>
          <cell r="AD32">
            <v>2437273.42</v>
          </cell>
          <cell r="AE32">
            <v>43870921.530000001</v>
          </cell>
          <cell r="AF32">
            <v>4874546.84</v>
          </cell>
          <cell r="AJ32">
            <v>0</v>
          </cell>
          <cell r="AO32">
            <v>0</v>
          </cell>
          <cell r="AQ32">
            <v>0</v>
          </cell>
          <cell r="AR32">
            <v>0</v>
          </cell>
        </row>
        <row r="33">
          <cell r="A33" t="str">
            <v>310011A086</v>
          </cell>
          <cell r="B33">
            <v>1</v>
          </cell>
          <cell r="C33" t="str">
            <v>1.2.1</v>
          </cell>
          <cell r="D33" t="str">
            <v>OPKZP-PO1-SC121/122-2015</v>
          </cell>
          <cell r="E33" t="str">
            <v>voda</v>
          </cell>
          <cell r="F33" t="str">
            <v>Obec Oravská Lesná</v>
          </cell>
          <cell r="G33" t="str">
            <v>Kanalizácia a ČOV Oravská Lesná</v>
          </cell>
          <cell r="H33" t="str">
            <v>022</v>
          </cell>
          <cell r="I33" t="str">
            <v>ZA</v>
          </cell>
          <cell r="J33" t="str">
            <v>regionálny</v>
          </cell>
          <cell r="K33" t="str">
            <v>áno</v>
          </cell>
          <cell r="L33" t="str">
            <v>áno</v>
          </cell>
          <cell r="M33">
            <v>42495</v>
          </cell>
          <cell r="N33" t="str">
            <v>Mimoriadne ukončený</v>
          </cell>
          <cell r="O33">
            <v>42782</v>
          </cell>
          <cell r="P33" t="str">
            <v>https://www.crz.gov.sk/index.php?ID=2439473&amp;l=sk</v>
          </cell>
          <cell r="Q33" t="str">
            <v>http://crp.gov.sk/kanalizacia-a-cov-oravska-lesna/</v>
          </cell>
          <cell r="R33" t="str">
            <v>OPKZP-PO1-SC121/122-2015/40</v>
          </cell>
          <cell r="S33">
            <v>0.85</v>
          </cell>
          <cell r="T33">
            <v>0.1</v>
          </cell>
          <cell r="U33">
            <v>0.05</v>
          </cell>
          <cell r="V33" t="str">
            <v>verejné</v>
          </cell>
          <cell r="W33">
            <v>8772105.0500000007</v>
          </cell>
          <cell r="X33">
            <v>7456289.29</v>
          </cell>
          <cell r="Y33">
            <v>877210.51</v>
          </cell>
          <cell r="Z33">
            <v>8333499.7999999998</v>
          </cell>
          <cell r="AA33">
            <v>438605.25</v>
          </cell>
          <cell r="AB33">
            <v>8772105.0500000007</v>
          </cell>
          <cell r="AC33">
            <v>7456289.29</v>
          </cell>
          <cell r="AD33">
            <v>877210.51</v>
          </cell>
          <cell r="AE33">
            <v>8333499.7999999998</v>
          </cell>
          <cell r="AF33">
            <v>438605.25</v>
          </cell>
          <cell r="AJ33">
            <v>0</v>
          </cell>
          <cell r="AO33">
            <v>0</v>
          </cell>
          <cell r="AQ33">
            <v>0</v>
          </cell>
          <cell r="AR33">
            <v>0</v>
          </cell>
        </row>
        <row r="34">
          <cell r="A34" t="str">
            <v>310011A089</v>
          </cell>
          <cell r="B34">
            <v>1</v>
          </cell>
          <cell r="C34" t="str">
            <v>1.2.1</v>
          </cell>
          <cell r="D34" t="str">
            <v>OPKZP-PO1-SC121/122-2015</v>
          </cell>
          <cell r="E34" t="str">
            <v>voda</v>
          </cell>
          <cell r="F34" t="str">
            <v>Obec Lozorno</v>
          </cell>
          <cell r="G34" t="str">
            <v>Rozšírenie kapacity ČOV Lozorno</v>
          </cell>
          <cell r="H34" t="str">
            <v>022</v>
          </cell>
          <cell r="I34" t="str">
            <v>BA</v>
          </cell>
          <cell r="J34" t="str">
            <v>regionálny</v>
          </cell>
          <cell r="K34" t="str">
            <v>áno</v>
          </cell>
          <cell r="L34" t="str">
            <v>áno</v>
          </cell>
          <cell r="M34">
            <v>42500</v>
          </cell>
          <cell r="N34" t="str">
            <v>Riadne ukončený</v>
          </cell>
          <cell r="O34">
            <v>42804</v>
          </cell>
          <cell r="P34" t="str">
            <v>https://www.crz.gov.sk/index.php?ID=2444262&amp;l=sk</v>
          </cell>
          <cell r="Q34" t="str">
            <v>http://crp.gov.sk/rozsirenie-kapacity-cov-lozorno/</v>
          </cell>
          <cell r="R34" t="str">
            <v>OPKZP-PO1-SC121/122-2015/22</v>
          </cell>
          <cell r="S34">
            <v>0.85</v>
          </cell>
          <cell r="T34">
            <v>0.1</v>
          </cell>
          <cell r="U34">
            <v>0.05</v>
          </cell>
          <cell r="V34" t="str">
            <v>verejné</v>
          </cell>
          <cell r="W34">
            <v>341804.34</v>
          </cell>
          <cell r="X34">
            <v>290533.69</v>
          </cell>
          <cell r="Y34">
            <v>34180.43</v>
          </cell>
          <cell r="Z34">
            <v>324714.12</v>
          </cell>
          <cell r="AA34">
            <v>17090.22</v>
          </cell>
          <cell r="AB34">
            <v>341804.34</v>
          </cell>
          <cell r="AC34">
            <v>290533.69</v>
          </cell>
          <cell r="AD34">
            <v>34180.43</v>
          </cell>
          <cell r="AE34">
            <v>324714.12</v>
          </cell>
          <cell r="AF34">
            <v>17090.22</v>
          </cell>
          <cell r="AJ34">
            <v>0</v>
          </cell>
          <cell r="AL34">
            <v>174763.62</v>
          </cell>
          <cell r="AM34">
            <v>148549.07999999999</v>
          </cell>
          <cell r="AN34">
            <v>17476.350000000002</v>
          </cell>
          <cell r="AO34">
            <v>166025.43</v>
          </cell>
          <cell r="AP34">
            <v>8738.19</v>
          </cell>
          <cell r="AQ34">
            <v>0</v>
          </cell>
          <cell r="AR34">
            <v>0</v>
          </cell>
        </row>
        <row r="35">
          <cell r="A35" t="str">
            <v>310011A097</v>
          </cell>
          <cell r="B35">
            <v>1</v>
          </cell>
          <cell r="C35" t="str">
            <v>1.2.1</v>
          </cell>
          <cell r="D35" t="str">
            <v>OPKZP-PO1-SC121/122-2015</v>
          </cell>
          <cell r="E35" t="str">
            <v>voda</v>
          </cell>
          <cell r="F35" t="str">
            <v>Stredoslovenská vodárenská spoločnosť,  a.s.</v>
          </cell>
          <cell r="G35" t="str">
            <v>Aglomerácia Valaská - Valaská, Hronec - odkanalizovanie</v>
          </cell>
          <cell r="H35" t="str">
            <v>022</v>
          </cell>
          <cell r="I35" t="str">
            <v>BB</v>
          </cell>
          <cell r="J35" t="str">
            <v>regionálny</v>
          </cell>
          <cell r="K35" t="str">
            <v>áno</v>
          </cell>
          <cell r="L35" t="str">
            <v>áno</v>
          </cell>
          <cell r="M35">
            <v>42511</v>
          </cell>
          <cell r="N35" t="str">
            <v>Realizácia</v>
          </cell>
          <cell r="P35" t="str">
            <v>https://www.crz.gov.sk/index.php?ID=2460701&amp;l=sk</v>
          </cell>
          <cell r="Q35" t="str">
            <v>http://crp.gov.sk/aglomeracia-valaska-valaska-hronec-odkanalizovanie/</v>
          </cell>
          <cell r="R35" t="str">
            <v>OPKZP-PO1-SC121/122-2015/41</v>
          </cell>
          <cell r="S35">
            <v>0.85</v>
          </cell>
          <cell r="T35">
            <v>0.05</v>
          </cell>
          <cell r="U35">
            <v>0.1</v>
          </cell>
          <cell r="V35" t="str">
            <v>súkromné</v>
          </cell>
          <cell r="W35">
            <v>14578270.1</v>
          </cell>
          <cell r="X35">
            <v>12391529.59</v>
          </cell>
          <cell r="Y35">
            <v>728913.51</v>
          </cell>
          <cell r="Z35">
            <v>13120443.1</v>
          </cell>
          <cell r="AA35">
            <v>1457827.01</v>
          </cell>
          <cell r="AB35">
            <v>14578270.1</v>
          </cell>
          <cell r="AC35">
            <v>12391529.59</v>
          </cell>
          <cell r="AD35">
            <v>728913.51</v>
          </cell>
          <cell r="AE35">
            <v>13120443.1</v>
          </cell>
          <cell r="AF35">
            <v>1457827.01</v>
          </cell>
          <cell r="AJ35">
            <v>0</v>
          </cell>
          <cell r="AO35">
            <v>0</v>
          </cell>
          <cell r="AQ35">
            <v>0</v>
          </cell>
          <cell r="AR35">
            <v>0</v>
          </cell>
        </row>
        <row r="36">
          <cell r="A36" t="str">
            <v>310011A101</v>
          </cell>
          <cell r="B36">
            <v>1</v>
          </cell>
          <cell r="C36" t="str">
            <v>1.2.1</v>
          </cell>
          <cell r="D36" t="str">
            <v>OPKZP-PO1-SC121/122-2015</v>
          </cell>
          <cell r="E36" t="str">
            <v>voda</v>
          </cell>
          <cell r="F36" t="str">
            <v>Obec Branč</v>
          </cell>
          <cell r="G36" t="str">
            <v>Dobudovanie kanalizačnej siete obce Branč a rozšírenie ČOV Branč</v>
          </cell>
          <cell r="H36" t="str">
            <v>022</v>
          </cell>
          <cell r="I36" t="str">
            <v>NR</v>
          </cell>
          <cell r="J36" t="str">
            <v>regionálny</v>
          </cell>
          <cell r="K36" t="str">
            <v>áno</v>
          </cell>
          <cell r="L36" t="str">
            <v>áno</v>
          </cell>
          <cell r="M36">
            <v>42497</v>
          </cell>
          <cell r="N36" t="str">
            <v>Realizácia</v>
          </cell>
          <cell r="P36" t="str">
            <v>https://www.crz.gov.sk/index.php?ID=2442491&amp;l=sk</v>
          </cell>
          <cell r="Q36" t="str">
            <v>http://crp.gov.sk/dobudovanie-kanalizacnej-siete-obce-branc-a-rozsirenie-cov-branc/</v>
          </cell>
          <cell r="R36" t="str">
            <v>OPKZP-PO1-SC121/122-2015/39</v>
          </cell>
          <cell r="S36">
            <v>0.85</v>
          </cell>
          <cell r="T36">
            <v>0.1</v>
          </cell>
          <cell r="U36">
            <v>0.05</v>
          </cell>
          <cell r="V36" t="str">
            <v>verejné</v>
          </cell>
          <cell r="W36">
            <v>6877854.8200000003</v>
          </cell>
          <cell r="X36">
            <v>5846176.5999999996</v>
          </cell>
          <cell r="Y36">
            <v>343892.74</v>
          </cell>
          <cell r="Z36">
            <v>6190069.3399999999</v>
          </cell>
          <cell r="AA36">
            <v>687785.48</v>
          </cell>
          <cell r="AB36">
            <v>6877565.6799999997</v>
          </cell>
          <cell r="AC36">
            <v>5845930.8300000001</v>
          </cell>
          <cell r="AD36">
            <v>687756.57</v>
          </cell>
          <cell r="AE36">
            <v>6533687.4000000004</v>
          </cell>
          <cell r="AF36">
            <v>343878.28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6421257.6899999995</v>
          </cell>
          <cell r="AM36">
            <v>5458069.0500000007</v>
          </cell>
          <cell r="AN36">
            <v>642125.75</v>
          </cell>
          <cell r="AO36">
            <v>6100194.8000000007</v>
          </cell>
          <cell r="AP36">
            <v>321062.89</v>
          </cell>
          <cell r="AQ36">
            <v>0</v>
          </cell>
          <cell r="AR36">
            <v>0</v>
          </cell>
        </row>
        <row r="37">
          <cell r="A37" t="str">
            <v>310011A107</v>
          </cell>
          <cell r="B37">
            <v>1</v>
          </cell>
          <cell r="C37" t="str">
            <v>1.2.1</v>
          </cell>
          <cell r="D37" t="str">
            <v>OPKZP-PO1-SC121/122-2015</v>
          </cell>
          <cell r="E37" t="str">
            <v>voda</v>
          </cell>
          <cell r="F37" t="str">
            <v>Stredoslovenská vodárenská spoločnosť,  a.s.</v>
          </cell>
          <cell r="G37" t="str">
            <v>Aglomerácia Tornaľa - kanalizácia a ČOV</v>
          </cell>
          <cell r="H37" t="str">
            <v>022</v>
          </cell>
          <cell r="I37" t="str">
            <v>BB</v>
          </cell>
          <cell r="J37" t="str">
            <v>regionálny</v>
          </cell>
          <cell r="K37" t="str">
            <v>áno</v>
          </cell>
          <cell r="L37" t="str">
            <v>áno</v>
          </cell>
          <cell r="M37">
            <v>42516</v>
          </cell>
          <cell r="N37" t="str">
            <v>Realizácia</v>
          </cell>
          <cell r="P37" t="str">
            <v>https://www.crz.gov.sk/index.php?ID=2465518&amp;l=sk</v>
          </cell>
          <cell r="Q37" t="str">
            <v>http://crp.gov.sk/aglomeracia-tornala-kanalizacia-a-cov/</v>
          </cell>
          <cell r="R37" t="str">
            <v>OPKZP-PO1-SC121/122-2015/37</v>
          </cell>
          <cell r="S37">
            <v>0.85</v>
          </cell>
          <cell r="T37">
            <v>0.05</v>
          </cell>
          <cell r="U37">
            <v>0.1</v>
          </cell>
          <cell r="V37" t="str">
            <v>súkromné</v>
          </cell>
          <cell r="W37">
            <v>14705823.49</v>
          </cell>
          <cell r="X37">
            <v>12499949.970000001</v>
          </cell>
          <cell r="Y37">
            <v>735291.17</v>
          </cell>
          <cell r="Z37">
            <v>13235241.140000001</v>
          </cell>
          <cell r="AA37">
            <v>1470582.35</v>
          </cell>
          <cell r="AB37">
            <v>14705823.49</v>
          </cell>
          <cell r="AC37">
            <v>12499949.970000001</v>
          </cell>
          <cell r="AD37">
            <v>735291.17</v>
          </cell>
          <cell r="AE37">
            <v>13235241.140000001</v>
          </cell>
          <cell r="AF37">
            <v>1470582.35</v>
          </cell>
          <cell r="AJ37">
            <v>0</v>
          </cell>
          <cell r="AO37">
            <v>0</v>
          </cell>
          <cell r="AQ37">
            <v>0</v>
          </cell>
          <cell r="AR37">
            <v>0</v>
          </cell>
        </row>
        <row r="38">
          <cell r="A38" t="str">
            <v>310011A109</v>
          </cell>
          <cell r="B38">
            <v>1</v>
          </cell>
          <cell r="C38" t="str">
            <v>1.2.1</v>
          </cell>
          <cell r="D38" t="str">
            <v>OPKZP-PO1-SC121/122-2015</v>
          </cell>
          <cell r="E38" t="str">
            <v>voda</v>
          </cell>
          <cell r="F38" t="str">
            <v>Obec Hranovnica</v>
          </cell>
          <cell r="G38" t="str">
            <v>Rekonštrukcia a modernizácia čistiarne odpadových vôd v obci Hranovnica</v>
          </cell>
          <cell r="H38" t="str">
            <v>022</v>
          </cell>
          <cell r="I38" t="str">
            <v>PO</v>
          </cell>
          <cell r="J38" t="str">
            <v>regionálny</v>
          </cell>
          <cell r="K38" t="str">
            <v>áno</v>
          </cell>
          <cell r="L38" t="str">
            <v>áno</v>
          </cell>
          <cell r="M38">
            <v>42517</v>
          </cell>
          <cell r="N38" t="str">
            <v>Realizácia</v>
          </cell>
          <cell r="P38" t="str">
            <v>https://www.crz.gov.sk/index.php?ID=2468455&amp;l=sk</v>
          </cell>
          <cell r="Q38" t="str">
            <v>http://crp.gov.sk/rekonstrukcia-a-modernizacia-cistiarne-odpadovych-vod-v-obci-hranovnica/</v>
          </cell>
          <cell r="R38" t="str">
            <v>OPKZP-PO1-SC121/122-2015/30</v>
          </cell>
          <cell r="S38">
            <v>0.85</v>
          </cell>
          <cell r="T38">
            <v>0.1</v>
          </cell>
          <cell r="U38">
            <v>0.05</v>
          </cell>
          <cell r="V38" t="str">
            <v>verejné</v>
          </cell>
          <cell r="W38">
            <v>1418646.03</v>
          </cell>
          <cell r="X38">
            <v>1205849.1299999999</v>
          </cell>
          <cell r="Y38">
            <v>141864.6</v>
          </cell>
          <cell r="Z38">
            <v>1347713.73</v>
          </cell>
          <cell r="AA38">
            <v>70932.3</v>
          </cell>
          <cell r="AB38">
            <v>1372370</v>
          </cell>
          <cell r="AC38">
            <v>1166514.5</v>
          </cell>
          <cell r="AD38">
            <v>137237</v>
          </cell>
          <cell r="AE38">
            <v>1303751.5</v>
          </cell>
          <cell r="AF38">
            <v>68618.5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1289941.06</v>
          </cell>
          <cell r="AM38">
            <v>1096449.8999999999</v>
          </cell>
          <cell r="AN38">
            <v>128994.11</v>
          </cell>
          <cell r="AO38">
            <v>1225444.01</v>
          </cell>
          <cell r="AP38">
            <v>64497.05</v>
          </cell>
          <cell r="AQ38">
            <v>0</v>
          </cell>
          <cell r="AR38">
            <v>0</v>
          </cell>
        </row>
        <row r="39">
          <cell r="A39" t="str">
            <v>310011A110</v>
          </cell>
          <cell r="B39">
            <v>1</v>
          </cell>
          <cell r="C39" t="str">
            <v>1.2.1</v>
          </cell>
          <cell r="D39" t="str">
            <v>OPKZP-PO1-SC121/122-2015</v>
          </cell>
          <cell r="E39" t="str">
            <v>voda</v>
          </cell>
          <cell r="F39" t="str">
            <v>Obec Moravské Lieskové</v>
          </cell>
          <cell r="G39" t="str">
            <v>Kanalizácia a ČOV Moravské Lieskové</v>
          </cell>
          <cell r="H39" t="str">
            <v>022</v>
          </cell>
          <cell r="I39" t="str">
            <v>TN</v>
          </cell>
          <cell r="J39" t="str">
            <v>regionálny</v>
          </cell>
          <cell r="K39" t="str">
            <v>áno</v>
          </cell>
          <cell r="L39" t="str">
            <v>áno</v>
          </cell>
          <cell r="M39">
            <v>42497</v>
          </cell>
          <cell r="N39" t="str">
            <v>Realizácia</v>
          </cell>
          <cell r="P39" t="str">
            <v>https://www.crz.gov.sk/index.php?ID=2442927&amp;l=sk</v>
          </cell>
          <cell r="Q39" t="str">
            <v>http://crp.gov.sk/kanalizacia-a-cov-moravske-lieskove/</v>
          </cell>
          <cell r="R39" t="str">
            <v>OPKZP-PO1-SC121/122-2015/32</v>
          </cell>
          <cell r="S39">
            <v>0.85</v>
          </cell>
          <cell r="T39">
            <v>0.1</v>
          </cell>
          <cell r="U39">
            <v>0.05</v>
          </cell>
          <cell r="V39" t="str">
            <v>verejné</v>
          </cell>
          <cell r="W39">
            <v>12387243.18</v>
          </cell>
          <cell r="X39">
            <v>10529156.699999999</v>
          </cell>
          <cell r="Y39">
            <v>1238724.32</v>
          </cell>
          <cell r="Z39">
            <v>11767881.02</v>
          </cell>
          <cell r="AA39">
            <v>619362.16</v>
          </cell>
          <cell r="AB39">
            <v>12317259.43</v>
          </cell>
          <cell r="AC39">
            <v>10469670.52</v>
          </cell>
          <cell r="AD39">
            <v>1231725.94</v>
          </cell>
          <cell r="AE39">
            <v>11701396.459999999</v>
          </cell>
          <cell r="AF39">
            <v>615862.97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1201512.72</v>
          </cell>
          <cell r="AM39">
            <v>1021285.8099999999</v>
          </cell>
          <cell r="AN39">
            <v>120151.28</v>
          </cell>
          <cell r="AO39">
            <v>1141437.0899999999</v>
          </cell>
          <cell r="AP39">
            <v>60075.63</v>
          </cell>
          <cell r="AQ39">
            <v>731661.47</v>
          </cell>
          <cell r="AR39">
            <v>621912.25</v>
          </cell>
        </row>
        <row r="40">
          <cell r="A40" t="str">
            <v>310011A111</v>
          </cell>
          <cell r="B40">
            <v>1</v>
          </cell>
          <cell r="C40" t="str">
            <v>1.2.1</v>
          </cell>
          <cell r="D40" t="str">
            <v>OPKZP-PO1-SC121/122-2015</v>
          </cell>
          <cell r="E40" t="str">
            <v>voda</v>
          </cell>
          <cell r="F40" t="str">
            <v>Stredoslovenská vodárenská spoločnosť,  a.s.</v>
          </cell>
          <cell r="G40" t="str">
            <v>Aglomerácia Nitrianske Pravno - kanalizácia a ČOV</v>
          </cell>
          <cell r="H40" t="str">
            <v>022</v>
          </cell>
          <cell r="I40" t="str">
            <v>TN</v>
          </cell>
          <cell r="J40" t="str">
            <v>regionálny</v>
          </cell>
          <cell r="K40" t="str">
            <v>áno</v>
          </cell>
          <cell r="L40" t="str">
            <v>áno</v>
          </cell>
          <cell r="M40">
            <v>42515</v>
          </cell>
          <cell r="N40" t="str">
            <v>Realizácia</v>
          </cell>
          <cell r="P40" t="str">
            <v>https://www.crz.gov.sk/index.php?ID=2464210&amp;l=sk</v>
          </cell>
          <cell r="Q40" t="str">
            <v>http://crp.gov.sk/aglomeracia-nitrianske-pravno-%E2%80%93-kanalizacia-a-cov/</v>
          </cell>
          <cell r="R40" t="str">
            <v>OPKZP-PO1-SC121/122-2015/35</v>
          </cell>
          <cell r="S40">
            <v>0.85</v>
          </cell>
          <cell r="T40">
            <v>0.05</v>
          </cell>
          <cell r="U40">
            <v>0.1</v>
          </cell>
          <cell r="V40" t="str">
            <v>súkromné</v>
          </cell>
          <cell r="W40">
            <v>6956571.0199999996</v>
          </cell>
          <cell r="X40">
            <v>5913085.3700000001</v>
          </cell>
          <cell r="Y40">
            <v>347828.55</v>
          </cell>
          <cell r="Z40">
            <v>6260913.9199999999</v>
          </cell>
          <cell r="AA40">
            <v>695657.1</v>
          </cell>
          <cell r="AB40">
            <v>6956571.0199999996</v>
          </cell>
          <cell r="AC40">
            <v>5913085.3700000001</v>
          </cell>
          <cell r="AD40">
            <v>347828.55</v>
          </cell>
          <cell r="AE40">
            <v>6260913.9199999999</v>
          </cell>
          <cell r="AF40">
            <v>695657.1</v>
          </cell>
          <cell r="AJ40">
            <v>0</v>
          </cell>
          <cell r="AO40">
            <v>0</v>
          </cell>
          <cell r="AQ40">
            <v>0</v>
          </cell>
          <cell r="AR40">
            <v>0</v>
          </cell>
        </row>
        <row r="41">
          <cell r="A41" t="str">
            <v>310011A119</v>
          </cell>
          <cell r="B41">
            <v>1</v>
          </cell>
          <cell r="C41" t="str">
            <v>1.2.1</v>
          </cell>
          <cell r="D41" t="str">
            <v>OPKZP-PO1-SC121/122-2015</v>
          </cell>
          <cell r="E41" t="str">
            <v>voda</v>
          </cell>
          <cell r="F41" t="str">
            <v>Obec Okoč</v>
          </cell>
          <cell r="G41" t="str">
            <v>Okoč kanalizácia</v>
          </cell>
          <cell r="H41" t="str">
            <v>022</v>
          </cell>
          <cell r="I41" t="str">
            <v>TT</v>
          </cell>
          <cell r="J41" t="str">
            <v>regionálny</v>
          </cell>
          <cell r="K41" t="str">
            <v>áno</v>
          </cell>
          <cell r="L41" t="str">
            <v>áno</v>
          </cell>
          <cell r="M41">
            <v>42497</v>
          </cell>
          <cell r="N41" t="str">
            <v>Mimoriadne ukončený</v>
          </cell>
          <cell r="O41">
            <v>42926</v>
          </cell>
          <cell r="P41" t="str">
            <v>https://www.crz.gov.sk/index.php?ID=2442133&amp;l=sk</v>
          </cell>
          <cell r="Q41" t="str">
            <v>http://crp.gov.sk/okoc-kanalizacia/</v>
          </cell>
          <cell r="R41" t="str">
            <v>OPKZP-PO1-SC121/122-2015/24</v>
          </cell>
          <cell r="S41">
            <v>0.85</v>
          </cell>
          <cell r="T41">
            <v>0.1</v>
          </cell>
          <cell r="U41">
            <v>0.05</v>
          </cell>
          <cell r="V41" t="str">
            <v>verejné</v>
          </cell>
          <cell r="W41">
            <v>12382600.359999999</v>
          </cell>
          <cell r="X41">
            <v>10525210.310000001</v>
          </cell>
          <cell r="Y41">
            <v>1238260.04</v>
          </cell>
          <cell r="Z41">
            <v>11763470.350000001</v>
          </cell>
          <cell r="AA41">
            <v>619130.02</v>
          </cell>
          <cell r="AB41">
            <v>12382600.359999999</v>
          </cell>
          <cell r="AC41">
            <v>10525210.310000001</v>
          </cell>
          <cell r="AD41">
            <v>1238260.04</v>
          </cell>
          <cell r="AE41">
            <v>11763470.350000001</v>
          </cell>
          <cell r="AF41">
            <v>619130.02</v>
          </cell>
          <cell r="AJ41">
            <v>0</v>
          </cell>
          <cell r="AO41">
            <v>0</v>
          </cell>
          <cell r="AQ41">
            <v>0</v>
          </cell>
          <cell r="AR41">
            <v>0</v>
          </cell>
        </row>
        <row r="42">
          <cell r="A42" t="str">
            <v>310011A121</v>
          </cell>
          <cell r="B42">
            <v>1</v>
          </cell>
          <cell r="C42" t="str">
            <v>1.2.1</v>
          </cell>
          <cell r="D42" t="str">
            <v>OPKZP-PO1-SC121/122-2015</v>
          </cell>
          <cell r="E42" t="str">
            <v>voda</v>
          </cell>
          <cell r="F42" t="str">
            <v>OBEC Topoľníky</v>
          </cell>
          <cell r="G42" t="str">
            <v>Topoľníky - Kanalizácia a úprava ČOV</v>
          </cell>
          <cell r="H42" t="str">
            <v>022</v>
          </cell>
          <cell r="I42" t="str">
            <v>TT</v>
          </cell>
          <cell r="J42" t="str">
            <v>regionálny</v>
          </cell>
          <cell r="K42" t="str">
            <v>áno</v>
          </cell>
          <cell r="L42" t="str">
            <v>áno</v>
          </cell>
          <cell r="M42">
            <v>42494</v>
          </cell>
          <cell r="N42" t="str">
            <v>Realizácia</v>
          </cell>
          <cell r="P42" t="str">
            <v>https://www.crz.gov.sk/index.php?ID=2437251&amp;l=sk</v>
          </cell>
          <cell r="Q42" t="str">
            <v>http://crp.gov.sk/topolniky-%E2%80%93-kanalizacia-a-uprava-cov/</v>
          </cell>
          <cell r="R42" t="str">
            <v>OPKZP-PO1-SC121/122-2015/25</v>
          </cell>
          <cell r="S42">
            <v>0.85</v>
          </cell>
          <cell r="T42">
            <v>0.1</v>
          </cell>
          <cell r="U42">
            <v>0.05</v>
          </cell>
          <cell r="V42" t="str">
            <v>verejné</v>
          </cell>
          <cell r="W42">
            <v>13949610.48</v>
          </cell>
          <cell r="X42">
            <v>11857168.91</v>
          </cell>
          <cell r="Y42">
            <v>1394961.05</v>
          </cell>
          <cell r="Z42">
            <v>13252129.960000001</v>
          </cell>
          <cell r="AA42">
            <v>697480.52</v>
          </cell>
          <cell r="AB42">
            <v>13622037.35</v>
          </cell>
          <cell r="AC42">
            <v>11578731.75</v>
          </cell>
          <cell r="AD42">
            <v>1362203.74</v>
          </cell>
          <cell r="AE42">
            <v>12940935.49</v>
          </cell>
          <cell r="AF42">
            <v>681101.87</v>
          </cell>
          <cell r="AG42">
            <v>163610.56</v>
          </cell>
          <cell r="AH42">
            <v>139068.976</v>
          </cell>
          <cell r="AI42">
            <v>16361.056</v>
          </cell>
          <cell r="AJ42">
            <v>155430.03200000001</v>
          </cell>
          <cell r="AK42">
            <v>8180.5280000000002</v>
          </cell>
          <cell r="AL42">
            <v>4568893.6100000003</v>
          </cell>
          <cell r="AM42">
            <v>3883559.5700000003</v>
          </cell>
          <cell r="AN42">
            <v>456889.36</v>
          </cell>
          <cell r="AO42">
            <v>4340448.9300000006</v>
          </cell>
          <cell r="AP42">
            <v>228444.68000000002</v>
          </cell>
          <cell r="AQ42">
            <v>0</v>
          </cell>
          <cell r="AR42">
            <v>0</v>
          </cell>
        </row>
        <row r="43">
          <cell r="A43" t="str">
            <v>310011A126</v>
          </cell>
          <cell r="B43">
            <v>1</v>
          </cell>
          <cell r="C43" t="str">
            <v>1.2.1</v>
          </cell>
          <cell r="D43" t="str">
            <v>OPKZP-PO1-SC121/122-2015</v>
          </cell>
          <cell r="E43" t="str">
            <v>voda</v>
          </cell>
          <cell r="F43" t="str">
            <v>Obec Bátorove Kosihy</v>
          </cell>
          <cell r="G43" t="str">
            <v>Kanalizácia a ČOV obce Bátorové Kosihy</v>
          </cell>
          <cell r="H43" t="str">
            <v>022</v>
          </cell>
          <cell r="I43" t="str">
            <v>NR</v>
          </cell>
          <cell r="J43" t="str">
            <v>regionálny</v>
          </cell>
          <cell r="K43" t="str">
            <v>áno</v>
          </cell>
          <cell r="L43" t="str">
            <v>áno</v>
          </cell>
          <cell r="M43">
            <v>42496</v>
          </cell>
          <cell r="N43" t="str">
            <v>Realizácia</v>
          </cell>
          <cell r="P43" t="str">
            <v>https://www.crz.gov.sk/index.php?ID=2441539&amp;l=sk</v>
          </cell>
          <cell r="Q43" t="str">
            <v>http://crp.gov.sk/kanalizacia-a-cov-batorove-kosihy/</v>
          </cell>
          <cell r="R43" t="str">
            <v>OPKZP-PO1-SC121/122-2015/29</v>
          </cell>
          <cell r="S43">
            <v>0.85</v>
          </cell>
          <cell r="T43">
            <v>0.1</v>
          </cell>
          <cell r="U43">
            <v>0.05</v>
          </cell>
          <cell r="V43" t="str">
            <v>verejné</v>
          </cell>
          <cell r="W43">
            <v>9057251.8100000005</v>
          </cell>
          <cell r="X43">
            <v>7698664.04</v>
          </cell>
          <cell r="Y43">
            <v>905725.18</v>
          </cell>
          <cell r="Z43">
            <v>8604389.2200000007</v>
          </cell>
          <cell r="AA43">
            <v>452862.59</v>
          </cell>
          <cell r="AB43">
            <v>9057251.8100000005</v>
          </cell>
          <cell r="AC43">
            <v>7698664.04</v>
          </cell>
          <cell r="AD43">
            <v>905725.18</v>
          </cell>
          <cell r="AE43">
            <v>8604389.2200000007</v>
          </cell>
          <cell r="AF43">
            <v>452862.59</v>
          </cell>
          <cell r="AJ43">
            <v>0</v>
          </cell>
          <cell r="AO43">
            <v>0</v>
          </cell>
          <cell r="AQ43">
            <v>0</v>
          </cell>
          <cell r="AR43">
            <v>0</v>
          </cell>
        </row>
        <row r="44">
          <cell r="A44" t="str">
            <v>310011A153</v>
          </cell>
          <cell r="B44">
            <v>1</v>
          </cell>
          <cell r="C44" t="str">
            <v>1.4.1</v>
          </cell>
          <cell r="D44" t="str">
            <v>OPKZP-PO1-SC141-2015-7</v>
          </cell>
          <cell r="E44" t="str">
            <v>vzduch</v>
          </cell>
          <cell r="F44" t="str">
            <v>U. S. Steel Košice, s.r.o.</v>
          </cell>
          <cell r="G44" t="str">
            <v>Odprášenie MPO v OC1</v>
          </cell>
          <cell r="H44" t="str">
            <v>083</v>
          </cell>
          <cell r="I44" t="str">
            <v>KE</v>
          </cell>
          <cell r="J44" t="str">
            <v>regionálny</v>
          </cell>
          <cell r="K44" t="str">
            <v>áno</v>
          </cell>
          <cell r="M44">
            <v>42542</v>
          </cell>
          <cell r="N44" t="str">
            <v>Realizácia</v>
          </cell>
          <cell r="P44" t="str">
            <v>https://www.crz.gov.sk/index.php?ID=2496218&amp;l=sk</v>
          </cell>
          <cell r="Q44" t="str">
            <v>http://crp.gov.sk/odprasenie-mpo-v-oc1/</v>
          </cell>
          <cell r="R44" t="str">
            <v>OPKZP-PO1-SC141-2015-7/02</v>
          </cell>
          <cell r="S44">
            <v>0.55000000000000004</v>
          </cell>
          <cell r="T44">
            <v>0</v>
          </cell>
          <cell r="U44">
            <v>0.45</v>
          </cell>
          <cell r="V44" t="str">
            <v>súkromné</v>
          </cell>
          <cell r="W44">
            <v>3478592.67</v>
          </cell>
          <cell r="X44">
            <v>1913225.97</v>
          </cell>
          <cell r="Y44">
            <v>0</v>
          </cell>
          <cell r="Z44">
            <v>1913225.97</v>
          </cell>
          <cell r="AA44">
            <v>1565366.7</v>
          </cell>
          <cell r="AB44">
            <v>2185000</v>
          </cell>
          <cell r="AC44">
            <v>1201750</v>
          </cell>
          <cell r="AD44">
            <v>0</v>
          </cell>
          <cell r="AE44">
            <v>1201750</v>
          </cell>
          <cell r="AF44">
            <v>983250</v>
          </cell>
          <cell r="AG44">
            <v>572180</v>
          </cell>
          <cell r="AH44">
            <v>314699</v>
          </cell>
          <cell r="AI44">
            <v>0</v>
          </cell>
          <cell r="AJ44">
            <v>314699</v>
          </cell>
          <cell r="AK44">
            <v>257481</v>
          </cell>
          <cell r="AL44">
            <v>526330</v>
          </cell>
          <cell r="AM44">
            <v>289481.5</v>
          </cell>
          <cell r="AN44">
            <v>0</v>
          </cell>
          <cell r="AO44">
            <v>289481.5</v>
          </cell>
          <cell r="AP44">
            <v>236848.5</v>
          </cell>
          <cell r="AQ44">
            <v>297820</v>
          </cell>
          <cell r="AR44">
            <v>163801</v>
          </cell>
        </row>
        <row r="45">
          <cell r="A45" t="str">
            <v>310011A155</v>
          </cell>
          <cell r="B45">
            <v>1</v>
          </cell>
          <cell r="C45" t="str">
            <v>1.4.1</v>
          </cell>
          <cell r="D45" t="str">
            <v>OPKZP-PO1-SC141-2015-7</v>
          </cell>
          <cell r="E45" t="str">
            <v>vzduch</v>
          </cell>
          <cell r="F45" t="str">
            <v>U. S. Steel Košice, s.r.o.</v>
          </cell>
          <cell r="G45" t="str">
            <v>Odprášenie OC2 - mimopecné odsírenie</v>
          </cell>
          <cell r="H45" t="str">
            <v>083</v>
          </cell>
          <cell r="I45" t="str">
            <v>KE</v>
          </cell>
          <cell r="J45" t="str">
            <v>regionálny</v>
          </cell>
          <cell r="K45" t="str">
            <v>áno</v>
          </cell>
          <cell r="M45">
            <v>42539</v>
          </cell>
          <cell r="N45" t="str">
            <v>Realizácia</v>
          </cell>
          <cell r="P45" t="str">
            <v>https://www.crz.gov.sk/index.php?ID=2495281&amp;l=sk</v>
          </cell>
          <cell r="Q45" t="str">
            <v>http://crp.gov.sk/odprasenie-oc2-mimopecne-odsirenie/</v>
          </cell>
          <cell r="R45" t="str">
            <v>OPKZP-PO1-SC141-2015-7/01</v>
          </cell>
          <cell r="S45">
            <v>0.55000000000000004</v>
          </cell>
          <cell r="T45">
            <v>0</v>
          </cell>
          <cell r="U45">
            <v>0.45</v>
          </cell>
          <cell r="V45" t="str">
            <v>súkromné</v>
          </cell>
          <cell r="W45">
            <v>5355282.8600000003</v>
          </cell>
          <cell r="X45">
            <v>2945405.57</v>
          </cell>
          <cell r="Y45">
            <v>0</v>
          </cell>
          <cell r="Z45">
            <v>2945405.57</v>
          </cell>
          <cell r="AA45">
            <v>2409877.29</v>
          </cell>
          <cell r="AB45">
            <v>3248970</v>
          </cell>
          <cell r="AC45">
            <v>1786933.5</v>
          </cell>
          <cell r="AD45">
            <v>0</v>
          </cell>
          <cell r="AE45">
            <v>1786933.5</v>
          </cell>
          <cell r="AF45">
            <v>1462036.5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180136</v>
          </cell>
          <cell r="AM45">
            <v>99074.8</v>
          </cell>
          <cell r="AN45">
            <v>0</v>
          </cell>
          <cell r="AO45">
            <v>99074.8</v>
          </cell>
          <cell r="AP45">
            <v>81061.2</v>
          </cell>
          <cell r="AQ45">
            <v>0</v>
          </cell>
          <cell r="AR45">
            <v>0</v>
          </cell>
        </row>
        <row r="46">
          <cell r="A46" t="str">
            <v>310011A226</v>
          </cell>
          <cell r="B46">
            <v>1</v>
          </cell>
          <cell r="C46" t="str">
            <v>1.4.1</v>
          </cell>
          <cell r="D46" t="str">
            <v>OPKZP-PO1-SC141-2015-7</v>
          </cell>
          <cell r="E46" t="str">
            <v>vzduch</v>
          </cell>
          <cell r="F46" t="str">
            <v>U. S. Steel Košice, s.r.o.</v>
          </cell>
          <cell r="G46" t="str">
            <v>Kontrola emisií pre rudné mosty VP1</v>
          </cell>
          <cell r="H46" t="str">
            <v>083</v>
          </cell>
          <cell r="I46" t="str">
            <v>KE</v>
          </cell>
          <cell r="J46" t="str">
            <v>regionálny</v>
          </cell>
          <cell r="K46" t="str">
            <v>áno</v>
          </cell>
          <cell r="M46">
            <v>42542</v>
          </cell>
          <cell r="N46" t="str">
            <v>Realizácia</v>
          </cell>
          <cell r="P46" t="str">
            <v>https://www.crz.gov.sk/index.php?ID=2496029&amp;l=sk</v>
          </cell>
          <cell r="Q46" t="str">
            <v>http://crp.gov.sk/kontrola-emisii-pre-rudne-mosty-vp1/</v>
          </cell>
          <cell r="R46" t="str">
            <v>OPKZP-PO1-SC141-2015-7/03</v>
          </cell>
          <cell r="S46">
            <v>0.55000000000000004</v>
          </cell>
          <cell r="T46">
            <v>0</v>
          </cell>
          <cell r="U46">
            <v>0.45</v>
          </cell>
          <cell r="V46" t="str">
            <v>súkromné</v>
          </cell>
          <cell r="W46">
            <v>16506692.300000001</v>
          </cell>
          <cell r="X46">
            <v>9078680.7699999996</v>
          </cell>
          <cell r="Y46">
            <v>0</v>
          </cell>
          <cell r="Z46">
            <v>9078680.7699999996</v>
          </cell>
          <cell r="AA46">
            <v>7428011.54</v>
          </cell>
          <cell r="AB46">
            <v>9967313.9000000004</v>
          </cell>
          <cell r="AC46">
            <v>5482022.6500000004</v>
          </cell>
          <cell r="AD46">
            <v>0</v>
          </cell>
          <cell r="AE46">
            <v>5482022.6500000004</v>
          </cell>
          <cell r="AF46">
            <v>4485291.25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356723.32</v>
          </cell>
          <cell r="AM46">
            <v>196197.83</v>
          </cell>
          <cell r="AN46">
            <v>0</v>
          </cell>
          <cell r="AO46">
            <v>196197.83</v>
          </cell>
          <cell r="AP46">
            <v>160525.49</v>
          </cell>
          <cell r="AQ46">
            <v>356723.32</v>
          </cell>
          <cell r="AR46">
            <v>196197.83</v>
          </cell>
        </row>
        <row r="47">
          <cell r="A47" t="str">
            <v>310011A280</v>
          </cell>
          <cell r="B47">
            <v>1</v>
          </cell>
          <cell r="C47" t="str">
            <v>1.1.1</v>
          </cell>
          <cell r="D47" t="str">
            <v>OPKZP-PO1-SC111-2016-FN</v>
          </cell>
          <cell r="E47" t="str">
            <v>odpady</v>
          </cell>
          <cell r="F47" t="str">
            <v>SZRB Asset Management, a.s.</v>
          </cell>
          <cell r="G47" t="str">
            <v>Investovanie do sektora odpadového hospodárstva</v>
          </cell>
          <cell r="H47" t="str">
            <v>017
018
019</v>
          </cell>
          <cell r="I47" t="str">
            <v>všetky kraje</v>
          </cell>
          <cell r="J47" t="str">
            <v>nadregionálny</v>
          </cell>
          <cell r="K47" t="str">
            <v>áno</v>
          </cell>
          <cell r="M47">
            <v>42136</v>
          </cell>
          <cell r="N47" t="str">
            <v>Aktivity nezačaté</v>
          </cell>
          <cell r="P47" t="str">
            <v>-</v>
          </cell>
          <cell r="Q47" t="str">
            <v>-</v>
          </cell>
          <cell r="R47" t="str">
            <v>78/2015/5.1</v>
          </cell>
          <cell r="S47">
            <v>0.85</v>
          </cell>
          <cell r="T47">
            <v>0.15</v>
          </cell>
          <cell r="U47">
            <v>0</v>
          </cell>
          <cell r="V47" t="str">
            <v>bez VZ</v>
          </cell>
          <cell r="W47">
            <v>67071840</v>
          </cell>
          <cell r="X47">
            <v>57011064</v>
          </cell>
          <cell r="Y47">
            <v>10060776</v>
          </cell>
          <cell r="Z47">
            <v>67071840</v>
          </cell>
          <cell r="AA47">
            <v>0</v>
          </cell>
          <cell r="AB47">
            <v>67071840</v>
          </cell>
          <cell r="AC47">
            <v>57011064</v>
          </cell>
          <cell r="AD47">
            <v>10060776</v>
          </cell>
          <cell r="AE47">
            <v>67071840</v>
          </cell>
          <cell r="AF47">
            <v>0</v>
          </cell>
          <cell r="AJ47">
            <v>0</v>
          </cell>
          <cell r="AL47">
            <v>16767960</v>
          </cell>
          <cell r="AM47">
            <v>14252766</v>
          </cell>
          <cell r="AN47">
            <v>2515194</v>
          </cell>
          <cell r="AO47">
            <v>16767960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310011A326</v>
          </cell>
          <cell r="B48">
            <v>1</v>
          </cell>
          <cell r="C48" t="str">
            <v>1.2.3</v>
          </cell>
          <cell r="D48" t="str">
            <v>OPKZP-PO1-SC123-2015-8</v>
          </cell>
          <cell r="E48" t="str">
            <v>povodne</v>
          </cell>
          <cell r="F48" t="str">
            <v>SLOVENSKÝ VODOHOSPODÁRSKY PODNIK,  štátny podnik</v>
          </cell>
          <cell r="G48" t="str">
            <v>Monitorovanie fyzikálno-chemických a biologických prvkov kvality vôd v roku 2015</v>
          </cell>
          <cell r="H48" t="str">
            <v>021</v>
          </cell>
          <cell r="I48" t="str">
            <v>všetky kraje</v>
          </cell>
          <cell r="J48" t="str">
            <v>nadregionálny</v>
          </cell>
          <cell r="K48" t="str">
            <v>áno</v>
          </cell>
          <cell r="M48">
            <v>42608</v>
          </cell>
          <cell r="N48" t="str">
            <v>Riadne ukončený</v>
          </cell>
          <cell r="O48">
            <v>42717</v>
          </cell>
          <cell r="P48" t="str">
            <v>https://www.crz.gov.sk/index.php?ID=2570272&amp;l=sk</v>
          </cell>
          <cell r="Q48" t="str">
            <v>http://crp.gov.sk/monitorovanie-fyzikalno-chemickych-a-biologickych-prvkov-kvality-vod-v-roku-2015/</v>
          </cell>
          <cell r="R48" t="str">
            <v>OPKZP-PO1-SC123-2015-8/01</v>
          </cell>
          <cell r="S48">
            <v>0.85</v>
          </cell>
          <cell r="T48">
            <v>0.15</v>
          </cell>
          <cell r="U48">
            <v>0</v>
          </cell>
          <cell r="V48" t="str">
            <v>bez VZ</v>
          </cell>
          <cell r="W48">
            <v>684181.97</v>
          </cell>
          <cell r="X48">
            <v>581554.67000000004</v>
          </cell>
          <cell r="Y48">
            <v>102627.3</v>
          </cell>
          <cell r="Z48">
            <v>684181.97000000009</v>
          </cell>
          <cell r="AA48">
            <v>0</v>
          </cell>
          <cell r="AB48">
            <v>684181.97</v>
          </cell>
          <cell r="AC48">
            <v>581554.67000000004</v>
          </cell>
          <cell r="AD48">
            <v>102627.3</v>
          </cell>
          <cell r="AE48">
            <v>684181.97000000009</v>
          </cell>
          <cell r="AF48">
            <v>0</v>
          </cell>
          <cell r="AJ48">
            <v>0</v>
          </cell>
          <cell r="AL48">
            <v>435738.51</v>
          </cell>
          <cell r="AM48">
            <v>370377.74</v>
          </cell>
          <cell r="AN48">
            <v>65360.77</v>
          </cell>
          <cell r="AO48">
            <v>435738.51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310011A366</v>
          </cell>
          <cell r="B49">
            <v>1</v>
          </cell>
          <cell r="C49" t="str">
            <v>1.2.3</v>
          </cell>
          <cell r="D49" t="str">
            <v>OPKZP-PO1-SC123-2015-8</v>
          </cell>
          <cell r="E49" t="str">
            <v>povodne</v>
          </cell>
          <cell r="F49" t="str">
            <v>Výskumný ústav vodného hospodárstva</v>
          </cell>
          <cell r="G49" t="str">
            <v>Monitorovanie a hodnotenie stavu vôd – III. etapa</v>
          </cell>
          <cell r="H49" t="str">
            <v>021</v>
          </cell>
          <cell r="I49" t="str">
            <v>všetky kraje</v>
          </cell>
          <cell r="J49" t="str">
            <v>nadregionálny</v>
          </cell>
          <cell r="K49" t="str">
            <v>áno</v>
          </cell>
          <cell r="M49">
            <v>42698</v>
          </cell>
          <cell r="N49" t="str">
            <v>Realizácia</v>
          </cell>
          <cell r="P49" t="str">
            <v>https://www.crz.gov.sk/index.php?ID=2696568&amp;l=sk</v>
          </cell>
          <cell r="Q49" t="str">
            <v>https://crp.gov.sk/zmluva-o-poskytnuti-nfp/</v>
          </cell>
          <cell r="R49" t="str">
            <v>OPKZP-PO1-SC123-2015-8/03</v>
          </cell>
          <cell r="S49">
            <v>0.85</v>
          </cell>
          <cell r="T49">
            <v>0.15</v>
          </cell>
          <cell r="U49">
            <v>0</v>
          </cell>
          <cell r="V49" t="str">
            <v>bez VZ</v>
          </cell>
          <cell r="W49">
            <v>21574826.710000001</v>
          </cell>
          <cell r="X49">
            <v>18338602.703499999</v>
          </cell>
          <cell r="Y49">
            <v>3236224.0065000001</v>
          </cell>
          <cell r="Z49">
            <v>21574826.710000001</v>
          </cell>
          <cell r="AA49">
            <v>0</v>
          </cell>
          <cell r="AB49">
            <v>21574826.710000001</v>
          </cell>
          <cell r="AC49">
            <v>18338602.703499999</v>
          </cell>
          <cell r="AD49">
            <v>3236224.0065000001</v>
          </cell>
          <cell r="AE49">
            <v>21574826.710000001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7310604.7799999993</v>
          </cell>
          <cell r="AM49">
            <v>6214014.0599999987</v>
          </cell>
          <cell r="AN49">
            <v>1096590.7200000002</v>
          </cell>
          <cell r="AO49">
            <v>7310604.7799999993</v>
          </cell>
          <cell r="AP49">
            <v>0</v>
          </cell>
          <cell r="AQ49">
            <v>3545219.9999999991</v>
          </cell>
          <cell r="AR49">
            <v>3013436.9999999991</v>
          </cell>
        </row>
        <row r="50">
          <cell r="A50" t="str">
            <v>310011A373</v>
          </cell>
          <cell r="B50">
            <v>1</v>
          </cell>
          <cell r="C50" t="str">
            <v>1.4.1</v>
          </cell>
          <cell r="D50" t="str">
            <v>OPKZP-PO1-SC141-2015-7</v>
          </cell>
          <cell r="E50" t="str">
            <v>vzduch</v>
          </cell>
          <cell r="F50" t="str">
            <v>Žilinská teplárenská, a.s.</v>
          </cell>
          <cell r="G50" t="str">
            <v>Modernizácia technológie odlučovacieho zariadenia pre zníženie emisií tuhých znečisťujúcich látok v ŽT, a.s.</v>
          </cell>
          <cell r="H50" t="str">
            <v>083</v>
          </cell>
          <cell r="I50" t="str">
            <v>ZA</v>
          </cell>
          <cell r="J50" t="str">
            <v>regionálny</v>
          </cell>
          <cell r="K50" t="str">
            <v>áno</v>
          </cell>
          <cell r="M50">
            <v>42542</v>
          </cell>
          <cell r="N50" t="str">
            <v>Aktivity nezačaté</v>
          </cell>
          <cell r="P50" t="str">
            <v>https://www.crz.gov.sk/index.php?ID=2496878&amp;l=sk</v>
          </cell>
          <cell r="Q50" t="str">
            <v>http://crp.gov.sk/modernizacia-technologie-odlucovacieho-zariadenia-pre-znizenie-emisii-tuhych-znecistujucich-latok-v-zt-a-s/</v>
          </cell>
          <cell r="R50" t="str">
            <v>OPKZP-PO1-SC141-2015-7/04</v>
          </cell>
          <cell r="S50">
            <v>0.55000000000000004</v>
          </cell>
          <cell r="T50">
            <v>0</v>
          </cell>
          <cell r="U50">
            <v>0.45</v>
          </cell>
          <cell r="V50" t="str">
            <v>súkromné</v>
          </cell>
          <cell r="W50">
            <v>6278816.6699999999</v>
          </cell>
          <cell r="X50">
            <v>3453349.17</v>
          </cell>
          <cell r="Y50">
            <v>0</v>
          </cell>
          <cell r="Z50">
            <v>3453349.17</v>
          </cell>
          <cell r="AA50">
            <v>2825467.5</v>
          </cell>
          <cell r="AB50">
            <v>6278816.6699999999</v>
          </cell>
          <cell r="AC50">
            <v>3453349.17</v>
          </cell>
          <cell r="AD50">
            <v>0</v>
          </cell>
          <cell r="AE50">
            <v>3453349.17</v>
          </cell>
          <cell r="AF50">
            <v>2825467.5</v>
          </cell>
          <cell r="AJ50">
            <v>0</v>
          </cell>
          <cell r="AO50">
            <v>0</v>
          </cell>
          <cell r="AQ50">
            <v>0</v>
          </cell>
          <cell r="AR50">
            <v>0</v>
          </cell>
        </row>
        <row r="51">
          <cell r="A51" t="str">
            <v>310011A847</v>
          </cell>
          <cell r="B51">
            <v>1</v>
          </cell>
          <cell r="C51" t="str">
            <v>1.1.1</v>
          </cell>
          <cell r="D51" t="str">
            <v>OPKZP-PO1-SC111-2016-10</v>
          </cell>
          <cell r="E51" t="str">
            <v>odpady</v>
          </cell>
          <cell r="F51" t="str">
            <v>Obec Rabčice</v>
          </cell>
          <cell r="G51" t="str">
            <v>Zberný dvor Rabčice</v>
          </cell>
          <cell r="H51" t="str">
            <v>017</v>
          </cell>
          <cell r="I51" t="str">
            <v>ZA</v>
          </cell>
          <cell r="J51" t="str">
            <v>regionálny</v>
          </cell>
          <cell r="K51" t="str">
            <v>áno</v>
          </cell>
          <cell r="L51" t="str">
            <v>áno</v>
          </cell>
          <cell r="M51">
            <v>42761</v>
          </cell>
          <cell r="N51" t="str">
            <v>Mimoriadne ukončený</v>
          </cell>
          <cell r="O51">
            <v>43020</v>
          </cell>
          <cell r="P51" t="str">
            <v>https://www.crz.gov.sk/index.php?ID=2784913&amp;l=sk</v>
          </cell>
          <cell r="Q51" t="str">
            <v>https://crp.gov.sk/zberny-dvor-rabcice/</v>
          </cell>
          <cell r="R51" t="str">
            <v>OPKZP-PO1-SC111-2016-10/01</v>
          </cell>
          <cell r="S51">
            <v>0.85</v>
          </cell>
          <cell r="T51">
            <v>0.1</v>
          </cell>
          <cell r="U51">
            <v>0.05</v>
          </cell>
          <cell r="V51" t="str">
            <v>verejné</v>
          </cell>
          <cell r="W51">
            <v>311094.40000000002</v>
          </cell>
          <cell r="X51">
            <v>264430.24</v>
          </cell>
          <cell r="Y51">
            <v>31109.439999999999</v>
          </cell>
          <cell r="Z51">
            <v>295539.68</v>
          </cell>
          <cell r="AA51">
            <v>15554.72</v>
          </cell>
          <cell r="AB51">
            <v>311094.40000000002</v>
          </cell>
          <cell r="AC51">
            <v>264430.24</v>
          </cell>
          <cell r="AD51">
            <v>31109.439999999999</v>
          </cell>
          <cell r="AE51">
            <v>295539.68</v>
          </cell>
          <cell r="AF51">
            <v>15554.72</v>
          </cell>
          <cell r="AJ51">
            <v>0</v>
          </cell>
          <cell r="AO51">
            <v>0</v>
          </cell>
          <cell r="AQ51">
            <v>0</v>
          </cell>
          <cell r="AR51">
            <v>0</v>
          </cell>
        </row>
        <row r="52">
          <cell r="A52" t="str">
            <v>310011A874</v>
          </cell>
          <cell r="B52">
            <v>1</v>
          </cell>
          <cell r="C52" t="str">
            <v>1.2.3</v>
          </cell>
          <cell r="D52" t="str">
            <v>OPKZP-PO1-SC123-2015-8</v>
          </cell>
          <cell r="E52" t="str">
            <v>povodne</v>
          </cell>
          <cell r="F52" t="str">
            <v>Štátny geologický ústav Dionýza Štúra</v>
          </cell>
          <cell r="G52" t="str">
            <v>Monitorovanie chemického stavu a hodnotenie kvality podzemných vôd Slovenskej republiky</v>
          </cell>
          <cell r="H52" t="str">
            <v>021</v>
          </cell>
          <cell r="I52" t="str">
            <v>všetky kraje</v>
          </cell>
          <cell r="J52" t="str">
            <v>nadregionálny</v>
          </cell>
          <cell r="K52" t="str">
            <v>áno</v>
          </cell>
          <cell r="M52">
            <v>42682</v>
          </cell>
          <cell r="N52" t="str">
            <v>Realizácia</v>
          </cell>
          <cell r="P52" t="str">
            <v>https://www.crz.gov.sk/index.php?ID=2674984&amp;l=sk</v>
          </cell>
          <cell r="Q52" t="str">
            <v>https://crp.gov.sk/monitorovanie-chemickeho-stavu-a-hodnotenie-kvality-podzemnych-vod-slovenskej-republiky/</v>
          </cell>
          <cell r="R52" t="str">
            <v>OPKZP-PO1-SC123-2015-8/02</v>
          </cell>
          <cell r="S52">
            <v>0.85</v>
          </cell>
          <cell r="T52">
            <v>0.15</v>
          </cell>
          <cell r="U52">
            <v>0</v>
          </cell>
          <cell r="V52" t="str">
            <v>bez VZ</v>
          </cell>
          <cell r="W52">
            <v>4329691.38</v>
          </cell>
          <cell r="X52">
            <v>3680237.673</v>
          </cell>
          <cell r="Y52">
            <v>649453.70699999994</v>
          </cell>
          <cell r="Z52">
            <v>4329691.38</v>
          </cell>
          <cell r="AA52">
            <v>0</v>
          </cell>
          <cell r="AB52">
            <v>4329691.38</v>
          </cell>
          <cell r="AC52">
            <v>3680237.673</v>
          </cell>
          <cell r="AD52">
            <v>649453.70699999994</v>
          </cell>
          <cell r="AE52">
            <v>4329691.38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411793.9</v>
          </cell>
          <cell r="AM52">
            <v>350024.81</v>
          </cell>
          <cell r="AN52">
            <v>61769.090000000004</v>
          </cell>
          <cell r="AO52">
            <v>411793.9</v>
          </cell>
          <cell r="AP52">
            <v>0</v>
          </cell>
          <cell r="AQ52">
            <v>0</v>
          </cell>
          <cell r="AR52">
            <v>0</v>
          </cell>
        </row>
        <row r="53">
          <cell r="A53" t="str">
            <v>310011A903</v>
          </cell>
          <cell r="B53">
            <v>1</v>
          </cell>
          <cell r="C53" t="str">
            <v>1.2.1</v>
          </cell>
          <cell r="D53" t="str">
            <v>OPKZP-PO1-SC121-2015-VP</v>
          </cell>
          <cell r="E53" t="str">
            <v>voda</v>
          </cell>
          <cell r="F53" t="str">
            <v>Západoslovenská vodárenská spoločnosť, a.s.</v>
          </cell>
          <cell r="G53" t="str">
            <v>Čistiareň odpadových vôd SEVER</v>
          </cell>
          <cell r="H53" t="str">
            <v>022</v>
          </cell>
          <cell r="I53" t="str">
            <v>NR, TN</v>
          </cell>
          <cell r="J53" t="str">
            <v>nadregionálny</v>
          </cell>
          <cell r="K53" t="str">
            <v>áno</v>
          </cell>
          <cell r="L53" t="str">
            <v>áno</v>
          </cell>
          <cell r="M53">
            <v>42655</v>
          </cell>
          <cell r="N53" t="str">
            <v>Realizácia</v>
          </cell>
          <cell r="P53" t="str">
            <v>https://www.crz.gov.sk/index.php?ID=2634751&amp;l=sk</v>
          </cell>
          <cell r="Q53" t="str">
            <v>http://crp.gov.sk/77584-sk/cistiaren-odpadovych-vod-sever/</v>
          </cell>
          <cell r="R53" t="str">
            <v>OPKZP-PO1-SC121-2015-VP/01</v>
          </cell>
          <cell r="S53">
            <v>0.85</v>
          </cell>
          <cell r="T53">
            <v>0.05</v>
          </cell>
          <cell r="U53">
            <v>0.1</v>
          </cell>
          <cell r="V53" t="str">
            <v>súkromné</v>
          </cell>
          <cell r="W53">
            <v>55316687.140000001</v>
          </cell>
          <cell r="X53">
            <v>47019184.068999998</v>
          </cell>
          <cell r="Y53">
            <v>2765834.3570000003</v>
          </cell>
          <cell r="Z53">
            <v>49785018.425999999</v>
          </cell>
          <cell r="AA53">
            <v>5531668.71</v>
          </cell>
          <cell r="AB53">
            <v>55316687.140000001</v>
          </cell>
          <cell r="AC53">
            <v>47019184.068999998</v>
          </cell>
          <cell r="AD53">
            <v>2765834.3570000003</v>
          </cell>
          <cell r="AE53">
            <v>49785018.425999999</v>
          </cell>
          <cell r="AF53">
            <v>5531668.71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44821043.110000007</v>
          </cell>
          <cell r="AM53">
            <v>38097886.650000006</v>
          </cell>
          <cell r="AN53">
            <v>2241052.1599999997</v>
          </cell>
          <cell r="AO53">
            <v>40338938.810000002</v>
          </cell>
          <cell r="AP53">
            <v>4482104.3</v>
          </cell>
          <cell r="AQ53">
            <v>0</v>
          </cell>
          <cell r="AR53">
            <v>0</v>
          </cell>
        </row>
        <row r="54">
          <cell r="A54" t="str">
            <v>310011A909</v>
          </cell>
          <cell r="B54">
            <v>1</v>
          </cell>
          <cell r="C54" t="str">
            <v>1.1.1</v>
          </cell>
          <cell r="D54" t="str">
            <v>OPKZP-PO1-SC111-2016-10</v>
          </cell>
          <cell r="E54" t="str">
            <v>odpady</v>
          </cell>
          <cell r="F54" t="str">
            <v>Obec Veľké Ludince</v>
          </cell>
          <cell r="G54" t="str">
            <v>Zberný dvor odpadu Veľké Ludince</v>
          </cell>
          <cell r="H54" t="str">
            <v>017</v>
          </cell>
          <cell r="I54" t="str">
            <v>NR</v>
          </cell>
          <cell r="J54" t="str">
            <v>regionálny</v>
          </cell>
          <cell r="K54" t="str">
            <v>áno</v>
          </cell>
          <cell r="L54" t="str">
            <v>áno</v>
          </cell>
          <cell r="M54">
            <v>42762</v>
          </cell>
          <cell r="N54" t="str">
            <v>Realizácia</v>
          </cell>
          <cell r="P54" t="str">
            <v>https://www.crz.gov.sk/index.php?ID=2786059&amp;l=sk</v>
          </cell>
          <cell r="Q54" t="str">
            <v>https://crp.gov.sk/zberny-dvor-odpadu-velke-ludince/</v>
          </cell>
          <cell r="R54" t="str">
            <v>OPKZP-PO1-SC111-2016-10/02</v>
          </cell>
          <cell r="S54">
            <v>0.85</v>
          </cell>
          <cell r="T54">
            <v>0.1</v>
          </cell>
          <cell r="U54">
            <v>0.05</v>
          </cell>
          <cell r="V54" t="str">
            <v>verejné</v>
          </cell>
          <cell r="W54">
            <v>647907.93999999994</v>
          </cell>
          <cell r="X54">
            <v>550721.75</v>
          </cell>
          <cell r="Y54">
            <v>64790.79</v>
          </cell>
          <cell r="Z54">
            <v>615512.54</v>
          </cell>
          <cell r="AA54">
            <v>32395.4</v>
          </cell>
          <cell r="AB54">
            <v>647907.93999999994</v>
          </cell>
          <cell r="AC54">
            <v>550721.75</v>
          </cell>
          <cell r="AD54">
            <v>64790.79</v>
          </cell>
          <cell r="AE54">
            <v>615512.54</v>
          </cell>
          <cell r="AF54">
            <v>32395.4</v>
          </cell>
          <cell r="AJ54">
            <v>0</v>
          </cell>
          <cell r="AO54">
            <v>0</v>
          </cell>
          <cell r="AQ54">
            <v>0</v>
          </cell>
          <cell r="AR54">
            <v>0</v>
          </cell>
        </row>
        <row r="55">
          <cell r="A55" t="str">
            <v>310011A918</v>
          </cell>
          <cell r="B55">
            <v>1</v>
          </cell>
          <cell r="C55" t="str">
            <v>1.1.1</v>
          </cell>
          <cell r="D55" t="str">
            <v>OPKZP-PO1-SC111-2016-10</v>
          </cell>
          <cell r="E55" t="str">
            <v>odpady</v>
          </cell>
          <cell r="F55" t="str">
            <v>Mesto Šahy</v>
          </cell>
          <cell r="G55" t="str">
            <v>Triedený zber biologicky rozložiteľného odpadu Šahy</v>
          </cell>
          <cell r="H55" t="str">
            <v>017</v>
          </cell>
          <cell r="I55" t="str">
            <v>NR</v>
          </cell>
          <cell r="J55" t="str">
            <v>regionálny</v>
          </cell>
          <cell r="K55" t="str">
            <v>áno</v>
          </cell>
          <cell r="M55">
            <v>42746</v>
          </cell>
          <cell r="N55" t="str">
            <v>Aktivity nezačaté</v>
          </cell>
          <cell r="P55" t="str">
            <v>https://www.crz.gov.sk/index.php?ID=2765088&amp;l=sk</v>
          </cell>
          <cell r="Q55" t="str">
            <v>https://crp.gov.sk/triedeny-zber-biologicky-rozlozitelneho-odpadu-sahy/</v>
          </cell>
          <cell r="R55" t="str">
            <v>OPKZP-PO1-SC111-2016-10/03</v>
          </cell>
          <cell r="S55">
            <v>0.85</v>
          </cell>
          <cell r="T55">
            <v>0.1</v>
          </cell>
          <cell r="U55">
            <v>0.05</v>
          </cell>
          <cell r="V55" t="str">
            <v>verejné</v>
          </cell>
          <cell r="W55">
            <v>303308</v>
          </cell>
          <cell r="X55">
            <v>257811.8</v>
          </cell>
          <cell r="Y55">
            <v>30330.799999999999</v>
          </cell>
          <cell r="Z55">
            <v>288142.59999999998</v>
          </cell>
          <cell r="AA55">
            <v>15165.4</v>
          </cell>
          <cell r="AB55">
            <v>302468</v>
          </cell>
          <cell r="AC55">
            <v>257097.8</v>
          </cell>
          <cell r="AD55">
            <v>30246.799999999999</v>
          </cell>
          <cell r="AE55">
            <v>287344.59999999998</v>
          </cell>
          <cell r="AF55">
            <v>15123.4</v>
          </cell>
          <cell r="AJ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A56" t="str">
            <v>310011A919</v>
          </cell>
          <cell r="B56">
            <v>1</v>
          </cell>
          <cell r="C56" t="str">
            <v>1.1.1</v>
          </cell>
          <cell r="D56" t="str">
            <v>OPKZP-PO1-SC111-2016-11</v>
          </cell>
          <cell r="E56" t="str">
            <v>odpady</v>
          </cell>
          <cell r="F56" t="str">
            <v>Mestský podnik služieb Žarnovica s.r.o.</v>
          </cell>
          <cell r="G56" t="str">
            <v>Triedený zber komunálnych odpadov v Žarnovici</v>
          </cell>
          <cell r="H56" t="str">
            <v>017</v>
          </cell>
          <cell r="I56" t="str">
            <v>BB</v>
          </cell>
          <cell r="J56" t="str">
            <v>regionálny</v>
          </cell>
          <cell r="K56" t="str">
            <v>áno</v>
          </cell>
          <cell r="M56">
            <v>42727</v>
          </cell>
          <cell r="N56" t="str">
            <v>Realizácia</v>
          </cell>
          <cell r="P56" t="str">
            <v>https://www.crz.gov.sk/index.php?ID=2746242&amp;l=sk</v>
          </cell>
          <cell r="Q56" t="str">
            <v>https://crp.gov.sk/triedeny-zber-komunalnych-odpadov-v-zarnovici/</v>
          </cell>
          <cell r="R56" t="str">
            <v>OPKZP-PO1-SC111-2016-11/01</v>
          </cell>
          <cell r="S56">
            <v>0.85</v>
          </cell>
          <cell r="T56">
            <v>0.1</v>
          </cell>
          <cell r="U56">
            <v>0.05</v>
          </cell>
          <cell r="V56" t="str">
            <v>súkromné</v>
          </cell>
          <cell r="W56">
            <v>171831</v>
          </cell>
          <cell r="X56">
            <v>146056.35</v>
          </cell>
          <cell r="Y56">
            <v>17183.099999999999</v>
          </cell>
          <cell r="Z56">
            <v>163239.45000000001</v>
          </cell>
          <cell r="AA56">
            <v>8591.5499999999993</v>
          </cell>
          <cell r="AB56">
            <v>171831</v>
          </cell>
          <cell r="AC56">
            <v>146056.35</v>
          </cell>
          <cell r="AD56">
            <v>17183.099999999999</v>
          </cell>
          <cell r="AE56">
            <v>163239.45000000001</v>
          </cell>
          <cell r="AF56">
            <v>8591.5499999999993</v>
          </cell>
          <cell r="AG56">
            <v>15860</v>
          </cell>
          <cell r="AH56">
            <v>13481</v>
          </cell>
          <cell r="AI56">
            <v>1586</v>
          </cell>
          <cell r="AJ56">
            <v>15067</v>
          </cell>
          <cell r="AK56">
            <v>793</v>
          </cell>
          <cell r="AL56">
            <v>140150</v>
          </cell>
          <cell r="AM56">
            <v>119127.5</v>
          </cell>
          <cell r="AN56">
            <v>14015</v>
          </cell>
          <cell r="AO56">
            <v>133142.5</v>
          </cell>
          <cell r="AP56">
            <v>7007.5</v>
          </cell>
          <cell r="AQ56">
            <v>0</v>
          </cell>
          <cell r="AR56">
            <v>0</v>
          </cell>
        </row>
        <row r="57">
          <cell r="A57" t="str">
            <v>310011A925</v>
          </cell>
          <cell r="B57">
            <v>1</v>
          </cell>
          <cell r="C57" t="str">
            <v>1.1.1</v>
          </cell>
          <cell r="D57" t="str">
            <v>OPKZP-PO1-SC111-2016-10</v>
          </cell>
          <cell r="E57" t="str">
            <v>odpady</v>
          </cell>
          <cell r="F57" t="str">
            <v>Obec Jasová</v>
          </cell>
          <cell r="G57" t="str">
            <v>Hospodársko - zberný dvor</v>
          </cell>
          <cell r="H57" t="str">
            <v>017</v>
          </cell>
          <cell r="I57" t="str">
            <v>NR</v>
          </cell>
          <cell r="J57" t="str">
            <v>regionálny</v>
          </cell>
          <cell r="K57" t="str">
            <v>áno</v>
          </cell>
          <cell r="M57">
            <v>42754</v>
          </cell>
          <cell r="N57" t="str">
            <v>Realizácia</v>
          </cell>
          <cell r="P57" t="str">
            <v>https://www.crz.gov.sk/index.php?ID=2776235&amp;l=sk</v>
          </cell>
          <cell r="Q57" t="str">
            <v>https://crp.gov.sk/hospodarsko-zberny-dvor/</v>
          </cell>
          <cell r="R57" t="str">
            <v>OPKZP-PO1-SC111-2016-10/116</v>
          </cell>
          <cell r="S57">
            <v>0.85</v>
          </cell>
          <cell r="T57">
            <v>0.1</v>
          </cell>
          <cell r="U57">
            <v>0.05</v>
          </cell>
          <cell r="V57" t="str">
            <v>verejné</v>
          </cell>
          <cell r="W57">
            <v>638396.62</v>
          </cell>
          <cell r="X57">
            <v>542637.13</v>
          </cell>
          <cell r="Y57">
            <v>63839.66</v>
          </cell>
          <cell r="Z57">
            <v>606476.79</v>
          </cell>
          <cell r="AA57">
            <v>31919.83</v>
          </cell>
          <cell r="AB57">
            <v>621896.62</v>
          </cell>
          <cell r="AC57">
            <v>528612.13</v>
          </cell>
          <cell r="AD57">
            <v>62189.66</v>
          </cell>
          <cell r="AE57">
            <v>590801.79</v>
          </cell>
          <cell r="AF57">
            <v>31094.83</v>
          </cell>
          <cell r="AJ57">
            <v>0</v>
          </cell>
          <cell r="AO57">
            <v>0</v>
          </cell>
          <cell r="AQ57">
            <v>0</v>
          </cell>
          <cell r="AR57">
            <v>0</v>
          </cell>
        </row>
        <row r="58">
          <cell r="A58" t="str">
            <v>310011A943</v>
          </cell>
          <cell r="B58">
            <v>1</v>
          </cell>
          <cell r="C58" t="str">
            <v>1.1.1</v>
          </cell>
          <cell r="D58" t="str">
            <v>OPKZP-PO1-SC111-2016-10</v>
          </cell>
          <cell r="E58" t="str">
            <v>odpady</v>
          </cell>
          <cell r="F58" t="str">
            <v>Obec Hruštín</v>
          </cell>
          <cell r="G58" t="str">
            <v>Zberný dvor na separáciu odpadu – obec Hruštín</v>
          </cell>
          <cell r="H58" t="str">
            <v>017</v>
          </cell>
          <cell r="I58" t="str">
            <v>ZA</v>
          </cell>
          <cell r="J58" t="str">
            <v>regionálny</v>
          </cell>
          <cell r="K58" t="str">
            <v>áno</v>
          </cell>
          <cell r="L58" t="str">
            <v>áno</v>
          </cell>
          <cell r="M58">
            <v>42761</v>
          </cell>
          <cell r="N58" t="str">
            <v>Realizácia</v>
          </cell>
          <cell r="P58" t="str">
            <v>https://www.crz.gov.sk/index.php?ID=2785291&amp;l=sk</v>
          </cell>
          <cell r="Q58" t="str">
            <v>https://crp.gov.sk/79829-sk/rozsirenie-a-zintenzivnenie-separovaneho-zberu-v-obci-pucov/</v>
          </cell>
          <cell r="R58" t="str">
            <v>OPKZP-PO1-SC111-2016-10/04</v>
          </cell>
          <cell r="S58">
            <v>0.85</v>
          </cell>
          <cell r="T58">
            <v>0.1</v>
          </cell>
          <cell r="U58">
            <v>0.05</v>
          </cell>
          <cell r="V58" t="str">
            <v>verejné</v>
          </cell>
          <cell r="W58">
            <v>831230.51</v>
          </cell>
          <cell r="X58">
            <v>706545.93</v>
          </cell>
          <cell r="Y58">
            <v>83123.05</v>
          </cell>
          <cell r="Z58">
            <v>789668.9800000001</v>
          </cell>
          <cell r="AA58">
            <v>41561.53</v>
          </cell>
          <cell r="AB58">
            <v>831230.51</v>
          </cell>
          <cell r="AC58">
            <v>706545.93</v>
          </cell>
          <cell r="AD58">
            <v>83123.05</v>
          </cell>
          <cell r="AE58">
            <v>789668.9800000001</v>
          </cell>
          <cell r="AF58">
            <v>41561.53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329646.90000000002</v>
          </cell>
          <cell r="AM58">
            <v>280199.87</v>
          </cell>
          <cell r="AN58">
            <v>32964.68</v>
          </cell>
          <cell r="AO58">
            <v>313164.55</v>
          </cell>
          <cell r="AP58">
            <v>16482.349999999999</v>
          </cell>
          <cell r="AQ58">
            <v>0</v>
          </cell>
          <cell r="AR58">
            <v>0</v>
          </cell>
        </row>
        <row r="59">
          <cell r="A59" t="str">
            <v>310011A950</v>
          </cell>
          <cell r="B59">
            <v>1</v>
          </cell>
          <cell r="C59" t="str">
            <v>1.1.1</v>
          </cell>
          <cell r="D59" t="str">
            <v>OPKZP-PO1-SC111-2016-10</v>
          </cell>
          <cell r="E59" t="str">
            <v>odpady</v>
          </cell>
          <cell r="F59" t="str">
            <v>Obec Bobrov</v>
          </cell>
          <cell r="G59" t="str">
            <v>Separovaný zber komunálneho odpadu v obci Bobrov</v>
          </cell>
          <cell r="H59" t="str">
            <v>017</v>
          </cell>
          <cell r="I59" t="str">
            <v>ZA</v>
          </cell>
          <cell r="J59" t="str">
            <v>regionálny</v>
          </cell>
          <cell r="K59" t="str">
            <v>áno</v>
          </cell>
          <cell r="M59">
            <v>42770</v>
          </cell>
          <cell r="N59" t="str">
            <v>Realizácia</v>
          </cell>
          <cell r="P59" t="str">
            <v>https://www.crz.gov.sk/index.php?ID=2798905&amp;l=sk</v>
          </cell>
          <cell r="Q59" t="str">
            <v>https://crp.gov.sk/separovany-zber-komunalneho-odpadu-v-obci-bobrov/</v>
          </cell>
          <cell r="R59" t="str">
            <v>OPKZP-PO1-SC111-2016-10/05</v>
          </cell>
          <cell r="S59">
            <v>0.85</v>
          </cell>
          <cell r="T59">
            <v>0.1</v>
          </cell>
          <cell r="U59">
            <v>0.05</v>
          </cell>
          <cell r="V59" t="str">
            <v>verejné</v>
          </cell>
          <cell r="W59">
            <v>375133.31</v>
          </cell>
          <cell r="X59">
            <v>318863.31</v>
          </cell>
          <cell r="Y59">
            <v>37513.33</v>
          </cell>
          <cell r="Z59">
            <v>356376.64</v>
          </cell>
          <cell r="AA59">
            <v>18756.669999999998</v>
          </cell>
          <cell r="AB59">
            <v>300103.71000000002</v>
          </cell>
          <cell r="AC59">
            <v>255088.15</v>
          </cell>
          <cell r="AD59">
            <v>30010.37</v>
          </cell>
          <cell r="AE59">
            <v>285098.52</v>
          </cell>
          <cell r="AF59">
            <v>15005.19</v>
          </cell>
          <cell r="AG59">
            <v>214293.36</v>
          </cell>
          <cell r="AH59">
            <v>182149.35599999997</v>
          </cell>
          <cell r="AI59">
            <v>21429.335999999999</v>
          </cell>
          <cell r="AJ59">
            <v>203578.69199999998</v>
          </cell>
          <cell r="AK59">
            <v>10714.668</v>
          </cell>
          <cell r="AL59">
            <v>39406.22</v>
          </cell>
          <cell r="AM59">
            <v>33495.29</v>
          </cell>
          <cell r="AN59">
            <v>3940.62</v>
          </cell>
          <cell r="AO59">
            <v>37435.910000000003</v>
          </cell>
          <cell r="AP59">
            <v>1970.31</v>
          </cell>
          <cell r="AQ59">
            <v>0</v>
          </cell>
          <cell r="AR59">
            <v>0</v>
          </cell>
        </row>
        <row r="60">
          <cell r="A60" t="str">
            <v>310011A990</v>
          </cell>
          <cell r="B60">
            <v>1</v>
          </cell>
          <cell r="C60" t="str">
            <v>1.1.1</v>
          </cell>
          <cell r="D60" t="str">
            <v>OPKZP-PO1-SC111-2016-10</v>
          </cell>
          <cell r="E60" t="str">
            <v>odpady</v>
          </cell>
          <cell r="F60" t="str">
            <v>Obec Strečno</v>
          </cell>
          <cell r="G60" t="str">
            <v>Zberný dvor Strečno</v>
          </cell>
          <cell r="H60" t="str">
            <v>017</v>
          </cell>
          <cell r="I60" t="str">
            <v>ZA</v>
          </cell>
          <cell r="J60" t="str">
            <v>regionálny</v>
          </cell>
          <cell r="K60" t="str">
            <v>áno</v>
          </cell>
          <cell r="L60" t="str">
            <v>áno</v>
          </cell>
          <cell r="M60">
            <v>42761</v>
          </cell>
          <cell r="N60" t="str">
            <v>Realizácia</v>
          </cell>
          <cell r="P60" t="str">
            <v>https://www.crz.gov.sk/index.php?ID=2784831&amp;l=sk</v>
          </cell>
          <cell r="Q60" t="str">
            <v>https://crp.gov.sk/zberny-dvor-strecno/</v>
          </cell>
          <cell r="R60" t="str">
            <v>OPKZP-PO1-SC111-2016-10/06</v>
          </cell>
          <cell r="S60">
            <v>0.85</v>
          </cell>
          <cell r="T60">
            <v>0.1</v>
          </cell>
          <cell r="U60">
            <v>0.05</v>
          </cell>
          <cell r="V60" t="str">
            <v>verejné</v>
          </cell>
          <cell r="W60">
            <v>398685.73</v>
          </cell>
          <cell r="X60">
            <v>338882.87</v>
          </cell>
          <cell r="Y60">
            <v>39868.57</v>
          </cell>
          <cell r="Z60">
            <v>378751.44</v>
          </cell>
          <cell r="AA60">
            <v>19934.29</v>
          </cell>
          <cell r="AB60">
            <v>398685.73</v>
          </cell>
          <cell r="AC60">
            <v>338882.87</v>
          </cell>
          <cell r="AD60">
            <v>39868.57</v>
          </cell>
          <cell r="AE60">
            <v>378751.44</v>
          </cell>
          <cell r="AF60">
            <v>19934.29</v>
          </cell>
          <cell r="AJ60">
            <v>0</v>
          </cell>
          <cell r="AO60">
            <v>0</v>
          </cell>
          <cell r="AQ60">
            <v>0</v>
          </cell>
          <cell r="AR60">
            <v>0</v>
          </cell>
        </row>
        <row r="61">
          <cell r="A61" t="str">
            <v>310011B014</v>
          </cell>
          <cell r="B61">
            <v>1</v>
          </cell>
          <cell r="C61" t="str">
            <v>1.1.1</v>
          </cell>
          <cell r="D61" t="str">
            <v>OPKZP-PO1-SC111-2016-10</v>
          </cell>
          <cell r="E61" t="str">
            <v>odpady</v>
          </cell>
          <cell r="F61" t="str">
            <v>Mesto Poprad</v>
          </cell>
          <cell r="G61" t="str">
            <v>Rozšírenie triedeného zberu biologicky rozložiteľného odpadu (BRKO) v meste Poprad</v>
          </cell>
          <cell r="H61" t="str">
            <v>017</v>
          </cell>
          <cell r="I61" t="str">
            <v>PO</v>
          </cell>
          <cell r="J61" t="str">
            <v>regionálny</v>
          </cell>
          <cell r="K61" t="str">
            <v>áno</v>
          </cell>
          <cell r="L61" t="str">
            <v>áno</v>
          </cell>
          <cell r="M61">
            <v>42770</v>
          </cell>
          <cell r="N61" t="str">
            <v>Realizácia</v>
          </cell>
          <cell r="P61" t="str">
            <v>https://www.crz.gov.sk/index.php?ID=2799247&amp;l=sk</v>
          </cell>
          <cell r="Q61" t="str">
            <v>https://crp.gov.sk/rozsirenie-triedeneho-zberu-biologicky-rozlozitelneho-odpadu-brko-v-meste-poprad/</v>
          </cell>
          <cell r="R61" t="str">
            <v>OPKZP-PO1-SC111-2016-10/07</v>
          </cell>
          <cell r="S61">
            <v>0.85</v>
          </cell>
          <cell r="T61">
            <v>0.1</v>
          </cell>
          <cell r="U61">
            <v>0.05</v>
          </cell>
          <cell r="V61" t="str">
            <v>verejné</v>
          </cell>
          <cell r="W61">
            <v>772388</v>
          </cell>
          <cell r="X61">
            <v>656529.80000000005</v>
          </cell>
          <cell r="Y61">
            <v>77238.8</v>
          </cell>
          <cell r="Z61">
            <v>733768.60000000009</v>
          </cell>
          <cell r="AA61">
            <v>38619.4</v>
          </cell>
          <cell r="AB61">
            <v>772388</v>
          </cell>
          <cell r="AC61">
            <v>656529.80000000005</v>
          </cell>
          <cell r="AD61">
            <v>77238.8</v>
          </cell>
          <cell r="AE61">
            <v>733768.60000000009</v>
          </cell>
          <cell r="AF61">
            <v>38619.4</v>
          </cell>
          <cell r="AJ61">
            <v>0</v>
          </cell>
          <cell r="AO61">
            <v>0</v>
          </cell>
          <cell r="AQ61">
            <v>0</v>
          </cell>
          <cell r="AR61">
            <v>0</v>
          </cell>
        </row>
        <row r="62">
          <cell r="A62" t="str">
            <v>310011B020</v>
          </cell>
          <cell r="B62">
            <v>1</v>
          </cell>
          <cell r="C62" t="str">
            <v>1.1.1</v>
          </cell>
          <cell r="D62" t="str">
            <v>OPKZP-PO1-SC111-2016-10</v>
          </cell>
          <cell r="E62" t="str">
            <v>odpady</v>
          </cell>
          <cell r="F62" t="str">
            <v>obec Bešeňová</v>
          </cell>
          <cell r="G62" t="str">
            <v>Vybudovanie zberného dvora v obci Bešeňová</v>
          </cell>
          <cell r="H62" t="str">
            <v>017</v>
          </cell>
          <cell r="I62" t="str">
            <v>ZA</v>
          </cell>
          <cell r="J62" t="str">
            <v>regionálny</v>
          </cell>
          <cell r="K62" t="str">
            <v>áno</v>
          </cell>
          <cell r="M62">
            <v>42740</v>
          </cell>
          <cell r="N62" t="str">
            <v>Realizácia</v>
          </cell>
          <cell r="P62" t="str">
            <v>https://www.crz.gov.sk/index.php?ID=2761265&amp;l=sk</v>
          </cell>
          <cell r="Q62" t="str">
            <v>https://crp.gov.sk/vybudovanie-zberneho-dvora-v-obci-besenova/</v>
          </cell>
          <cell r="R62" t="str">
            <v>OPKZP-PO1-SC111-2016-10/08</v>
          </cell>
          <cell r="S62">
            <v>0.85</v>
          </cell>
          <cell r="T62">
            <v>0.1</v>
          </cell>
          <cell r="U62">
            <v>0.05</v>
          </cell>
          <cell r="V62" t="str">
            <v>verejné</v>
          </cell>
          <cell r="W62">
            <v>329218.84999999998</v>
          </cell>
          <cell r="X62">
            <v>279836.02</v>
          </cell>
          <cell r="Y62">
            <v>32921.89</v>
          </cell>
          <cell r="Z62">
            <v>312757.91000000003</v>
          </cell>
          <cell r="AA62">
            <v>16460.939999999999</v>
          </cell>
          <cell r="AB62">
            <v>270608.40000000002</v>
          </cell>
          <cell r="AC62">
            <v>230017.14</v>
          </cell>
          <cell r="AD62">
            <v>27060.84</v>
          </cell>
          <cell r="AE62">
            <v>257077.98</v>
          </cell>
          <cell r="AF62">
            <v>13530.42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270489.67000000004</v>
          </cell>
          <cell r="AM62">
            <v>229916.22000000003</v>
          </cell>
          <cell r="AN62">
            <v>27048.949999999997</v>
          </cell>
          <cell r="AO62">
            <v>256965.17000000004</v>
          </cell>
          <cell r="AP62">
            <v>13524.5</v>
          </cell>
          <cell r="AQ62">
            <v>26512.520000000019</v>
          </cell>
          <cell r="AR62">
            <v>22535.640000000014</v>
          </cell>
        </row>
        <row r="63">
          <cell r="A63" t="str">
            <v>310011B031</v>
          </cell>
          <cell r="B63">
            <v>1</v>
          </cell>
          <cell r="C63" t="str">
            <v>1.1.1</v>
          </cell>
          <cell r="D63" t="str">
            <v>OPKZP-PO1-SC111-2016-11</v>
          </cell>
          <cell r="E63" t="str">
            <v>odpady</v>
          </cell>
          <cell r="F63" t="str">
            <v>Mesto Handlová</v>
          </cell>
          <cell r="G63" t="str">
            <v>Kompostáreň Handlová</v>
          </cell>
          <cell r="H63" t="str">
            <v>017</v>
          </cell>
          <cell r="I63" t="str">
            <v>TN</v>
          </cell>
          <cell r="J63" t="str">
            <v>regionálny</v>
          </cell>
          <cell r="K63" t="str">
            <v>áno</v>
          </cell>
          <cell r="M63">
            <v>42741</v>
          </cell>
          <cell r="N63" t="str">
            <v>Realizácia</v>
          </cell>
          <cell r="P63" t="str">
            <v>https://www.crz.gov.sk/index.php?ID=2762403&amp;l=sk</v>
          </cell>
          <cell r="Q63" t="str">
            <v>https://crp.gov.sk/kompostaren-handlova/</v>
          </cell>
          <cell r="R63" t="str">
            <v>OPKZP-PO1-SC111-2016-11/02</v>
          </cell>
          <cell r="S63">
            <v>0.85</v>
          </cell>
          <cell r="T63">
            <v>0.1</v>
          </cell>
          <cell r="U63">
            <v>0.05</v>
          </cell>
          <cell r="V63" t="str">
            <v>verejné</v>
          </cell>
          <cell r="W63">
            <v>905969.32</v>
          </cell>
          <cell r="X63">
            <v>770073.92</v>
          </cell>
          <cell r="Y63">
            <v>90596.93</v>
          </cell>
          <cell r="Z63">
            <v>860670.85000000009</v>
          </cell>
          <cell r="AA63">
            <v>45298.47</v>
          </cell>
          <cell r="AB63">
            <v>905969.32</v>
          </cell>
          <cell r="AC63">
            <v>770073.92</v>
          </cell>
          <cell r="AD63">
            <v>90596.93</v>
          </cell>
          <cell r="AE63">
            <v>860670.85000000009</v>
          </cell>
          <cell r="AF63">
            <v>45298.47</v>
          </cell>
          <cell r="AJ63">
            <v>0</v>
          </cell>
          <cell r="AO63">
            <v>0</v>
          </cell>
          <cell r="AQ63">
            <v>0</v>
          </cell>
          <cell r="AR63">
            <v>0</v>
          </cell>
        </row>
        <row r="64">
          <cell r="A64" t="str">
            <v>310011B032</v>
          </cell>
          <cell r="B64">
            <v>1</v>
          </cell>
          <cell r="C64" t="str">
            <v>1.1.1</v>
          </cell>
          <cell r="D64" t="str">
            <v>OPKZP-PO1-SC111-2016-10</v>
          </cell>
          <cell r="E64" t="str">
            <v>odpady</v>
          </cell>
          <cell r="F64" t="str">
            <v>Obec Klin</v>
          </cell>
          <cell r="G64" t="str">
            <v>Zberný dvor Klin</v>
          </cell>
          <cell r="H64" t="str">
            <v>017</v>
          </cell>
          <cell r="I64" t="str">
            <v>ZA</v>
          </cell>
          <cell r="J64" t="str">
            <v>regionálny</v>
          </cell>
          <cell r="K64" t="str">
            <v>áno</v>
          </cell>
          <cell r="M64">
            <v>42741</v>
          </cell>
          <cell r="N64" t="str">
            <v>Realizácia</v>
          </cell>
          <cell r="P64" t="str">
            <v>https://www.crz.gov.sk/index.php?ID=2762132&amp;l=sk</v>
          </cell>
          <cell r="Q64" t="str">
            <v>https://crp.gov.sk/zberny-dvor-klin/</v>
          </cell>
          <cell r="R64" t="str">
            <v>OPKZP-PO1-SC111-2016-10/09</v>
          </cell>
          <cell r="S64">
            <v>0.85</v>
          </cell>
          <cell r="T64">
            <v>0.1</v>
          </cell>
          <cell r="U64">
            <v>0.05</v>
          </cell>
          <cell r="V64" t="str">
            <v>verejné</v>
          </cell>
          <cell r="W64">
            <v>253230.79</v>
          </cell>
          <cell r="X64">
            <v>215246.17</v>
          </cell>
          <cell r="Y64">
            <v>25323.08</v>
          </cell>
          <cell r="Z64">
            <v>240569.25</v>
          </cell>
          <cell r="AA64">
            <v>12661.54</v>
          </cell>
          <cell r="AB64">
            <v>253230.79</v>
          </cell>
          <cell r="AC64">
            <v>215246.17</v>
          </cell>
          <cell r="AD64">
            <v>25323.08</v>
          </cell>
          <cell r="AE64">
            <v>240569.25</v>
          </cell>
          <cell r="AF64">
            <v>12661.54</v>
          </cell>
          <cell r="AG64">
            <v>6946</v>
          </cell>
          <cell r="AH64">
            <v>5904.0999999999995</v>
          </cell>
          <cell r="AI64">
            <v>694.6</v>
          </cell>
          <cell r="AJ64">
            <v>6598.7</v>
          </cell>
          <cell r="AK64">
            <v>347.3</v>
          </cell>
          <cell r="AL64">
            <v>171690</v>
          </cell>
          <cell r="AM64">
            <v>145936.5</v>
          </cell>
          <cell r="AN64">
            <v>17169</v>
          </cell>
          <cell r="AO64">
            <v>163105.5</v>
          </cell>
          <cell r="AP64">
            <v>8584.5</v>
          </cell>
          <cell r="AQ64">
            <v>165245</v>
          </cell>
          <cell r="AR64">
            <v>140458.25</v>
          </cell>
        </row>
        <row r="65">
          <cell r="A65" t="str">
            <v>310011B039</v>
          </cell>
          <cell r="B65">
            <v>1</v>
          </cell>
          <cell r="C65" t="str">
            <v>1.1.1</v>
          </cell>
          <cell r="D65" t="str">
            <v>OPKZP-PO1-SC111-2016-10</v>
          </cell>
          <cell r="E65" t="str">
            <v>odpady</v>
          </cell>
          <cell r="F65" t="str">
            <v>Obec Dedina Mládeže</v>
          </cell>
          <cell r="G65" t="str">
            <v>Rozšírenie Ekodvora v obci Dedina Mládeže</v>
          </cell>
          <cell r="H65" t="str">
            <v>017</v>
          </cell>
          <cell r="I65" t="str">
            <v>NR</v>
          </cell>
          <cell r="J65" t="str">
            <v>regionálny</v>
          </cell>
          <cell r="K65" t="str">
            <v>áno</v>
          </cell>
          <cell r="M65">
            <v>42741</v>
          </cell>
          <cell r="N65" t="str">
            <v>Aktivity nezačaté</v>
          </cell>
          <cell r="P65" t="str">
            <v>https://www.crz.gov.sk/index.php?ID=2762098&amp;l=sk</v>
          </cell>
          <cell r="Q65" t="str">
            <v>https://crp.gov.sk/rozsirenie-ekodvora-v-obci-dedina-mladeze/</v>
          </cell>
          <cell r="R65" t="str">
            <v>OPKZP-PO1-SC111-2016-10/10</v>
          </cell>
          <cell r="S65">
            <v>0.85</v>
          </cell>
          <cell r="T65">
            <v>0.1</v>
          </cell>
          <cell r="U65">
            <v>0.05</v>
          </cell>
          <cell r="V65" t="str">
            <v>verejné</v>
          </cell>
          <cell r="W65">
            <v>165764.4</v>
          </cell>
          <cell r="X65">
            <v>140899.74</v>
          </cell>
          <cell r="Y65">
            <v>16576.439999999999</v>
          </cell>
          <cell r="Z65">
            <v>157476.18</v>
          </cell>
          <cell r="AA65">
            <v>8288.2199999999993</v>
          </cell>
          <cell r="AB65">
            <v>165764.4</v>
          </cell>
          <cell r="AC65">
            <v>140899.74</v>
          </cell>
          <cell r="AD65">
            <v>16576.439999999999</v>
          </cell>
          <cell r="AE65">
            <v>157476.18</v>
          </cell>
          <cell r="AF65">
            <v>8288.2199999999993</v>
          </cell>
          <cell r="AJ65">
            <v>0</v>
          </cell>
          <cell r="AO65">
            <v>0</v>
          </cell>
          <cell r="AQ65">
            <v>0</v>
          </cell>
          <cell r="AR65">
            <v>0</v>
          </cell>
        </row>
        <row r="66">
          <cell r="A66" t="str">
            <v>310011B052</v>
          </cell>
          <cell r="B66">
            <v>1</v>
          </cell>
          <cell r="C66" t="str">
            <v>1.1.1</v>
          </cell>
          <cell r="D66" t="str">
            <v>OPKZP-PO1-SC111-2016-10</v>
          </cell>
          <cell r="E66" t="str">
            <v>odpady</v>
          </cell>
          <cell r="F66" t="str">
            <v>Obec Trávnica</v>
          </cell>
          <cell r="G66" t="str">
            <v>Separovaný zberný dvor Trávnica</v>
          </cell>
          <cell r="H66" t="str">
            <v>017</v>
          </cell>
          <cell r="I66" t="str">
            <v>NR</v>
          </cell>
          <cell r="J66" t="str">
            <v>regionálny</v>
          </cell>
          <cell r="K66" t="str">
            <v>áno</v>
          </cell>
          <cell r="L66" t="str">
            <v>áno</v>
          </cell>
          <cell r="M66">
            <v>42741</v>
          </cell>
          <cell r="N66" t="str">
            <v>Realizácia</v>
          </cell>
          <cell r="P66" t="str">
            <v>https://www.crz.gov.sk/index.php?ID=2762269&amp;l=sk</v>
          </cell>
          <cell r="Q66" t="str">
            <v>https://crp.gov.sk/separovany-zberny-dvor-travnica/</v>
          </cell>
          <cell r="R66" t="str">
            <v>OPKZP-PO1-SC111-2016-10/11</v>
          </cell>
          <cell r="S66">
            <v>0.85</v>
          </cell>
          <cell r="T66">
            <v>0.1</v>
          </cell>
          <cell r="U66">
            <v>0.05</v>
          </cell>
          <cell r="V66" t="str">
            <v>verejné</v>
          </cell>
          <cell r="W66">
            <v>346864.71</v>
          </cell>
          <cell r="X66">
            <v>294835</v>
          </cell>
          <cell r="Y66">
            <v>34686.47</v>
          </cell>
          <cell r="Z66">
            <v>329521.46999999997</v>
          </cell>
          <cell r="AA66">
            <v>17343.240000000002</v>
          </cell>
          <cell r="AB66">
            <v>346864.71</v>
          </cell>
          <cell r="AC66">
            <v>294835</v>
          </cell>
          <cell r="AD66">
            <v>34686.47</v>
          </cell>
          <cell r="AE66">
            <v>329521.46999999997</v>
          </cell>
          <cell r="AF66">
            <v>17343.240000000002</v>
          </cell>
          <cell r="AJ66">
            <v>0</v>
          </cell>
          <cell r="AO66">
            <v>0</v>
          </cell>
          <cell r="AQ66">
            <v>0</v>
          </cell>
          <cell r="AR66">
            <v>0</v>
          </cell>
        </row>
        <row r="67">
          <cell r="A67" t="str">
            <v>310011B064</v>
          </cell>
          <cell r="B67">
            <v>1</v>
          </cell>
          <cell r="C67" t="str">
            <v>1.1.1</v>
          </cell>
          <cell r="D67" t="str">
            <v>OPKZP-PO1-SC111-2016-11</v>
          </cell>
          <cell r="E67" t="str">
            <v>odpady</v>
          </cell>
          <cell r="F67" t="str">
            <v>Mesto Kremnica</v>
          </cell>
          <cell r="G67" t="str">
            <v>Technické vybavenie kompostoviska v meste Kremnica</v>
          </cell>
          <cell r="H67" t="str">
            <v>017</v>
          </cell>
          <cell r="I67" t="str">
            <v>BB</v>
          </cell>
          <cell r="J67" t="str">
            <v>regionálny</v>
          </cell>
          <cell r="K67" t="str">
            <v>áno</v>
          </cell>
          <cell r="M67">
            <v>42740</v>
          </cell>
          <cell r="N67" t="str">
            <v>Realizácia</v>
          </cell>
          <cell r="P67" t="str">
            <v>https://www.crz.gov.sk/index.php?ID=2760429&amp;l=sk</v>
          </cell>
          <cell r="Q67" t="str">
            <v>https://crp.gov.sk/technicke-vybavenie-kompostoviska-v-meste-kremnica/</v>
          </cell>
          <cell r="R67" t="str">
            <v>OPKZP-PO1-SC111-2016-11/03</v>
          </cell>
          <cell r="S67">
            <v>0.85</v>
          </cell>
          <cell r="T67">
            <v>0.1</v>
          </cell>
          <cell r="U67">
            <v>0.05</v>
          </cell>
          <cell r="V67" t="str">
            <v>verejné</v>
          </cell>
          <cell r="W67">
            <v>574980</v>
          </cell>
          <cell r="X67">
            <v>488733</v>
          </cell>
          <cell r="Y67">
            <v>57498</v>
          </cell>
          <cell r="Z67">
            <v>546231</v>
          </cell>
          <cell r="AA67">
            <v>28749</v>
          </cell>
          <cell r="AB67">
            <v>574980</v>
          </cell>
          <cell r="AC67">
            <v>488733</v>
          </cell>
          <cell r="AD67">
            <v>57498</v>
          </cell>
          <cell r="AE67">
            <v>546231</v>
          </cell>
          <cell r="AF67">
            <v>28749</v>
          </cell>
          <cell r="AJ67">
            <v>0</v>
          </cell>
          <cell r="AO67">
            <v>0</v>
          </cell>
          <cell r="AQ67">
            <v>0</v>
          </cell>
          <cell r="AR67">
            <v>0</v>
          </cell>
        </row>
        <row r="68">
          <cell r="A68" t="str">
            <v>310011B068</v>
          </cell>
          <cell r="B68">
            <v>1</v>
          </cell>
          <cell r="C68" t="str">
            <v>1.1.1</v>
          </cell>
          <cell r="D68" t="str">
            <v>OPKZP-PO1-SC111-2016-10</v>
          </cell>
          <cell r="E68" t="str">
            <v>odpady</v>
          </cell>
          <cell r="F68" t="str">
            <v>Obec Horné Srnie</v>
          </cell>
          <cell r="G68" t="str">
            <v>Intenzifikácia triedeného zberu komunálneho odpadu v obci Horné Srnie</v>
          </cell>
          <cell r="H68" t="str">
            <v>017</v>
          </cell>
          <cell r="I68" t="str">
            <v>TN</v>
          </cell>
          <cell r="J68" t="str">
            <v>regionálny</v>
          </cell>
          <cell r="K68" t="str">
            <v>áno</v>
          </cell>
          <cell r="L68" t="str">
            <v>áno</v>
          </cell>
          <cell r="M68">
            <v>42754</v>
          </cell>
          <cell r="N68" t="str">
            <v>Realizácia</v>
          </cell>
          <cell r="P68" t="str">
            <v>https://www.crz.gov.sk/index.php?ID=2776048&amp;l=sk</v>
          </cell>
          <cell r="Q68" t="str">
            <v>https://crp.gov.sk/intenzifikacia-triedeneho-zberu-komunalneho-odpadu-v-obci-horne-srnie/</v>
          </cell>
          <cell r="R68" t="str">
            <v>OPKZP-PO1-SC111-2016-10/12</v>
          </cell>
          <cell r="S68">
            <v>0.85</v>
          </cell>
          <cell r="T68">
            <v>0.1</v>
          </cell>
          <cell r="U68">
            <v>0.05</v>
          </cell>
          <cell r="V68" t="str">
            <v>verejné</v>
          </cell>
          <cell r="W68">
            <v>394328.11</v>
          </cell>
          <cell r="X68">
            <v>335178.89</v>
          </cell>
          <cell r="Y68">
            <v>39432.81</v>
          </cell>
          <cell r="Z68">
            <v>374611.7</v>
          </cell>
          <cell r="AA68">
            <v>19716.41</v>
          </cell>
          <cell r="AB68">
            <v>394328.11</v>
          </cell>
          <cell r="AC68">
            <v>335178.89</v>
          </cell>
          <cell r="AD68">
            <v>39432.81</v>
          </cell>
          <cell r="AE68">
            <v>374611.7</v>
          </cell>
          <cell r="AF68">
            <v>19716.41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O68">
            <v>0</v>
          </cell>
          <cell r="AQ68">
            <v>0</v>
          </cell>
          <cell r="AR68">
            <v>0</v>
          </cell>
        </row>
        <row r="69">
          <cell r="A69" t="str">
            <v>310011B071</v>
          </cell>
          <cell r="B69">
            <v>1</v>
          </cell>
          <cell r="C69" t="str">
            <v>1.1.1</v>
          </cell>
          <cell r="D69" t="str">
            <v>OPKZP-PO1-SC111-2016-10</v>
          </cell>
          <cell r="E69" t="str">
            <v>odpady</v>
          </cell>
          <cell r="F69" t="str">
            <v>Obec Hliník nad Hronom</v>
          </cell>
          <cell r="G69" t="str">
            <v>Zberný dvor – Hliník nad Hronom</v>
          </cell>
          <cell r="H69" t="str">
            <v>017</v>
          </cell>
          <cell r="I69" t="str">
            <v>BB</v>
          </cell>
          <cell r="J69" t="str">
            <v>regionálny</v>
          </cell>
          <cell r="K69" t="str">
            <v>áno</v>
          </cell>
          <cell r="M69">
            <v>42740</v>
          </cell>
          <cell r="N69" t="str">
            <v>Aktivity nezačaté</v>
          </cell>
          <cell r="P69" t="str">
            <v>https://www.crz.gov.sk/index.php?ID=2761002&amp;l=sk</v>
          </cell>
          <cell r="Q69" t="str">
            <v>https://crp.gov.sk/zberny-dvor-%E2%80%93-hlinik-nad-hronom/</v>
          </cell>
          <cell r="R69" t="str">
            <v>OPKZP-PO1-SC111-2016-10/13</v>
          </cell>
          <cell r="S69">
            <v>0.85</v>
          </cell>
          <cell r="T69">
            <v>0.1</v>
          </cell>
          <cell r="U69">
            <v>0.05</v>
          </cell>
          <cell r="V69" t="str">
            <v>verejné</v>
          </cell>
          <cell r="W69">
            <v>394159.2</v>
          </cell>
          <cell r="X69">
            <v>335035.32</v>
          </cell>
          <cell r="Y69">
            <v>39415.919999999998</v>
          </cell>
          <cell r="Z69">
            <v>374451.24</v>
          </cell>
          <cell r="AA69">
            <v>19707.96</v>
          </cell>
          <cell r="AB69">
            <v>394159.2</v>
          </cell>
          <cell r="AC69">
            <v>335035.32</v>
          </cell>
          <cell r="AD69">
            <v>39415.919999999998</v>
          </cell>
          <cell r="AE69">
            <v>374451.24</v>
          </cell>
          <cell r="AF69">
            <v>19707.96</v>
          </cell>
          <cell r="AJ69">
            <v>0</v>
          </cell>
          <cell r="AO69">
            <v>0</v>
          </cell>
          <cell r="AQ69">
            <v>0</v>
          </cell>
          <cell r="AR69">
            <v>0</v>
          </cell>
        </row>
        <row r="70">
          <cell r="A70" t="str">
            <v>310011B079</v>
          </cell>
          <cell r="B70">
            <v>1</v>
          </cell>
          <cell r="C70" t="str">
            <v>1.1.1</v>
          </cell>
          <cell r="D70" t="str">
            <v>OPKZP-PO1-SC111-2016-10</v>
          </cell>
          <cell r="E70" t="str">
            <v>odpady</v>
          </cell>
          <cell r="F70" t="str">
            <v>Obec Trenčianske Stankovce</v>
          </cell>
          <cell r="G70" t="str">
            <v>Posilnenie technických kapacít pre zber triedeného komunálneho odpadu v obci Trenčianske Stankovce</v>
          </cell>
          <cell r="H70" t="str">
            <v>017</v>
          </cell>
          <cell r="I70" t="str">
            <v>TN</v>
          </cell>
          <cell r="J70" t="str">
            <v>regionálny</v>
          </cell>
          <cell r="K70" t="str">
            <v>áno</v>
          </cell>
          <cell r="M70">
            <v>42748</v>
          </cell>
          <cell r="N70" t="str">
            <v>Realizácia</v>
          </cell>
          <cell r="P70" t="str">
            <v>https://www.crz.gov.sk/index.php?ID=2769267&amp;l=sk</v>
          </cell>
          <cell r="Q70" t="str">
            <v>https://crp.gov.sk/posilnenie-technickych-kapacit-pre-zber-triedeneho-komunalneho-odpadu-v-obci-trencianske-stankovce/</v>
          </cell>
          <cell r="R70" t="str">
            <v>OPKZP-PO1-SC111-2016-10/14</v>
          </cell>
          <cell r="S70">
            <v>0.85</v>
          </cell>
          <cell r="T70">
            <v>0.1</v>
          </cell>
          <cell r="U70">
            <v>0.05</v>
          </cell>
          <cell r="V70" t="str">
            <v>verejné</v>
          </cell>
          <cell r="W70">
            <v>362352</v>
          </cell>
          <cell r="X70">
            <v>307999.2</v>
          </cell>
          <cell r="Y70">
            <v>36235.199999999997</v>
          </cell>
          <cell r="Z70">
            <v>344234.4</v>
          </cell>
          <cell r="AA70">
            <v>18117.599999999999</v>
          </cell>
          <cell r="AB70">
            <v>362352</v>
          </cell>
          <cell r="AC70">
            <v>307999.2</v>
          </cell>
          <cell r="AD70">
            <v>36235.199999999997</v>
          </cell>
          <cell r="AE70">
            <v>344234.4</v>
          </cell>
          <cell r="AF70">
            <v>18117.599999999999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337940</v>
          </cell>
          <cell r="AM70">
            <v>287249</v>
          </cell>
          <cell r="AN70">
            <v>33794</v>
          </cell>
          <cell r="AO70">
            <v>321043</v>
          </cell>
          <cell r="AP70">
            <v>16897</v>
          </cell>
          <cell r="AQ70">
            <v>0</v>
          </cell>
          <cell r="AR70">
            <v>0</v>
          </cell>
        </row>
        <row r="71">
          <cell r="A71" t="str">
            <v>310011B080</v>
          </cell>
          <cell r="B71">
            <v>1</v>
          </cell>
          <cell r="C71" t="str">
            <v>1.1.1</v>
          </cell>
          <cell r="D71" t="str">
            <v>OPKZP-PO1-SC111-2016-10</v>
          </cell>
          <cell r="E71" t="str">
            <v>odpady</v>
          </cell>
          <cell r="F71" t="str">
            <v>Obec Dlhá nad Oravou</v>
          </cell>
          <cell r="G71" t="str">
            <v>Zberný dvor v obci Dlhá nad Oravou</v>
          </cell>
          <cell r="H71" t="str">
            <v>017</v>
          </cell>
          <cell r="I71" t="str">
            <v>ZA</v>
          </cell>
          <cell r="J71" t="str">
            <v>regionálny</v>
          </cell>
          <cell r="K71" t="str">
            <v>áno</v>
          </cell>
          <cell r="M71">
            <v>42770</v>
          </cell>
          <cell r="N71" t="str">
            <v>Realizácia</v>
          </cell>
          <cell r="P71" t="str">
            <v>https://www.crz.gov.sk/index.php?ID=2799277&amp;l=sk</v>
          </cell>
          <cell r="Q71" t="str">
            <v>https://crp.gov.sk/zberny-dvor-v-obci-dlha-nad-oravou/</v>
          </cell>
          <cell r="R71" t="str">
            <v>OPKZP-PO1-SC111-2016-10/15</v>
          </cell>
          <cell r="S71">
            <v>0.85</v>
          </cell>
          <cell r="T71">
            <v>0.1</v>
          </cell>
          <cell r="U71">
            <v>0.05</v>
          </cell>
          <cell r="V71" t="str">
            <v>verejné</v>
          </cell>
          <cell r="W71">
            <v>429656.6</v>
          </cell>
          <cell r="X71">
            <v>365208.11</v>
          </cell>
          <cell r="Y71">
            <v>42965.66</v>
          </cell>
          <cell r="Z71">
            <v>408173.77</v>
          </cell>
          <cell r="AA71">
            <v>21482.83</v>
          </cell>
          <cell r="AB71">
            <v>429656.6</v>
          </cell>
          <cell r="AC71">
            <v>365208.11</v>
          </cell>
          <cell r="AD71">
            <v>42965.66</v>
          </cell>
          <cell r="AE71">
            <v>408173.77</v>
          </cell>
          <cell r="AF71">
            <v>21482.83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124210.8</v>
          </cell>
          <cell r="AM71">
            <v>105579.18</v>
          </cell>
          <cell r="AN71">
            <v>12421.08</v>
          </cell>
          <cell r="AO71">
            <v>118000.26</v>
          </cell>
          <cell r="AP71">
            <v>6210.54</v>
          </cell>
          <cell r="AQ71">
            <v>124210.8</v>
          </cell>
          <cell r="AR71">
            <v>105579.18</v>
          </cell>
        </row>
        <row r="72">
          <cell r="A72" t="str">
            <v>310011B082</v>
          </cell>
          <cell r="B72">
            <v>1</v>
          </cell>
          <cell r="C72" t="str">
            <v>1.1.1</v>
          </cell>
          <cell r="D72" t="str">
            <v>OPKZP-PO1-SC111-2016-10</v>
          </cell>
          <cell r="E72" t="str">
            <v>odpady</v>
          </cell>
          <cell r="F72" t="str">
            <v>Obec Dolná Streda</v>
          </cell>
          <cell r="G72" t="str">
            <v>Zberný dvor v obci Dolná Streda</v>
          </cell>
          <cell r="H72" t="str">
            <v>017</v>
          </cell>
          <cell r="I72" t="str">
            <v>TT</v>
          </cell>
          <cell r="J72" t="str">
            <v>regionálny</v>
          </cell>
          <cell r="K72" t="str">
            <v>áno</v>
          </cell>
          <cell r="M72">
            <v>42740</v>
          </cell>
          <cell r="N72" t="str">
            <v>Aktivity nezačaté</v>
          </cell>
          <cell r="P72" t="str">
            <v>https://www.crz.gov.sk/index.php?ID=2760951&amp;l=sk</v>
          </cell>
          <cell r="Q72" t="str">
            <v>https://crp.gov.sk/zberny-dvor-v-obci-dolna-streda/</v>
          </cell>
          <cell r="R72" t="str">
            <v>OPKZP-PO1-SC111-2016-10/16</v>
          </cell>
          <cell r="S72">
            <v>0.85</v>
          </cell>
          <cell r="T72">
            <v>0.1</v>
          </cell>
          <cell r="U72">
            <v>0.05</v>
          </cell>
          <cell r="V72" t="str">
            <v>verejné</v>
          </cell>
          <cell r="W72">
            <v>794123.94</v>
          </cell>
          <cell r="X72">
            <v>675005.35</v>
          </cell>
          <cell r="Y72">
            <v>79412.39</v>
          </cell>
          <cell r="Z72">
            <v>754417.74</v>
          </cell>
          <cell r="AA72">
            <v>39706.199999999997</v>
          </cell>
          <cell r="AB72">
            <v>794123.94</v>
          </cell>
          <cell r="AC72">
            <v>675005.35</v>
          </cell>
          <cell r="AD72">
            <v>79412.39</v>
          </cell>
          <cell r="AE72">
            <v>754417.74</v>
          </cell>
          <cell r="AF72">
            <v>39706.199999999997</v>
          </cell>
          <cell r="AJ72">
            <v>0</v>
          </cell>
          <cell r="AO72">
            <v>0</v>
          </cell>
          <cell r="AQ72">
            <v>0</v>
          </cell>
          <cell r="AR72">
            <v>0</v>
          </cell>
        </row>
        <row r="73">
          <cell r="A73" t="str">
            <v>310011B097</v>
          </cell>
          <cell r="B73">
            <v>1</v>
          </cell>
          <cell r="C73" t="str">
            <v>1.1.1</v>
          </cell>
          <cell r="D73" t="str">
            <v>OPKZP-PO1-SC111-2016-11</v>
          </cell>
          <cell r="E73" t="str">
            <v>odpady</v>
          </cell>
          <cell r="F73" t="str">
            <v>Mesto Kysucké Nové Mesto</v>
          </cell>
          <cell r="G73" t="str">
            <v>Zhodnocovanie biologicky rozložiteľných odpadov Kysucké Nové Mesto</v>
          </cell>
          <cell r="H73" t="str">
            <v>017</v>
          </cell>
          <cell r="I73" t="str">
            <v>ZA</v>
          </cell>
          <cell r="J73" t="str">
            <v>regionálny</v>
          </cell>
          <cell r="K73" t="str">
            <v>áno</v>
          </cell>
          <cell r="M73">
            <v>42740</v>
          </cell>
          <cell r="N73" t="str">
            <v>Aktivity nezačaté</v>
          </cell>
          <cell r="P73" t="str">
            <v>https://www.crz.gov.sk/index.php?ID=2760394&amp;l=sk</v>
          </cell>
          <cell r="Q73" t="str">
            <v>https://crp.gov.sk/zhodnocovanie-biologicky-rozlozitelneho-odpadu-kysucke-nove-mesto/</v>
          </cell>
          <cell r="R73" t="str">
            <v>OPKZP-PO1-SC111-2016-11/04</v>
          </cell>
          <cell r="S73">
            <v>0.85</v>
          </cell>
          <cell r="T73">
            <v>0.1</v>
          </cell>
          <cell r="U73">
            <v>0.05</v>
          </cell>
          <cell r="V73" t="str">
            <v>verejné</v>
          </cell>
          <cell r="W73">
            <v>2232339.4300000002</v>
          </cell>
          <cell r="X73">
            <v>1897488.52</v>
          </cell>
          <cell r="Y73">
            <v>223233.94</v>
          </cell>
          <cell r="Z73">
            <v>2120722.46</v>
          </cell>
          <cell r="AA73">
            <v>111616.97</v>
          </cell>
          <cell r="AB73">
            <v>2232339.4300000002</v>
          </cell>
          <cell r="AC73">
            <v>1897488.52</v>
          </cell>
          <cell r="AD73">
            <v>223233.94</v>
          </cell>
          <cell r="AE73">
            <v>2120722.46</v>
          </cell>
          <cell r="AF73">
            <v>111616.97</v>
          </cell>
          <cell r="AJ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A74" t="str">
            <v>310011B107</v>
          </cell>
          <cell r="B74">
            <v>1</v>
          </cell>
          <cell r="C74" t="str">
            <v>1.1.1</v>
          </cell>
          <cell r="D74" t="str">
            <v>OPKZP-PO1-SC111-2016-11</v>
          </cell>
          <cell r="E74" t="str">
            <v>odpady</v>
          </cell>
          <cell r="F74" t="str">
            <v>Obec Čierny Balog</v>
          </cell>
          <cell r="G74" t="str">
            <v>Kompostovisko Čierny Balog</v>
          </cell>
          <cell r="H74" t="str">
            <v>017</v>
          </cell>
          <cell r="I74" t="str">
            <v>BB</v>
          </cell>
          <cell r="J74" t="str">
            <v>regionálny</v>
          </cell>
          <cell r="K74" t="str">
            <v>áno</v>
          </cell>
          <cell r="M74">
            <v>42740</v>
          </cell>
          <cell r="N74" t="str">
            <v>Realizácia</v>
          </cell>
          <cell r="P74" t="str">
            <v>https://www.crz.gov.sk/index.php?ID=2761060&amp;l=sk</v>
          </cell>
          <cell r="Q74" t="str">
            <v>https://crp.gov.sk/kompostovisko-cierny-balog/</v>
          </cell>
          <cell r="R74" t="str">
            <v>OPKZP-PO1-SC111-2016-11/05</v>
          </cell>
          <cell r="S74">
            <v>0.85</v>
          </cell>
          <cell r="T74">
            <v>0.1</v>
          </cell>
          <cell r="U74">
            <v>0.05</v>
          </cell>
          <cell r="V74" t="str">
            <v>verejné</v>
          </cell>
          <cell r="W74">
            <v>781724.57</v>
          </cell>
          <cell r="X74">
            <v>664465.88</v>
          </cell>
          <cell r="Y74">
            <v>78172.460000000006</v>
          </cell>
          <cell r="Z74">
            <v>742638.34</v>
          </cell>
          <cell r="AA74">
            <v>39086.230000000003</v>
          </cell>
          <cell r="AB74">
            <v>781724.57</v>
          </cell>
          <cell r="AC74">
            <v>664465.88</v>
          </cell>
          <cell r="AD74">
            <v>78172.460000000006</v>
          </cell>
          <cell r="AE74">
            <v>742638.34</v>
          </cell>
          <cell r="AF74">
            <v>39086.230000000003</v>
          </cell>
          <cell r="AG74">
            <v>81810.38</v>
          </cell>
          <cell r="AH74">
            <v>69538.823000000004</v>
          </cell>
          <cell r="AI74">
            <v>8181.0380000000005</v>
          </cell>
          <cell r="AJ74">
            <v>77719.861000000004</v>
          </cell>
          <cell r="AK74">
            <v>4090.5190000000002</v>
          </cell>
          <cell r="AO74">
            <v>0</v>
          </cell>
          <cell r="AQ74">
            <v>0</v>
          </cell>
          <cell r="AR74">
            <v>0</v>
          </cell>
        </row>
        <row r="75">
          <cell r="A75" t="str">
            <v>310011B108</v>
          </cell>
          <cell r="B75">
            <v>1</v>
          </cell>
          <cell r="C75" t="str">
            <v>1.1.1</v>
          </cell>
          <cell r="D75" t="str">
            <v>OPKZP-PO1-SC111-2016-11</v>
          </cell>
          <cell r="E75" t="str">
            <v>odpady</v>
          </cell>
          <cell r="F75" t="str">
            <v>Mesto Kolárovo</v>
          </cell>
          <cell r="G75" t="str">
            <v>Zber a zhodnotenie BRKO v meste Kolárovo</v>
          </cell>
          <cell r="H75" t="str">
            <v>017</v>
          </cell>
          <cell r="I75" t="str">
            <v>NR</v>
          </cell>
          <cell r="J75" t="str">
            <v>regionálny</v>
          </cell>
          <cell r="K75" t="str">
            <v>áno</v>
          </cell>
          <cell r="M75">
            <v>42740</v>
          </cell>
          <cell r="N75" t="str">
            <v>Realizácia</v>
          </cell>
          <cell r="P75" t="str">
            <v>https://www.crz.gov.sk/index.php?ID=2760750&amp;l=sk</v>
          </cell>
          <cell r="Q75" t="str">
            <v>https://crp.gov.sk/zber-a-zhodnotenie-brko-v-meste-kolarovo/</v>
          </cell>
          <cell r="R75" t="str">
            <v xml:space="preserve"> OPKZP-PO1-SC111-2016-11/06</v>
          </cell>
          <cell r="S75">
            <v>0.85</v>
          </cell>
          <cell r="T75">
            <v>0.1</v>
          </cell>
          <cell r="U75">
            <v>0.05</v>
          </cell>
          <cell r="V75" t="str">
            <v>verejné</v>
          </cell>
          <cell r="W75">
            <v>989326.74</v>
          </cell>
          <cell r="X75">
            <v>840927.73</v>
          </cell>
          <cell r="Y75">
            <v>98932.67</v>
          </cell>
          <cell r="Z75">
            <v>939860.4</v>
          </cell>
          <cell r="AA75">
            <v>49466.34</v>
          </cell>
          <cell r="AB75">
            <v>989326.74</v>
          </cell>
          <cell r="AC75">
            <v>840927.73</v>
          </cell>
          <cell r="AD75">
            <v>98932.67</v>
          </cell>
          <cell r="AE75">
            <v>939860.4</v>
          </cell>
          <cell r="AF75">
            <v>49466.34</v>
          </cell>
          <cell r="AJ75">
            <v>0</v>
          </cell>
          <cell r="AO75">
            <v>0</v>
          </cell>
          <cell r="AQ75">
            <v>0</v>
          </cell>
          <cell r="AR75">
            <v>0</v>
          </cell>
        </row>
        <row r="76">
          <cell r="A76" t="str">
            <v>310011B110</v>
          </cell>
          <cell r="B76">
            <v>1</v>
          </cell>
          <cell r="C76" t="str">
            <v>1.1.1</v>
          </cell>
          <cell r="D76" t="str">
            <v>OPKZP-PO1-SC111-2016-11</v>
          </cell>
          <cell r="E76" t="str">
            <v>odpady</v>
          </cell>
          <cell r="F76" t="str">
            <v>Mesto Fiľakovo</v>
          </cell>
          <cell r="G76" t="str">
            <v>Kompostáreň mesta Fiľakovo - rozvoj odpadového hospodárstva II. etapa</v>
          </cell>
          <cell r="H76" t="str">
            <v>017</v>
          </cell>
          <cell r="I76" t="str">
            <v>BB</v>
          </cell>
          <cell r="J76" t="str">
            <v>regionálny</v>
          </cell>
          <cell r="K76" t="str">
            <v>áno</v>
          </cell>
          <cell r="M76">
            <v>42727</v>
          </cell>
          <cell r="N76" t="str">
            <v>Realizácia</v>
          </cell>
          <cell r="P76" t="str">
            <v>https://www.crz.gov.sk/index.php?ID=2746289&amp;l=sk</v>
          </cell>
          <cell r="Q76" t="str">
            <v>https://crp.gov.sk/kompostaren-mesta-filakovo-rozvoj-odpadoveho-hospodarstva-ii-etapa/</v>
          </cell>
          <cell r="R76" t="str">
            <v>OPKZP-PO1-SC111-2016-11/07</v>
          </cell>
          <cell r="S76">
            <v>0.85</v>
          </cell>
          <cell r="T76">
            <v>0.1</v>
          </cell>
          <cell r="U76">
            <v>0.05</v>
          </cell>
          <cell r="V76" t="str">
            <v>verejné</v>
          </cell>
          <cell r="W76">
            <v>312375.28999999998</v>
          </cell>
          <cell r="X76">
            <v>265519</v>
          </cell>
          <cell r="Y76">
            <v>31237.53</v>
          </cell>
          <cell r="Z76">
            <v>296756.53000000003</v>
          </cell>
          <cell r="AA76">
            <v>15618.76</v>
          </cell>
          <cell r="AB76">
            <v>312375.28999999998</v>
          </cell>
          <cell r="AC76">
            <v>265519</v>
          </cell>
          <cell r="AD76">
            <v>31237.53</v>
          </cell>
          <cell r="AE76">
            <v>296756.53000000003</v>
          </cell>
          <cell r="AF76">
            <v>15618.76</v>
          </cell>
          <cell r="AG76">
            <v>42900</v>
          </cell>
          <cell r="AH76">
            <v>36465</v>
          </cell>
          <cell r="AI76">
            <v>4290</v>
          </cell>
          <cell r="AJ76">
            <v>40755</v>
          </cell>
          <cell r="AK76">
            <v>2145</v>
          </cell>
          <cell r="AL76">
            <v>100099.56</v>
          </cell>
          <cell r="AM76">
            <v>85084.63</v>
          </cell>
          <cell r="AN76">
            <v>10009.950000000001</v>
          </cell>
          <cell r="AO76">
            <v>95094.58</v>
          </cell>
          <cell r="AP76">
            <v>5004.9799999999996</v>
          </cell>
          <cell r="AQ76">
            <v>0</v>
          </cell>
          <cell r="AR76">
            <v>0</v>
          </cell>
        </row>
        <row r="77">
          <cell r="A77" t="str">
            <v>310011B121</v>
          </cell>
          <cell r="B77">
            <v>1</v>
          </cell>
          <cell r="C77" t="str">
            <v>1.1.1</v>
          </cell>
          <cell r="D77" t="str">
            <v>OPKZP-PO1-SC111-2016-10</v>
          </cell>
          <cell r="E77" t="str">
            <v>odpady</v>
          </cell>
          <cell r="F77" t="str">
            <v>Obec Brestovany</v>
          </cell>
          <cell r="G77" t="str">
            <v>Dobudovanie infraštruktúry odpadového hospodárstva v obci Brestovany</v>
          </cell>
          <cell r="H77" t="str">
            <v>017</v>
          </cell>
          <cell r="I77" t="str">
            <v>TT</v>
          </cell>
          <cell r="J77" t="str">
            <v>regionálny</v>
          </cell>
          <cell r="K77" t="str">
            <v>áno</v>
          </cell>
          <cell r="M77">
            <v>42773</v>
          </cell>
          <cell r="N77" t="str">
            <v>Realizácia</v>
          </cell>
          <cell r="P77" t="str">
            <v xml:space="preserve">https://www.crz.gov.sk/index.php?ID=2800971&amp;l=sk </v>
          </cell>
          <cell r="Q77" t="str">
            <v xml:space="preserve">https://crp.gov.sk/dobudovanie-infrastruktury-odpadoveho-hospodarstva-v-obci-brestovany/ </v>
          </cell>
          <cell r="R77" t="str">
            <v>OPKZP-PO1-SC111-2016-10/17</v>
          </cell>
          <cell r="S77">
            <v>0.85</v>
          </cell>
          <cell r="T77">
            <v>0.1</v>
          </cell>
          <cell r="U77">
            <v>0.05</v>
          </cell>
          <cell r="V77" t="str">
            <v>verejné</v>
          </cell>
          <cell r="W77">
            <v>442649.22</v>
          </cell>
          <cell r="X77">
            <v>376251.84</v>
          </cell>
          <cell r="Y77">
            <v>44264.92</v>
          </cell>
          <cell r="Z77">
            <v>420516.76</v>
          </cell>
          <cell r="AA77">
            <v>22132.46</v>
          </cell>
          <cell r="AB77">
            <v>442649.22</v>
          </cell>
          <cell r="AC77">
            <v>376251.84</v>
          </cell>
          <cell r="AD77">
            <v>44264.92</v>
          </cell>
          <cell r="AE77">
            <v>420516.76</v>
          </cell>
          <cell r="AF77">
            <v>22132.46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72806.7</v>
          </cell>
          <cell r="AM77">
            <v>61885.7</v>
          </cell>
          <cell r="AN77">
            <v>7280.66</v>
          </cell>
          <cell r="AO77">
            <v>69166.36</v>
          </cell>
          <cell r="AP77">
            <v>3640.34</v>
          </cell>
          <cell r="AQ77">
            <v>72806.7</v>
          </cell>
          <cell r="AR77">
            <v>61885.7</v>
          </cell>
        </row>
        <row r="78">
          <cell r="A78" t="str">
            <v>310011B127</v>
          </cell>
          <cell r="B78">
            <v>1</v>
          </cell>
          <cell r="C78" t="str">
            <v>1.1.1</v>
          </cell>
          <cell r="D78" t="str">
            <v>OPKZP-PO1-SC111-2016-10</v>
          </cell>
          <cell r="E78" t="str">
            <v>odpady</v>
          </cell>
          <cell r="F78" t="str">
            <v>Obec Červeník</v>
          </cell>
          <cell r="G78" t="str">
            <v>Triedený zber komunálnych odpadov v obci Červeník</v>
          </cell>
          <cell r="H78" t="str">
            <v>017</v>
          </cell>
          <cell r="I78" t="str">
            <v>TT</v>
          </cell>
          <cell r="J78" t="str">
            <v>regionálny</v>
          </cell>
          <cell r="K78" t="str">
            <v>áno</v>
          </cell>
          <cell r="M78">
            <v>42741</v>
          </cell>
          <cell r="N78" t="str">
            <v>Realizácia</v>
          </cell>
          <cell r="P78" t="str">
            <v>https://www.crz.gov.sk/index.php?ID=2762692&amp;l=sk</v>
          </cell>
          <cell r="Q78" t="str">
            <v>https://crp.gov.sk/triedeny-zber-komunalnych-odpadov-v-obci-cervenik/</v>
          </cell>
          <cell r="R78" t="str">
            <v>OPKZP-PO1-SC111-2016-10/18</v>
          </cell>
          <cell r="S78">
            <v>0.85</v>
          </cell>
          <cell r="T78">
            <v>0.1</v>
          </cell>
          <cell r="U78">
            <v>0.05</v>
          </cell>
          <cell r="V78" t="str">
            <v>verejné</v>
          </cell>
          <cell r="W78">
            <v>261552</v>
          </cell>
          <cell r="X78">
            <v>222319.2</v>
          </cell>
          <cell r="Y78">
            <v>26155.200000000001</v>
          </cell>
          <cell r="Z78">
            <v>248474.40000000002</v>
          </cell>
          <cell r="AA78">
            <v>13077.6</v>
          </cell>
          <cell r="AB78">
            <v>249696</v>
          </cell>
          <cell r="AC78">
            <v>212241.6</v>
          </cell>
          <cell r="AD78">
            <v>24969.599999999999</v>
          </cell>
          <cell r="AE78">
            <v>237211.2</v>
          </cell>
          <cell r="AF78">
            <v>12484.8</v>
          </cell>
          <cell r="AG78">
            <v>233400</v>
          </cell>
          <cell r="AH78">
            <v>198390</v>
          </cell>
          <cell r="AI78">
            <v>23340</v>
          </cell>
          <cell r="AJ78">
            <v>221730</v>
          </cell>
          <cell r="AK78">
            <v>11670</v>
          </cell>
          <cell r="AO78">
            <v>0</v>
          </cell>
          <cell r="AQ78">
            <v>0</v>
          </cell>
          <cell r="AR78">
            <v>0</v>
          </cell>
        </row>
        <row r="79">
          <cell r="A79" t="str">
            <v>310011B131</v>
          </cell>
          <cell r="B79">
            <v>1</v>
          </cell>
          <cell r="C79" t="str">
            <v>1.1.1</v>
          </cell>
          <cell r="D79" t="str">
            <v>OPKZP-PO1-SC111-2016-10</v>
          </cell>
          <cell r="E79" t="str">
            <v>odpady</v>
          </cell>
          <cell r="F79" t="str">
            <v>Obec Sačurov</v>
          </cell>
          <cell r="G79" t="str">
            <v>Technologické vybavenie zberného dvora v obci Sačurov</v>
          </cell>
          <cell r="H79" t="str">
            <v>017</v>
          </cell>
          <cell r="I79" t="str">
            <v>PO</v>
          </cell>
          <cell r="J79" t="str">
            <v>regionálny</v>
          </cell>
          <cell r="K79" t="str">
            <v>áno</v>
          </cell>
          <cell r="M79">
            <v>42740</v>
          </cell>
          <cell r="N79" t="str">
            <v>Realizácia</v>
          </cell>
          <cell r="P79" t="str">
            <v>https://www.crz.gov.sk/index.php?ID=2761143&amp;l=sk</v>
          </cell>
          <cell r="Q79" t="str">
            <v>https://crp.gov.sk/technologicke-vybavenie-zberneho-dvora-v-obci-sacurov/</v>
          </cell>
          <cell r="R79" t="str">
            <v>OPKZP-PO1-SC111-2016-10/19</v>
          </cell>
          <cell r="S79">
            <v>0.85</v>
          </cell>
          <cell r="T79">
            <v>0.1</v>
          </cell>
          <cell r="U79">
            <v>0.05</v>
          </cell>
          <cell r="V79" t="str">
            <v>verejné</v>
          </cell>
          <cell r="W79">
            <v>390398.4</v>
          </cell>
          <cell r="X79">
            <v>331838.64</v>
          </cell>
          <cell r="Y79">
            <v>39039.839999999997</v>
          </cell>
          <cell r="Z79">
            <v>370878.48</v>
          </cell>
          <cell r="AA79">
            <v>19519.919999999998</v>
          </cell>
          <cell r="AB79">
            <v>390398.4</v>
          </cell>
          <cell r="AC79">
            <v>331838.64</v>
          </cell>
          <cell r="AD79">
            <v>39039.839999999997</v>
          </cell>
          <cell r="AE79">
            <v>370878.48</v>
          </cell>
          <cell r="AF79">
            <v>19519.919999999998</v>
          </cell>
          <cell r="AG79">
            <v>4951.2</v>
          </cell>
          <cell r="AH79">
            <v>4208.5199999999995</v>
          </cell>
          <cell r="AI79">
            <v>495.12</v>
          </cell>
          <cell r="AJ79">
            <v>4703.6399999999994</v>
          </cell>
          <cell r="AK79">
            <v>247.56</v>
          </cell>
          <cell r="AO79">
            <v>0</v>
          </cell>
          <cell r="AQ79">
            <v>0</v>
          </cell>
          <cell r="AR79">
            <v>0</v>
          </cell>
        </row>
        <row r="80">
          <cell r="A80" t="str">
            <v>310011B135</v>
          </cell>
          <cell r="B80">
            <v>1</v>
          </cell>
          <cell r="C80" t="str">
            <v>1.1.1</v>
          </cell>
          <cell r="D80" t="str">
            <v>OPKZP-PO1-SC111-2016-10</v>
          </cell>
          <cell r="E80" t="str">
            <v>odpady</v>
          </cell>
          <cell r="F80" t="str">
            <v>Mesto Levice</v>
          </cell>
          <cell r="G80" t="str">
            <v>Intenzifikácia zberu biologicky rozložiteľných odpadov v meste Levice</v>
          </cell>
          <cell r="H80" t="str">
            <v>017</v>
          </cell>
          <cell r="I80" t="str">
            <v>NR</v>
          </cell>
          <cell r="J80" t="str">
            <v>regionálny</v>
          </cell>
          <cell r="K80" t="str">
            <v>áno</v>
          </cell>
          <cell r="M80">
            <v>42755</v>
          </cell>
          <cell r="N80" t="str">
            <v>Aktivity nezačaté</v>
          </cell>
          <cell r="P80" t="str">
            <v>https://www.crz.gov.sk/index.php?ID=2776989&amp;l=sk</v>
          </cell>
          <cell r="Q80" t="str">
            <v>https://crp.gov.sk/intenzifikacia-zberu-biologicky-rozlozitelnych-odpadov-v-meste-levice/</v>
          </cell>
          <cell r="R80" t="str">
            <v>OPKZP-PO1-SC111-2016-10/20</v>
          </cell>
          <cell r="S80">
            <v>0.85</v>
          </cell>
          <cell r="T80">
            <v>0.1</v>
          </cell>
          <cell r="U80">
            <v>0.05</v>
          </cell>
          <cell r="V80" t="str">
            <v>verejné</v>
          </cell>
          <cell r="W80">
            <v>1042952</v>
          </cell>
          <cell r="X80">
            <v>886509.2</v>
          </cell>
          <cell r="Y80">
            <v>104295.2</v>
          </cell>
          <cell r="Z80">
            <v>990804.39999999991</v>
          </cell>
          <cell r="AA80">
            <v>52147.6</v>
          </cell>
          <cell r="AB80">
            <v>1042952</v>
          </cell>
          <cell r="AC80">
            <v>886509.2</v>
          </cell>
          <cell r="AD80">
            <v>104295.2</v>
          </cell>
          <cell r="AE80">
            <v>990804.39999999991</v>
          </cell>
          <cell r="AF80">
            <v>52147.6</v>
          </cell>
          <cell r="AJ80">
            <v>0</v>
          </cell>
          <cell r="AO80">
            <v>0</v>
          </cell>
          <cell r="AQ80">
            <v>0</v>
          </cell>
          <cell r="AR80">
            <v>0</v>
          </cell>
        </row>
        <row r="81">
          <cell r="A81" t="str">
            <v>310011B142</v>
          </cell>
          <cell r="B81">
            <v>1</v>
          </cell>
          <cell r="C81" t="str">
            <v>1.1.1</v>
          </cell>
          <cell r="D81" t="str">
            <v>OPKZP-PO1-SC111-2016-10</v>
          </cell>
          <cell r="E81" t="str">
            <v>odpady</v>
          </cell>
          <cell r="F81" t="str">
            <v>Obec Zubrohlava</v>
          </cell>
          <cell r="G81" t="str">
            <v>Vybudovanie zberného dvora v obci Zubrohlava</v>
          </cell>
          <cell r="H81" t="str">
            <v>017</v>
          </cell>
          <cell r="I81" t="str">
            <v>ZA</v>
          </cell>
          <cell r="J81" t="str">
            <v>regionálny</v>
          </cell>
          <cell r="K81" t="str">
            <v>áno</v>
          </cell>
          <cell r="L81" t="str">
            <v>áno</v>
          </cell>
          <cell r="M81">
            <v>42770</v>
          </cell>
          <cell r="N81" t="str">
            <v>Realizácia</v>
          </cell>
          <cell r="P81" t="str">
            <v>https://www.crz.gov.sk/index.php?ID=2798831&amp;l=sk</v>
          </cell>
          <cell r="Q81" t="str">
            <v>https://crp.gov.sk/vybudovanie-zberneho-dvora-v-obci-zubrohlava/</v>
          </cell>
          <cell r="R81" t="str">
            <v>OPKZP-PO1-SC111-2016-10/21</v>
          </cell>
          <cell r="S81">
            <v>0.85</v>
          </cell>
          <cell r="T81">
            <v>0.1</v>
          </cell>
          <cell r="U81">
            <v>0.05</v>
          </cell>
          <cell r="V81" t="str">
            <v>verejné</v>
          </cell>
          <cell r="W81">
            <v>1092233.6100000001</v>
          </cell>
          <cell r="X81">
            <v>928398.57</v>
          </cell>
          <cell r="Y81">
            <v>109223.36</v>
          </cell>
          <cell r="Z81">
            <v>1037621.9299999999</v>
          </cell>
          <cell r="AA81">
            <v>54611.68</v>
          </cell>
          <cell r="AB81">
            <v>1092233.6100000001</v>
          </cell>
          <cell r="AC81">
            <v>928398.57</v>
          </cell>
          <cell r="AD81">
            <v>109223.36</v>
          </cell>
          <cell r="AE81">
            <v>1037621.9299999999</v>
          </cell>
          <cell r="AF81">
            <v>54611.68</v>
          </cell>
          <cell r="AJ81">
            <v>0</v>
          </cell>
          <cell r="AO81">
            <v>0</v>
          </cell>
          <cell r="AQ81">
            <v>0</v>
          </cell>
          <cell r="AR81">
            <v>0</v>
          </cell>
        </row>
        <row r="82">
          <cell r="A82" t="str">
            <v>310011B145</v>
          </cell>
          <cell r="B82">
            <v>1</v>
          </cell>
          <cell r="C82" t="str">
            <v>1.1.1</v>
          </cell>
          <cell r="D82" t="str">
            <v>OPKZP-PO1-SC111-2016-10</v>
          </cell>
          <cell r="E82" t="str">
            <v>odpady</v>
          </cell>
          <cell r="F82" t="str">
            <v>Obec Bátorove Kosihy</v>
          </cell>
          <cell r="G82" t="str">
            <v>Technické a technologické vybavenie zberného dvora v obci Bátorove Kosihy</v>
          </cell>
          <cell r="H82" t="str">
            <v>017</v>
          </cell>
          <cell r="I82" t="str">
            <v>NR</v>
          </cell>
          <cell r="J82" t="str">
            <v>regionálny</v>
          </cell>
          <cell r="K82" t="str">
            <v>áno</v>
          </cell>
          <cell r="M82">
            <v>42746</v>
          </cell>
          <cell r="N82" t="str">
            <v>Realizácia</v>
          </cell>
          <cell r="P82" t="str">
            <v>https://www.crz.gov.sk/index.php?ID=2765661&amp;l=sk</v>
          </cell>
          <cell r="Q82" t="str">
            <v>https://crp.gov.sk/technicke-a-technologicke-vybavenie-zberneho-dvora-v-obci-batorove-kosihy/</v>
          </cell>
          <cell r="R82" t="str">
            <v>OPKZP-PO1-SC111-2016-10/22</v>
          </cell>
          <cell r="S82">
            <v>0.85</v>
          </cell>
          <cell r="T82">
            <v>0.1</v>
          </cell>
          <cell r="U82">
            <v>0.05</v>
          </cell>
          <cell r="V82" t="str">
            <v>verejné</v>
          </cell>
          <cell r="W82">
            <v>265211.2</v>
          </cell>
          <cell r="X82">
            <v>225429.52</v>
          </cell>
          <cell r="Y82">
            <v>26521.119999999999</v>
          </cell>
          <cell r="Z82">
            <v>251950.63999999998</v>
          </cell>
          <cell r="AA82">
            <v>13260.56</v>
          </cell>
          <cell r="AB82">
            <v>265211.2</v>
          </cell>
          <cell r="AC82">
            <v>225429.52</v>
          </cell>
          <cell r="AD82">
            <v>26521.119999999999</v>
          </cell>
          <cell r="AE82">
            <v>251950.63999999998</v>
          </cell>
          <cell r="AF82">
            <v>13260.56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244039.8</v>
          </cell>
          <cell r="AM82">
            <v>207433.83</v>
          </cell>
          <cell r="AN82">
            <v>24403.98</v>
          </cell>
          <cell r="AO82">
            <v>231837.81</v>
          </cell>
          <cell r="AP82">
            <v>12201.99</v>
          </cell>
          <cell r="AQ82">
            <v>244039.8</v>
          </cell>
          <cell r="AR82">
            <v>207433.83</v>
          </cell>
        </row>
        <row r="83">
          <cell r="A83" t="str">
            <v>310011B146</v>
          </cell>
          <cell r="B83">
            <v>1</v>
          </cell>
          <cell r="C83" t="str">
            <v>1.1.1</v>
          </cell>
          <cell r="D83" t="str">
            <v>OPKZP-PO1-SC111-2016-10</v>
          </cell>
          <cell r="E83" t="str">
            <v>odpady</v>
          </cell>
          <cell r="F83" t="str">
            <v>Obec Pata</v>
          </cell>
          <cell r="G83" t="str">
            <v>Zberný dvor odpadu v obci Pata</v>
          </cell>
          <cell r="H83" t="str">
            <v>017</v>
          </cell>
          <cell r="I83" t="str">
            <v>TT</v>
          </cell>
          <cell r="J83" t="str">
            <v>regionálny</v>
          </cell>
          <cell r="K83" t="str">
            <v>áno</v>
          </cell>
          <cell r="L83" t="str">
            <v>áno</v>
          </cell>
          <cell r="M83">
            <v>42741</v>
          </cell>
          <cell r="N83" t="str">
            <v>Aktivity nezačaté</v>
          </cell>
          <cell r="P83" t="str">
            <v>https://www.crz.gov.sk/index.php?ID=2762381&amp;l=sk</v>
          </cell>
          <cell r="Q83" t="str">
            <v>https://crp.gov.sk/zberny-dvor-odpadu-v-obci-pata/</v>
          </cell>
          <cell r="R83" t="str">
            <v>OPKZP-PO1-SC111-2016-10/23</v>
          </cell>
          <cell r="S83">
            <v>0.85</v>
          </cell>
          <cell r="T83">
            <v>0.1</v>
          </cell>
          <cell r="U83">
            <v>0.05</v>
          </cell>
          <cell r="V83" t="str">
            <v>verejné</v>
          </cell>
          <cell r="W83">
            <v>440165.58</v>
          </cell>
          <cell r="X83">
            <v>374140.74</v>
          </cell>
          <cell r="Y83">
            <v>44016.56</v>
          </cell>
          <cell r="Z83">
            <v>418157.3</v>
          </cell>
          <cell r="AA83">
            <v>22008.28</v>
          </cell>
          <cell r="AB83">
            <v>440165.58</v>
          </cell>
          <cell r="AC83">
            <v>374140.74</v>
          </cell>
          <cell r="AD83">
            <v>44016.56</v>
          </cell>
          <cell r="AE83">
            <v>418157.3</v>
          </cell>
          <cell r="AF83">
            <v>22008.28</v>
          </cell>
          <cell r="AJ83">
            <v>0</v>
          </cell>
          <cell r="AO83">
            <v>0</v>
          </cell>
          <cell r="AQ83">
            <v>0</v>
          </cell>
          <cell r="AR83">
            <v>0</v>
          </cell>
        </row>
        <row r="84">
          <cell r="A84" t="str">
            <v>310011B148</v>
          </cell>
          <cell r="B84">
            <v>1</v>
          </cell>
          <cell r="C84" t="str">
            <v>1.1.1</v>
          </cell>
          <cell r="D84" t="str">
            <v>OPKZP-PO1-SC111-2016-10</v>
          </cell>
          <cell r="E84" t="str">
            <v>odpady</v>
          </cell>
          <cell r="F84" t="str">
            <v>Obec Kamenec pod Vtáčnikom</v>
          </cell>
          <cell r="G84" t="str">
            <v>Zberný dvor Kamenec pod Vtáčnikom</v>
          </cell>
          <cell r="H84" t="str">
            <v>017</v>
          </cell>
          <cell r="I84" t="str">
            <v>TN</v>
          </cell>
          <cell r="J84" t="str">
            <v>regionálny</v>
          </cell>
          <cell r="K84" t="str">
            <v>áno</v>
          </cell>
          <cell r="L84" t="str">
            <v>áno</v>
          </cell>
          <cell r="M84">
            <v>42753</v>
          </cell>
          <cell r="N84" t="str">
            <v>Realizácia</v>
          </cell>
          <cell r="P84" t="str">
            <v>https://www.crz.gov.sk/index.php?ID=2773526&amp;l=sk</v>
          </cell>
          <cell r="Q84" t="str">
            <v>https://crp.gov.sk/zhodnocovanie-biologicky-rozlozitelneho-komunalneho-odpadu-v-obci-kamenec-pod-vtacnikom/</v>
          </cell>
          <cell r="R84" t="str">
            <v>OPKZP-PO1-SC111-2016-10/24</v>
          </cell>
          <cell r="S84">
            <v>0.85</v>
          </cell>
          <cell r="T84">
            <v>0.1</v>
          </cell>
          <cell r="U84">
            <v>0.05</v>
          </cell>
          <cell r="V84" t="str">
            <v>verejné</v>
          </cell>
          <cell r="W84">
            <v>526554.76</v>
          </cell>
          <cell r="X84">
            <v>447571.54</v>
          </cell>
          <cell r="Y84">
            <v>52655.48</v>
          </cell>
          <cell r="Z84">
            <v>500227.01999999996</v>
          </cell>
          <cell r="AA84">
            <v>26327.74</v>
          </cell>
          <cell r="AB84">
            <v>526554.76</v>
          </cell>
          <cell r="AC84">
            <v>447571.54</v>
          </cell>
          <cell r="AD84">
            <v>52655.48</v>
          </cell>
          <cell r="AE84">
            <v>500227.01999999996</v>
          </cell>
          <cell r="AF84">
            <v>26327.74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102288.14</v>
          </cell>
          <cell r="AM84">
            <v>86944.92</v>
          </cell>
          <cell r="AN84">
            <v>10228.81</v>
          </cell>
          <cell r="AO84">
            <v>97173.73</v>
          </cell>
          <cell r="AP84">
            <v>5114.41</v>
          </cell>
          <cell r="AQ84">
            <v>102288.14</v>
          </cell>
          <cell r="AR84">
            <v>86944.92</v>
          </cell>
        </row>
        <row r="85">
          <cell r="A85" t="str">
            <v>310011B149</v>
          </cell>
          <cell r="B85">
            <v>1</v>
          </cell>
          <cell r="C85" t="str">
            <v>1.1.1</v>
          </cell>
          <cell r="D85" t="str">
            <v>OPKZP-PO1-SC111-2016-10</v>
          </cell>
          <cell r="E85" t="str">
            <v>odpady</v>
          </cell>
          <cell r="F85" t="str">
            <v>Obec Bohdanovce nad Trnavou</v>
          </cell>
          <cell r="G85" t="str">
            <v>Zberný dvor v obci Bohdanovce nad Trnavou</v>
          </cell>
          <cell r="H85" t="str">
            <v>017</v>
          </cell>
          <cell r="I85" t="str">
            <v>TT</v>
          </cell>
          <cell r="J85" t="str">
            <v>regionálny</v>
          </cell>
          <cell r="K85" t="str">
            <v>áno</v>
          </cell>
          <cell r="M85">
            <v>42741</v>
          </cell>
          <cell r="N85" t="str">
            <v>Realizácia</v>
          </cell>
          <cell r="P85" t="str">
            <v>https://www.crz.gov.sk/index.php?ID=2762828&amp;l=sk</v>
          </cell>
          <cell r="Q85" t="str">
            <v>https://crp.gov.sk/zberny-dvor-v-obci-bohdanovce-nad-trnavou/</v>
          </cell>
          <cell r="R85" t="str">
            <v>OPKZP-PO1-SC111-2016-10/25</v>
          </cell>
          <cell r="S85">
            <v>0.85</v>
          </cell>
          <cell r="T85">
            <v>0.1</v>
          </cell>
          <cell r="U85">
            <v>0.05</v>
          </cell>
          <cell r="V85" t="str">
            <v>verejné</v>
          </cell>
          <cell r="W85">
            <v>233608.7</v>
          </cell>
          <cell r="X85">
            <v>198567.39</v>
          </cell>
          <cell r="Y85">
            <v>23360.87</v>
          </cell>
          <cell r="Z85">
            <v>221928.26</v>
          </cell>
          <cell r="AA85">
            <v>11680.44</v>
          </cell>
          <cell r="AB85">
            <v>233608.7</v>
          </cell>
          <cell r="AC85">
            <v>198567.39</v>
          </cell>
          <cell r="AD85">
            <v>23360.87</v>
          </cell>
          <cell r="AE85">
            <v>221928.26</v>
          </cell>
          <cell r="AF85">
            <v>11680.44</v>
          </cell>
          <cell r="AJ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A86" t="str">
            <v>310011B151</v>
          </cell>
          <cell r="B86">
            <v>1</v>
          </cell>
          <cell r="C86" t="str">
            <v>1.1.1</v>
          </cell>
          <cell r="D86" t="str">
            <v>OPKZP-PO1-SC111-2016-10</v>
          </cell>
          <cell r="E86" t="str">
            <v>odpady</v>
          </cell>
          <cell r="F86" t="str">
            <v>Obec Oravská Polhora</v>
          </cell>
          <cell r="G86" t="str">
            <v>Zberný dvor Oravská Polhora</v>
          </cell>
          <cell r="H86" t="str">
            <v>017</v>
          </cell>
          <cell r="I86" t="str">
            <v>ZA</v>
          </cell>
          <cell r="J86" t="str">
            <v>regionálny</v>
          </cell>
          <cell r="K86" t="str">
            <v>áno</v>
          </cell>
          <cell r="L86" t="str">
            <v>áno</v>
          </cell>
          <cell r="M86">
            <v>42748</v>
          </cell>
          <cell r="N86" t="str">
            <v>Realizácia</v>
          </cell>
          <cell r="P86" t="str">
            <v>https://www.crz.gov.sk/index.php?ID=2769094&amp;l=sk</v>
          </cell>
          <cell r="Q86" t="str">
            <v>https://crp.gov.sk/zberny-dvor-oravska-polhora/</v>
          </cell>
          <cell r="R86" t="str">
            <v xml:space="preserve"> OPKZP-PO1-SC111-2016-10/26</v>
          </cell>
          <cell r="S86">
            <v>0.85</v>
          </cell>
          <cell r="T86">
            <v>0.1</v>
          </cell>
          <cell r="U86">
            <v>0.05</v>
          </cell>
          <cell r="V86" t="str">
            <v>verejné</v>
          </cell>
          <cell r="W86">
            <v>818504.47</v>
          </cell>
          <cell r="X86">
            <v>695728.8</v>
          </cell>
          <cell r="Y86">
            <v>81850.45</v>
          </cell>
          <cell r="Z86">
            <v>777579.25</v>
          </cell>
          <cell r="AA86">
            <v>40925.22</v>
          </cell>
          <cell r="AB86">
            <v>818504.47</v>
          </cell>
          <cell r="AC86">
            <v>695728.8</v>
          </cell>
          <cell r="AD86">
            <v>81850.45</v>
          </cell>
          <cell r="AE86">
            <v>777579.25</v>
          </cell>
          <cell r="AF86">
            <v>40925.22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4900</v>
          </cell>
          <cell r="AM86">
            <v>4165</v>
          </cell>
          <cell r="AN86">
            <v>490</v>
          </cell>
          <cell r="AO86">
            <v>4655</v>
          </cell>
          <cell r="AP86">
            <v>245</v>
          </cell>
          <cell r="AQ86">
            <v>0</v>
          </cell>
          <cell r="AR86">
            <v>0</v>
          </cell>
        </row>
        <row r="87">
          <cell r="A87" t="str">
            <v>310011B156</v>
          </cell>
          <cell r="B87">
            <v>1</v>
          </cell>
          <cell r="C87" t="str">
            <v>1.1.1</v>
          </cell>
          <cell r="D87" t="str">
            <v>OPKZP-PO1-SC111-2016-10</v>
          </cell>
          <cell r="E87" t="str">
            <v>odpady</v>
          </cell>
          <cell r="F87" t="str">
            <v>Obec Mužla</v>
          </cell>
          <cell r="G87" t="str">
            <v>Modernizácia odpadového hospodárstva v obci Mužla</v>
          </cell>
          <cell r="H87" t="str">
            <v>017</v>
          </cell>
          <cell r="I87" t="str">
            <v>NR</v>
          </cell>
          <cell r="J87" t="str">
            <v>regionálny</v>
          </cell>
          <cell r="K87" t="str">
            <v>áno</v>
          </cell>
          <cell r="M87">
            <v>42741</v>
          </cell>
          <cell r="N87" t="str">
            <v>Realizácia</v>
          </cell>
          <cell r="P87" t="str">
            <v>https://www.crz.gov.sk/index.php?ID=2762167&amp;l=sk</v>
          </cell>
          <cell r="Q87" t="str">
            <v>https://crp.gov.sk/modernizacia-odpadoveho-hospodarstva-v-obci-muzla/</v>
          </cell>
          <cell r="R87" t="str">
            <v>OPKZP-PO1-SC111-2016-10/27</v>
          </cell>
          <cell r="S87">
            <v>0.85</v>
          </cell>
          <cell r="T87">
            <v>0.1</v>
          </cell>
          <cell r="U87">
            <v>0.05</v>
          </cell>
          <cell r="V87" t="str">
            <v>verejné</v>
          </cell>
          <cell r="W87">
            <v>440943.74</v>
          </cell>
          <cell r="X87">
            <v>374802.18</v>
          </cell>
          <cell r="Y87">
            <v>44094.37</v>
          </cell>
          <cell r="Z87">
            <v>418896.55</v>
          </cell>
          <cell r="AA87">
            <v>22047.19</v>
          </cell>
          <cell r="AB87">
            <v>440943.74</v>
          </cell>
          <cell r="AC87">
            <v>374802.18</v>
          </cell>
          <cell r="AD87">
            <v>44094.37</v>
          </cell>
          <cell r="AE87">
            <v>418896.55</v>
          </cell>
          <cell r="AF87">
            <v>22047.19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82498.320000000007</v>
          </cell>
          <cell r="AM87">
            <v>70123.570000000007</v>
          </cell>
          <cell r="AN87">
            <v>8249.83</v>
          </cell>
          <cell r="AO87">
            <v>78373.400000000009</v>
          </cell>
          <cell r="AP87">
            <v>4124.92</v>
          </cell>
          <cell r="AQ87">
            <v>0</v>
          </cell>
          <cell r="AR87">
            <v>0</v>
          </cell>
        </row>
        <row r="88">
          <cell r="A88" t="str">
            <v>310011B177</v>
          </cell>
          <cell r="B88">
            <v>1</v>
          </cell>
          <cell r="C88" t="str">
            <v>1.1.1</v>
          </cell>
          <cell r="D88" t="str">
            <v>OPKZP-PO1-SC111-2016-10</v>
          </cell>
          <cell r="E88" t="str">
            <v>odpady</v>
          </cell>
          <cell r="F88" t="str">
            <v>Obec Jakubov</v>
          </cell>
          <cell r="G88" t="str">
            <v>Zefektívnenie triedeného zberu komunálneho odpadu v obci Jakubov</v>
          </cell>
          <cell r="H88" t="str">
            <v>017</v>
          </cell>
          <cell r="I88" t="str">
            <v>BA</v>
          </cell>
          <cell r="J88" t="str">
            <v>regionálny</v>
          </cell>
          <cell r="K88" t="str">
            <v>áno</v>
          </cell>
          <cell r="M88">
            <v>42773</v>
          </cell>
          <cell r="N88" t="str">
            <v>Realizácia</v>
          </cell>
          <cell r="P88" t="str">
            <v xml:space="preserve">https://www.crz.gov.sk/index.php?ID=2800762&amp;l=sk </v>
          </cell>
          <cell r="Q88" t="str">
            <v xml:space="preserve">https://crp.gov.sk/zefektivnenie-triedeneho-zberu-komunalneho-odpadu-v-obci-jakubov/ </v>
          </cell>
          <cell r="R88" t="str">
            <v>OPKZP-PO1-SC111-2016-10/28</v>
          </cell>
          <cell r="S88">
            <v>0.85</v>
          </cell>
          <cell r="T88">
            <v>0.1</v>
          </cell>
          <cell r="U88">
            <v>0.05</v>
          </cell>
          <cell r="V88" t="str">
            <v>verejné</v>
          </cell>
          <cell r="W88">
            <v>319321.11</v>
          </cell>
          <cell r="X88">
            <v>271422.94</v>
          </cell>
          <cell r="Y88">
            <v>31932.11</v>
          </cell>
          <cell r="Z88">
            <v>303355.05</v>
          </cell>
          <cell r="AA88">
            <v>15966.06</v>
          </cell>
          <cell r="AB88">
            <v>319321.11</v>
          </cell>
          <cell r="AC88">
            <v>271422.94</v>
          </cell>
          <cell r="AD88">
            <v>31932.11</v>
          </cell>
          <cell r="AE88">
            <v>303355.05</v>
          </cell>
          <cell r="AF88">
            <v>15966.06</v>
          </cell>
          <cell r="AJ88">
            <v>0</v>
          </cell>
          <cell r="AO88">
            <v>0</v>
          </cell>
          <cell r="AQ88">
            <v>0</v>
          </cell>
          <cell r="AR88">
            <v>0</v>
          </cell>
        </row>
        <row r="89">
          <cell r="A89" t="str">
            <v>310011B179</v>
          </cell>
          <cell r="B89">
            <v>1</v>
          </cell>
          <cell r="C89" t="str">
            <v>1.1.1</v>
          </cell>
          <cell r="D89" t="str">
            <v>OPKZP-PO1-SC111-2016-10</v>
          </cell>
          <cell r="E89" t="str">
            <v>odpady</v>
          </cell>
          <cell r="F89" t="str">
            <v>Obec Svodín</v>
          </cell>
          <cell r="G89" t="str">
            <v>Modernizácia odpadového hospodárstva v obci Svodín</v>
          </cell>
          <cell r="H89" t="str">
            <v>017</v>
          </cell>
          <cell r="I89" t="str">
            <v>NR</v>
          </cell>
          <cell r="J89" t="str">
            <v>regionálny</v>
          </cell>
          <cell r="K89" t="str">
            <v>áno</v>
          </cell>
          <cell r="M89">
            <v>42746</v>
          </cell>
          <cell r="N89" t="str">
            <v>Aktivity nezačaté</v>
          </cell>
          <cell r="P89" t="str">
            <v>https://www.crz.gov.sk/index.php?ID=2765327&amp;l=sk</v>
          </cell>
          <cell r="Q89" t="str">
            <v>https://crp.gov.sk/modernizacia-odpadoveho-hospodarstva-v-obci-svodin/</v>
          </cell>
          <cell r="R89" t="str">
            <v>OPKZP-PO1-SC111-2016-10/29</v>
          </cell>
          <cell r="S89">
            <v>0.85</v>
          </cell>
          <cell r="T89">
            <v>0.1</v>
          </cell>
          <cell r="U89">
            <v>0.05</v>
          </cell>
          <cell r="V89" t="str">
            <v>verejné</v>
          </cell>
          <cell r="W89">
            <v>269119.59999999998</v>
          </cell>
          <cell r="X89">
            <v>228751.66</v>
          </cell>
          <cell r="Y89">
            <v>26911.96</v>
          </cell>
          <cell r="Z89">
            <v>255663.62</v>
          </cell>
          <cell r="AA89">
            <v>13455.98</v>
          </cell>
          <cell r="AB89">
            <v>269119.59999999998</v>
          </cell>
          <cell r="AC89">
            <v>228751.66</v>
          </cell>
          <cell r="AD89">
            <v>26911.96</v>
          </cell>
          <cell r="AE89">
            <v>255663.62</v>
          </cell>
          <cell r="AF89">
            <v>13455.98</v>
          </cell>
          <cell r="AJ89">
            <v>0</v>
          </cell>
          <cell r="AO89">
            <v>0</v>
          </cell>
          <cell r="AQ89">
            <v>0</v>
          </cell>
          <cell r="AR89">
            <v>0</v>
          </cell>
        </row>
        <row r="90">
          <cell r="A90" t="str">
            <v>310011B180</v>
          </cell>
          <cell r="B90">
            <v>1</v>
          </cell>
          <cell r="C90" t="str">
            <v>1.1.1</v>
          </cell>
          <cell r="D90" t="str">
            <v>OPKZP-PO1-SC111-2016-10</v>
          </cell>
          <cell r="E90" t="str">
            <v>odpady</v>
          </cell>
          <cell r="F90" t="str">
            <v>Obec Gajary</v>
          </cell>
          <cell r="G90" t="str">
            <v>Gajary – zberný dvor odpadov</v>
          </cell>
          <cell r="H90" t="str">
            <v>017</v>
          </cell>
          <cell r="I90" t="str">
            <v>BA</v>
          </cell>
          <cell r="J90" t="str">
            <v>regionálny</v>
          </cell>
          <cell r="K90" t="str">
            <v>áno</v>
          </cell>
          <cell r="M90">
            <v>42741</v>
          </cell>
          <cell r="N90" t="str">
            <v>Realizácia</v>
          </cell>
          <cell r="P90" t="str">
            <v>https://www.crz.gov.sk/index.php?ID=2762259&amp;l=sk</v>
          </cell>
          <cell r="Q90" t="str">
            <v>https://crp.gov.sk/gajary-zberny-dvor-odpadov/</v>
          </cell>
          <cell r="R90" t="str">
            <v>OPKZP-PO1-SC111-2016-10/30</v>
          </cell>
          <cell r="S90">
            <v>0.85</v>
          </cell>
          <cell r="T90">
            <v>0.1</v>
          </cell>
          <cell r="U90">
            <v>0.05</v>
          </cell>
          <cell r="V90" t="str">
            <v>verejné</v>
          </cell>
          <cell r="W90">
            <v>303361.59000000003</v>
          </cell>
          <cell r="X90">
            <v>257857.35</v>
          </cell>
          <cell r="Y90">
            <v>30336.16</v>
          </cell>
          <cell r="Z90">
            <v>288193.51</v>
          </cell>
          <cell r="AA90">
            <v>15168.08</v>
          </cell>
          <cell r="AB90">
            <v>303361.59000000003</v>
          </cell>
          <cell r="AC90">
            <v>257857.35</v>
          </cell>
          <cell r="AD90">
            <v>30336.16</v>
          </cell>
          <cell r="AE90">
            <v>288193.51</v>
          </cell>
          <cell r="AF90">
            <v>15168.08</v>
          </cell>
          <cell r="AJ90">
            <v>0</v>
          </cell>
          <cell r="AO90">
            <v>0</v>
          </cell>
          <cell r="AQ90">
            <v>0</v>
          </cell>
          <cell r="AR90">
            <v>0</v>
          </cell>
        </row>
        <row r="91">
          <cell r="A91" t="str">
            <v>310011B183</v>
          </cell>
          <cell r="B91">
            <v>1</v>
          </cell>
          <cell r="C91" t="str">
            <v>1.1.1</v>
          </cell>
          <cell r="D91" t="str">
            <v>OPKZP-PO1-SC111-2016-10</v>
          </cell>
          <cell r="E91" t="str">
            <v>odpady</v>
          </cell>
          <cell r="F91" t="str">
            <v>Obec Rybník</v>
          </cell>
          <cell r="G91" t="str">
            <v>Separovaný zber komunálneho odpadu v obci Rybník</v>
          </cell>
          <cell r="H91" t="str">
            <v>017</v>
          </cell>
          <cell r="I91" t="str">
            <v>NR</v>
          </cell>
          <cell r="J91" t="str">
            <v>regionálny</v>
          </cell>
          <cell r="K91" t="str">
            <v>áno</v>
          </cell>
          <cell r="M91">
            <v>42741</v>
          </cell>
          <cell r="N91" t="str">
            <v>Realizácia</v>
          </cell>
          <cell r="P91" t="str">
            <v>https://www.crz.gov.sk/index.php?ID=2762301&amp;l=sk</v>
          </cell>
          <cell r="Q91" t="str">
            <v>https://crp.gov.sk/separovany-zber-komunalneho-odpadu-v-obci-rybnik/</v>
          </cell>
          <cell r="R91" t="str">
            <v>OPKZP-PO1-SC111-2016-10/31</v>
          </cell>
          <cell r="S91">
            <v>0.85</v>
          </cell>
          <cell r="T91">
            <v>0.1</v>
          </cell>
          <cell r="U91">
            <v>0.05</v>
          </cell>
          <cell r="V91" t="str">
            <v>verejné</v>
          </cell>
          <cell r="W91">
            <v>424499.4</v>
          </cell>
          <cell r="X91">
            <v>360824.49</v>
          </cell>
          <cell r="Y91">
            <v>42449.94</v>
          </cell>
          <cell r="Z91">
            <v>403274.43</v>
          </cell>
          <cell r="AA91">
            <v>21224.97</v>
          </cell>
          <cell r="AB91">
            <v>424499.4</v>
          </cell>
          <cell r="AC91">
            <v>360824.49</v>
          </cell>
          <cell r="AD91">
            <v>42449.94</v>
          </cell>
          <cell r="AE91">
            <v>403274.43</v>
          </cell>
          <cell r="AF91">
            <v>21224.97</v>
          </cell>
          <cell r="AJ91">
            <v>0</v>
          </cell>
          <cell r="AO91">
            <v>0</v>
          </cell>
          <cell r="AQ91">
            <v>0</v>
          </cell>
          <cell r="AR91">
            <v>0</v>
          </cell>
        </row>
        <row r="92">
          <cell r="A92" t="str">
            <v>310011B185</v>
          </cell>
          <cell r="B92">
            <v>1</v>
          </cell>
          <cell r="C92" t="str">
            <v>1.1.1</v>
          </cell>
          <cell r="D92" t="str">
            <v>OPKZP-PO1-SC111-2016-11</v>
          </cell>
          <cell r="E92" t="str">
            <v>odpady</v>
          </cell>
          <cell r="F92" t="str">
            <v>Mesto Giraltovce</v>
          </cell>
          <cell r="G92" t="str">
            <v>Zariadenie na zhodnocovanie biologicky rozložiteľného odpadu - kompostáreň.</v>
          </cell>
          <cell r="H92" t="str">
            <v>017</v>
          </cell>
          <cell r="I92" t="str">
            <v>PO</v>
          </cell>
          <cell r="J92" t="str">
            <v>regionálny</v>
          </cell>
          <cell r="K92" t="str">
            <v>áno</v>
          </cell>
          <cell r="M92">
            <v>42727</v>
          </cell>
          <cell r="N92" t="str">
            <v>Realizácia</v>
          </cell>
          <cell r="P92" t="str">
            <v>https://www.crz.gov.sk/index.php?ID=2746392&amp;l=sk</v>
          </cell>
          <cell r="Q92" t="str">
            <v>https://crp.gov.sk/zariadenie-na-zhodnocovanie-biologicky-rozlozitelneho-odpadu-kompostaren/</v>
          </cell>
          <cell r="R92" t="str">
            <v>OPKZP-PO1-SC111-2016-11/08</v>
          </cell>
          <cell r="S92">
            <v>0.85</v>
          </cell>
          <cell r="T92">
            <v>0.1</v>
          </cell>
          <cell r="U92">
            <v>0.05</v>
          </cell>
          <cell r="V92" t="str">
            <v>verejné</v>
          </cell>
          <cell r="W92">
            <v>464144.2</v>
          </cell>
          <cell r="X92">
            <v>394522.57</v>
          </cell>
          <cell r="Y92">
            <v>46414.42</v>
          </cell>
          <cell r="Z92">
            <v>440936.99</v>
          </cell>
          <cell r="AA92">
            <v>23207.21</v>
          </cell>
          <cell r="AB92">
            <v>464144.2</v>
          </cell>
          <cell r="AC92">
            <v>394522.57</v>
          </cell>
          <cell r="AD92">
            <v>46414.42</v>
          </cell>
          <cell r="AE92">
            <v>440936.99</v>
          </cell>
          <cell r="AF92">
            <v>23207.21</v>
          </cell>
          <cell r="AG92">
            <v>37459.440000000002</v>
          </cell>
          <cell r="AH92">
            <v>31840.524000000001</v>
          </cell>
          <cell r="AI92">
            <v>3745.9440000000004</v>
          </cell>
          <cell r="AJ92">
            <v>35586.468000000001</v>
          </cell>
          <cell r="AK92">
            <v>1872.9720000000002</v>
          </cell>
          <cell r="AL92">
            <v>12340.56</v>
          </cell>
          <cell r="AM92">
            <v>10489.48</v>
          </cell>
          <cell r="AN92">
            <v>1234.05</v>
          </cell>
          <cell r="AO92">
            <v>11723.529999999999</v>
          </cell>
          <cell r="AP92">
            <v>617.03</v>
          </cell>
          <cell r="AQ92">
            <v>0</v>
          </cell>
          <cell r="AR92">
            <v>0</v>
          </cell>
        </row>
        <row r="93">
          <cell r="A93" t="str">
            <v>310011B199</v>
          </cell>
          <cell r="B93">
            <v>1</v>
          </cell>
          <cell r="C93" t="str">
            <v>1.1.1</v>
          </cell>
          <cell r="D93" t="str">
            <v>OPKZP-PO1-SC111-2016-10</v>
          </cell>
          <cell r="E93" t="str">
            <v>odpady</v>
          </cell>
          <cell r="F93" t="str">
            <v>Mesto Levoča</v>
          </cell>
          <cell r="G93" t="str">
            <v>Mesto Levoča – modernizácia zberného dvora a nákup manipulačnej techniky</v>
          </cell>
          <cell r="H93" t="str">
            <v>017</v>
          </cell>
          <cell r="I93" t="str">
            <v>PO</v>
          </cell>
          <cell r="J93" t="str">
            <v>regionálny</v>
          </cell>
          <cell r="K93" t="str">
            <v>áno</v>
          </cell>
          <cell r="L93" t="str">
            <v>áno</v>
          </cell>
          <cell r="M93">
            <v>42770</v>
          </cell>
          <cell r="N93" t="str">
            <v>Realizácia</v>
          </cell>
          <cell r="P93" t="str">
            <v>https://www.crz.gov.sk/index.php?ID=2799000&amp;l=sk</v>
          </cell>
          <cell r="Q93" t="str">
            <v>https://crp.gov.sk/mesto-levoca-%E2%80%93-modernizacia-zberneho-dvora-a-nakup-manipulacnej-techniky/</v>
          </cell>
          <cell r="R93" t="str">
            <v>OPKZP-PO1-SC111-2016-10/32</v>
          </cell>
          <cell r="S93">
            <v>0.85</v>
          </cell>
          <cell r="T93">
            <v>0.1</v>
          </cell>
          <cell r="U93">
            <v>0.05</v>
          </cell>
          <cell r="V93" t="str">
            <v>verejné</v>
          </cell>
          <cell r="W93">
            <v>537565.85</v>
          </cell>
          <cell r="X93">
            <v>456930.97</v>
          </cell>
          <cell r="Y93">
            <v>53756.59</v>
          </cell>
          <cell r="Z93">
            <v>510687.55999999994</v>
          </cell>
          <cell r="AA93">
            <v>26878.29</v>
          </cell>
          <cell r="AB93">
            <v>537565.85</v>
          </cell>
          <cell r="AC93">
            <v>456930.97</v>
          </cell>
          <cell r="AD93">
            <v>53756.59</v>
          </cell>
          <cell r="AE93">
            <v>510687.55999999994</v>
          </cell>
          <cell r="AF93">
            <v>26878.29</v>
          </cell>
          <cell r="AG93">
            <v>163164</v>
          </cell>
          <cell r="AH93">
            <v>138689.4</v>
          </cell>
          <cell r="AI93">
            <v>16316.400000000001</v>
          </cell>
          <cell r="AJ93">
            <v>155005.79999999999</v>
          </cell>
          <cell r="AK93">
            <v>8158.2000000000007</v>
          </cell>
          <cell r="AL93">
            <v>149222.75</v>
          </cell>
          <cell r="AM93">
            <v>126839.34</v>
          </cell>
          <cell r="AN93">
            <v>14922.27</v>
          </cell>
          <cell r="AO93">
            <v>141761.60999999999</v>
          </cell>
          <cell r="AP93">
            <v>7461.14</v>
          </cell>
          <cell r="AQ93">
            <v>149222.75</v>
          </cell>
          <cell r="AR93">
            <v>126839.34</v>
          </cell>
        </row>
        <row r="94">
          <cell r="A94" t="str">
            <v>310011B200</v>
          </cell>
          <cell r="B94">
            <v>1</v>
          </cell>
          <cell r="C94" t="str">
            <v>1.1.1</v>
          </cell>
          <cell r="D94" t="str">
            <v>OPKZP-PO1-SC111-2016-11</v>
          </cell>
          <cell r="E94" t="str">
            <v>odpady</v>
          </cell>
          <cell r="F94" t="str">
            <v>VPS Vysoké Tatry, s.r.o.</v>
          </cell>
          <cell r="G94" t="str">
            <v>Rozšírenie systému triedeného zberu KO v Meste Vysoké Tatry</v>
          </cell>
          <cell r="H94" t="str">
            <v>017</v>
          </cell>
          <cell r="I94" t="str">
            <v>PO</v>
          </cell>
          <cell r="J94" t="str">
            <v>regionálny</v>
          </cell>
          <cell r="K94" t="str">
            <v>áno</v>
          </cell>
          <cell r="M94">
            <v>42726</v>
          </cell>
          <cell r="N94" t="str">
            <v>Aktivity nezačaté</v>
          </cell>
          <cell r="P94" t="str">
            <v>https://www.crz.gov.sk/index.php?ID=2743475&amp;l=sk</v>
          </cell>
          <cell r="Q94" t="str">
            <v>https://crp.gov.sk/rozsirenie-systemu-triedeneho-zberu-ko-v-meste-vysoke-tatry/</v>
          </cell>
          <cell r="R94" t="str">
            <v>OPKZP-PO1-SC111-2016-11/09</v>
          </cell>
          <cell r="S94">
            <v>0.85</v>
          </cell>
          <cell r="T94">
            <v>0.1</v>
          </cell>
          <cell r="U94">
            <v>0.05</v>
          </cell>
          <cell r="V94" t="str">
            <v>súkromné</v>
          </cell>
          <cell r="W94">
            <v>531735.67000000004</v>
          </cell>
          <cell r="X94">
            <v>451975.32</v>
          </cell>
          <cell r="Y94">
            <v>53173.57</v>
          </cell>
          <cell r="Z94">
            <v>505148.89</v>
          </cell>
          <cell r="AA94">
            <v>26586.78</v>
          </cell>
          <cell r="AB94">
            <v>531735.67000000004</v>
          </cell>
          <cell r="AC94">
            <v>451975.32</v>
          </cell>
          <cell r="AD94">
            <v>53173.57</v>
          </cell>
          <cell r="AE94">
            <v>505148.89</v>
          </cell>
          <cell r="AF94">
            <v>26586.78</v>
          </cell>
          <cell r="AJ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A95" t="str">
            <v>310011B237</v>
          </cell>
          <cell r="B95">
            <v>1</v>
          </cell>
          <cell r="C95" t="str">
            <v>1.1.1</v>
          </cell>
          <cell r="D95" t="str">
            <v>OPKZP-PO1-SC111-2016-10</v>
          </cell>
          <cell r="E95" t="str">
            <v>odpady</v>
          </cell>
          <cell r="F95" t="str">
            <v>obec Lokca</v>
          </cell>
          <cell r="G95" t="str">
            <v>Zberný dvor obce Lokca</v>
          </cell>
          <cell r="H95" t="str">
            <v>017</v>
          </cell>
          <cell r="I95" t="str">
            <v>ZA</v>
          </cell>
          <cell r="J95" t="str">
            <v>regionálny</v>
          </cell>
          <cell r="K95" t="str">
            <v>áno</v>
          </cell>
          <cell r="L95" t="str">
            <v>áno</v>
          </cell>
          <cell r="M95">
            <v>42746</v>
          </cell>
          <cell r="N95" t="str">
            <v>Realizácia</v>
          </cell>
          <cell r="P95" t="str">
            <v>https://www.crz.gov.sk/index.php?ID=2765184&amp;l=sk</v>
          </cell>
          <cell r="Q95" t="str">
            <v>https://crp.gov.sk/zberny-dvor-obce-lokca/</v>
          </cell>
          <cell r="R95" t="str">
            <v>OPKZP-PO1-SC111-2016-10/33</v>
          </cell>
          <cell r="S95">
            <v>0.85</v>
          </cell>
          <cell r="T95">
            <v>0.1</v>
          </cell>
          <cell r="U95">
            <v>0.05</v>
          </cell>
          <cell r="V95" t="str">
            <v>verejné</v>
          </cell>
          <cell r="W95">
            <v>769249</v>
          </cell>
          <cell r="X95">
            <v>653861.65</v>
          </cell>
          <cell r="Y95">
            <v>76924.899999999994</v>
          </cell>
          <cell r="Z95">
            <v>730786.55</v>
          </cell>
          <cell r="AA95">
            <v>38462.449999999997</v>
          </cell>
          <cell r="AB95">
            <v>769249</v>
          </cell>
          <cell r="AC95">
            <v>653861.65</v>
          </cell>
          <cell r="AD95">
            <v>76924.899999999994</v>
          </cell>
          <cell r="AE95">
            <v>730786.55</v>
          </cell>
          <cell r="AF95">
            <v>38462.449999999997</v>
          </cell>
          <cell r="AG95">
            <v>4600</v>
          </cell>
          <cell r="AH95">
            <v>3910</v>
          </cell>
          <cell r="AI95">
            <v>460</v>
          </cell>
          <cell r="AJ95">
            <v>4370</v>
          </cell>
          <cell r="AK95">
            <v>230</v>
          </cell>
          <cell r="AO95">
            <v>0</v>
          </cell>
          <cell r="AQ95">
            <v>0</v>
          </cell>
          <cell r="AR95">
            <v>0</v>
          </cell>
        </row>
        <row r="96">
          <cell r="A96" t="str">
            <v>310011B255</v>
          </cell>
          <cell r="B96">
            <v>1</v>
          </cell>
          <cell r="C96" t="str">
            <v>1.1.1</v>
          </cell>
          <cell r="D96" t="str">
            <v>OPKZP-PO1-SC111-2016-10</v>
          </cell>
          <cell r="E96" t="str">
            <v>odpady</v>
          </cell>
          <cell r="F96" t="str">
            <v>Obec Palárikovo</v>
          </cell>
          <cell r="G96" t="str">
            <v>Intenzifikácia regionálneho triedeného zberu komunálnych odpadov, Palárikovo.</v>
          </cell>
          <cell r="H96" t="str">
            <v>017</v>
          </cell>
          <cell r="I96" t="str">
            <v>NR</v>
          </cell>
          <cell r="J96" t="str">
            <v>regionálny</v>
          </cell>
          <cell r="K96" t="str">
            <v>áno</v>
          </cell>
          <cell r="L96" t="str">
            <v>áno</v>
          </cell>
          <cell r="M96">
            <v>42753</v>
          </cell>
          <cell r="N96" t="str">
            <v>Aktivity nezačaté</v>
          </cell>
          <cell r="P96" t="str">
            <v>https://www.crz.gov.sk/index.php?ID=2774383&amp;l=sk</v>
          </cell>
          <cell r="Q96" t="str">
            <v>https://crp.gov.sk/intenzifikacia-regionalneho-triedeneho-zberu-komunalnych-odpadov-palarikovo/</v>
          </cell>
          <cell r="R96" t="str">
            <v>OPKZP-PO1-SC111-2016-10/34</v>
          </cell>
          <cell r="S96">
            <v>0.85</v>
          </cell>
          <cell r="T96">
            <v>0.1</v>
          </cell>
          <cell r="U96">
            <v>0.05</v>
          </cell>
          <cell r="V96" t="str">
            <v>verejné</v>
          </cell>
          <cell r="W96">
            <v>678696.67</v>
          </cell>
          <cell r="X96">
            <v>576892.17000000004</v>
          </cell>
          <cell r="Y96">
            <v>67869.67</v>
          </cell>
          <cell r="Z96">
            <v>644761.84000000008</v>
          </cell>
          <cell r="AA96">
            <v>33934.83</v>
          </cell>
          <cell r="AB96">
            <v>678696.67</v>
          </cell>
          <cell r="AC96">
            <v>576892.17000000004</v>
          </cell>
          <cell r="AD96">
            <v>67869.67</v>
          </cell>
          <cell r="AE96">
            <v>644761.84000000008</v>
          </cell>
          <cell r="AF96">
            <v>33934.83</v>
          </cell>
          <cell r="AJ96">
            <v>0</v>
          </cell>
          <cell r="AO96">
            <v>0</v>
          </cell>
          <cell r="AQ96">
            <v>0</v>
          </cell>
          <cell r="AR96">
            <v>0</v>
          </cell>
        </row>
        <row r="97">
          <cell r="A97" t="str">
            <v>310011B256</v>
          </cell>
          <cell r="B97">
            <v>1</v>
          </cell>
          <cell r="C97" t="str">
            <v>1.1.1</v>
          </cell>
          <cell r="D97" t="str">
            <v>OPKZP-PO1-SC111-2016-10</v>
          </cell>
          <cell r="E97" t="str">
            <v>odpady</v>
          </cell>
          <cell r="F97" t="str">
            <v>Obec Moča</v>
          </cell>
          <cell r="G97" t="str">
            <v>Zberný dvor Moča</v>
          </cell>
          <cell r="H97" t="str">
            <v>017</v>
          </cell>
          <cell r="I97" t="str">
            <v>NR</v>
          </cell>
          <cell r="J97" t="str">
            <v>regionálny</v>
          </cell>
          <cell r="K97" t="str">
            <v>áno</v>
          </cell>
          <cell r="M97">
            <v>42741</v>
          </cell>
          <cell r="N97" t="str">
            <v>Realizácia</v>
          </cell>
          <cell r="P97" t="str">
            <v>https://www.crz.gov.sk/index.php?ID=2762504&amp;l=sk</v>
          </cell>
          <cell r="Q97" t="str">
            <v>https://crp.gov.sk/zberny-dvor-moca/</v>
          </cell>
          <cell r="R97" t="str">
            <v>OPKZP-PO1-SC111-2016-10/35</v>
          </cell>
          <cell r="S97">
            <v>0.85</v>
          </cell>
          <cell r="T97">
            <v>0.1</v>
          </cell>
          <cell r="U97">
            <v>0.05</v>
          </cell>
          <cell r="V97" t="str">
            <v>verejné</v>
          </cell>
          <cell r="W97">
            <v>835316.04</v>
          </cell>
          <cell r="X97">
            <v>710018.63</v>
          </cell>
          <cell r="Y97">
            <v>83531.61</v>
          </cell>
          <cell r="Z97">
            <v>793550.24</v>
          </cell>
          <cell r="AA97">
            <v>41765.800000000003</v>
          </cell>
          <cell r="AB97">
            <v>835316.04</v>
          </cell>
          <cell r="AC97">
            <v>710018.63</v>
          </cell>
          <cell r="AD97">
            <v>83531.61</v>
          </cell>
          <cell r="AE97">
            <v>793550.24</v>
          </cell>
          <cell r="AF97">
            <v>41765.800000000003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454065.77</v>
          </cell>
          <cell r="AM97">
            <v>385955.9</v>
          </cell>
          <cell r="AN97">
            <v>45406.58</v>
          </cell>
          <cell r="AO97">
            <v>431362.48000000004</v>
          </cell>
          <cell r="AP97">
            <v>22703.29</v>
          </cell>
          <cell r="AQ97">
            <v>0</v>
          </cell>
          <cell r="AR97">
            <v>0</v>
          </cell>
        </row>
        <row r="98">
          <cell r="A98" t="str">
            <v>310011B274</v>
          </cell>
          <cell r="B98">
            <v>1</v>
          </cell>
          <cell r="C98" t="str">
            <v>1.1.1</v>
          </cell>
          <cell r="D98" t="str">
            <v>OPKZP-PO1-SC111-2016-10</v>
          </cell>
          <cell r="E98" t="str">
            <v>odpady</v>
          </cell>
          <cell r="F98" t="str">
            <v>Mesto Brezová pod Bradlom</v>
          </cell>
          <cell r="G98" t="str">
            <v>Rozšírenie triedeného zberu v Brezovej pod Bradlom</v>
          </cell>
          <cell r="H98" t="str">
            <v>017</v>
          </cell>
          <cell r="I98" t="str">
            <v>TN</v>
          </cell>
          <cell r="J98" t="str">
            <v>regionálny</v>
          </cell>
          <cell r="K98" t="str">
            <v>áno</v>
          </cell>
          <cell r="M98">
            <v>42740</v>
          </cell>
          <cell r="N98" t="str">
            <v>Aktivity nezačaté</v>
          </cell>
          <cell r="P98" t="str">
            <v>https://www.crz.gov.sk/index.php?ID=2761199&amp;l=sk</v>
          </cell>
          <cell r="Q98" t="str">
            <v>https://crp.gov.sk/rozsirenie-triedeneho-zberu-v-brezovej-pod-bradlom/</v>
          </cell>
          <cell r="R98" t="str">
            <v>OPKZP-PO1-SC111-2016-10/36</v>
          </cell>
          <cell r="S98">
            <v>0.85</v>
          </cell>
          <cell r="T98">
            <v>0.1</v>
          </cell>
          <cell r="U98">
            <v>0.05</v>
          </cell>
          <cell r="V98" t="str">
            <v>verejné</v>
          </cell>
          <cell r="W98">
            <v>699950</v>
          </cell>
          <cell r="X98">
            <v>594957.5</v>
          </cell>
          <cell r="Y98">
            <v>69995</v>
          </cell>
          <cell r="Z98">
            <v>664952.5</v>
          </cell>
          <cell r="AA98">
            <v>34997.5</v>
          </cell>
          <cell r="AB98">
            <v>699950</v>
          </cell>
          <cell r="AC98">
            <v>594957.5</v>
          </cell>
          <cell r="AD98">
            <v>69995</v>
          </cell>
          <cell r="AE98">
            <v>664952.5</v>
          </cell>
          <cell r="AF98">
            <v>34997.5</v>
          </cell>
          <cell r="AJ98">
            <v>0</v>
          </cell>
          <cell r="AO98">
            <v>0</v>
          </cell>
          <cell r="AQ98">
            <v>0</v>
          </cell>
          <cell r="AR98">
            <v>0</v>
          </cell>
        </row>
        <row r="99">
          <cell r="A99" t="str">
            <v>310011B276</v>
          </cell>
          <cell r="B99">
            <v>1</v>
          </cell>
          <cell r="C99" t="str">
            <v>1.1.1</v>
          </cell>
          <cell r="D99" t="str">
            <v>OPKZP-PO1-SC111-2016-10</v>
          </cell>
          <cell r="E99" t="str">
            <v>odpady</v>
          </cell>
          <cell r="F99" t="str">
            <v>Obec Lehnice</v>
          </cell>
          <cell r="G99" t="str">
            <v>Zvýšenie kvantitatívnej a kvalitatívnej úrovne separácie odpadov v obci Lehnice</v>
          </cell>
          <cell r="H99" t="str">
            <v>017</v>
          </cell>
          <cell r="I99" t="str">
            <v>TT</v>
          </cell>
          <cell r="J99" t="str">
            <v>regionálny</v>
          </cell>
          <cell r="K99" t="str">
            <v>áno</v>
          </cell>
          <cell r="M99">
            <v>42746</v>
          </cell>
          <cell r="N99" t="str">
            <v>Realizácia</v>
          </cell>
          <cell r="P99" t="str">
            <v>https://www.crz.gov.sk/index.php?ID=2765617&amp;l=sk</v>
          </cell>
          <cell r="Q99" t="str">
            <v>https://crp.gov.sk/zvysenie-kvantitativnej-a-kvalitativnej-urovne-separacie-odpadov-v-obci-lehnice/</v>
          </cell>
          <cell r="R99" t="str">
            <v>OPKZP-PO1-SC111-2016-10/37</v>
          </cell>
          <cell r="S99">
            <v>0.85</v>
          </cell>
          <cell r="T99">
            <v>0.1</v>
          </cell>
          <cell r="U99">
            <v>0.05</v>
          </cell>
          <cell r="V99" t="str">
            <v>verejné</v>
          </cell>
          <cell r="W99">
            <v>353470.8</v>
          </cell>
          <cell r="X99">
            <v>300450.18</v>
          </cell>
          <cell r="Y99">
            <v>35347.08</v>
          </cell>
          <cell r="Z99">
            <v>335797.26</v>
          </cell>
          <cell r="AA99">
            <v>17673.54</v>
          </cell>
          <cell r="AB99">
            <v>353470.8</v>
          </cell>
          <cell r="AC99">
            <v>300450.18</v>
          </cell>
          <cell r="AD99">
            <v>35347.08</v>
          </cell>
          <cell r="AE99">
            <v>335797.26</v>
          </cell>
          <cell r="AF99">
            <v>17673.54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35109.379999999997</v>
          </cell>
          <cell r="AM99">
            <v>29842.97</v>
          </cell>
          <cell r="AN99">
            <v>3510.94</v>
          </cell>
          <cell r="AO99">
            <v>33353.910000000003</v>
          </cell>
          <cell r="AP99">
            <v>1755.47</v>
          </cell>
          <cell r="AQ99">
            <v>0</v>
          </cell>
          <cell r="AR99">
            <v>0</v>
          </cell>
        </row>
        <row r="100">
          <cell r="A100" t="str">
            <v>310011B284</v>
          </cell>
          <cell r="B100">
            <v>1</v>
          </cell>
          <cell r="C100" t="str">
            <v>1.1.1</v>
          </cell>
          <cell r="D100" t="str">
            <v>OPKZP-PO1-SC111-2016-10</v>
          </cell>
          <cell r="E100" t="str">
            <v>odpady</v>
          </cell>
          <cell r="F100" t="str">
            <v>Obec Brestovec</v>
          </cell>
          <cell r="G100" t="str">
            <v>Eko dvor Brestovec</v>
          </cell>
          <cell r="H100" t="str">
            <v>017</v>
          </cell>
          <cell r="I100" t="str">
            <v>NR</v>
          </cell>
          <cell r="J100" t="str">
            <v>regionálny</v>
          </cell>
          <cell r="K100" t="str">
            <v>áno</v>
          </cell>
          <cell r="L100" t="str">
            <v>áno</v>
          </cell>
          <cell r="M100">
            <v>42741</v>
          </cell>
          <cell r="N100" t="str">
            <v>Realizácia</v>
          </cell>
          <cell r="P100" t="str">
            <v>https://www.crz.gov.sk/index.php?ID=2762734&amp;l=sk</v>
          </cell>
          <cell r="Q100" t="str">
            <v>https://crp.gov.sk/eko-dvor-brestovec/</v>
          </cell>
          <cell r="R100" t="str">
            <v>OPKZP-PO1-SC111-2016-10/38</v>
          </cell>
          <cell r="S100">
            <v>0.85</v>
          </cell>
          <cell r="T100">
            <v>0.1</v>
          </cell>
          <cell r="U100">
            <v>0.05</v>
          </cell>
          <cell r="V100" t="str">
            <v>verejné</v>
          </cell>
          <cell r="W100">
            <v>558298.55000000005</v>
          </cell>
          <cell r="X100">
            <v>474553.77</v>
          </cell>
          <cell r="Y100">
            <v>55829.86</v>
          </cell>
          <cell r="Z100">
            <v>530383.63</v>
          </cell>
          <cell r="AA100">
            <v>27914.93</v>
          </cell>
          <cell r="AB100">
            <v>542559.59</v>
          </cell>
          <cell r="AC100">
            <v>461175.65</v>
          </cell>
          <cell r="AD100">
            <v>54255.96</v>
          </cell>
          <cell r="AE100">
            <v>515431.61000000004</v>
          </cell>
          <cell r="AF100">
            <v>27127.98</v>
          </cell>
          <cell r="AJ100">
            <v>0</v>
          </cell>
          <cell r="AO100">
            <v>0</v>
          </cell>
          <cell r="AQ100">
            <v>0</v>
          </cell>
          <cell r="AR100">
            <v>0</v>
          </cell>
        </row>
        <row r="101">
          <cell r="A101" t="str">
            <v>310011B285</v>
          </cell>
          <cell r="B101">
            <v>1</v>
          </cell>
          <cell r="C101" t="str">
            <v>1.1.1</v>
          </cell>
          <cell r="D101" t="str">
            <v>OPKZP-PO1-SC111-2016-10</v>
          </cell>
          <cell r="E101" t="str">
            <v>odpady</v>
          </cell>
          <cell r="F101" t="str">
            <v>Obec Trhovište</v>
          </cell>
          <cell r="G101" t="str">
            <v>Strojové vybavenie zberného dvora v obci Trhovište</v>
          </cell>
          <cell r="H101" t="str">
            <v>017</v>
          </cell>
          <cell r="I101" t="str">
            <v>KE</v>
          </cell>
          <cell r="J101" t="str">
            <v>regionálny</v>
          </cell>
          <cell r="K101" t="str">
            <v>áno</v>
          </cell>
          <cell r="M101">
            <v>42748</v>
          </cell>
          <cell r="N101" t="str">
            <v>Aktivity nezačaté</v>
          </cell>
          <cell r="P101" t="str">
            <v>https://www.crz.gov.sk/index.php?ID=2769417&amp;l=sk</v>
          </cell>
          <cell r="Q101" t="str">
            <v>https://crp.gov.sk/strojove-vybavenie-zberneho-dvora-v-obci-trhoviste/</v>
          </cell>
          <cell r="R101" t="str">
            <v>OPKZP-PO1-SC111-2016-10/39</v>
          </cell>
          <cell r="S101">
            <v>0.85</v>
          </cell>
          <cell r="T101">
            <v>0.1</v>
          </cell>
          <cell r="U101">
            <v>0.05</v>
          </cell>
          <cell r="V101" t="str">
            <v>verejné</v>
          </cell>
          <cell r="W101">
            <v>573960</v>
          </cell>
          <cell r="X101">
            <v>487866</v>
          </cell>
          <cell r="Y101">
            <v>57396</v>
          </cell>
          <cell r="Z101">
            <v>545262</v>
          </cell>
          <cell r="AA101">
            <v>28698</v>
          </cell>
          <cell r="AB101">
            <v>573960</v>
          </cell>
          <cell r="AC101">
            <v>487866</v>
          </cell>
          <cell r="AD101">
            <v>57396</v>
          </cell>
          <cell r="AE101">
            <v>545262</v>
          </cell>
          <cell r="AF101">
            <v>28698</v>
          </cell>
          <cell r="AJ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A102" t="str">
            <v>310011B309</v>
          </cell>
          <cell r="B102">
            <v>1</v>
          </cell>
          <cell r="C102" t="str">
            <v>1.1.1</v>
          </cell>
          <cell r="D102" t="str">
            <v>OPKZP-PO1-SC111-2016-10</v>
          </cell>
          <cell r="E102" t="str">
            <v>odpady</v>
          </cell>
          <cell r="F102" t="str">
            <v>Obec Horná Poruba</v>
          </cell>
          <cell r="G102" t="str">
            <v>Zberný dvor v obci Horná Poruba</v>
          </cell>
          <cell r="H102" t="str">
            <v>017</v>
          </cell>
          <cell r="I102" t="str">
            <v>TN</v>
          </cell>
          <cell r="J102" t="str">
            <v>regionálny</v>
          </cell>
          <cell r="K102" t="str">
            <v>áno</v>
          </cell>
          <cell r="M102">
            <v>42741</v>
          </cell>
          <cell r="N102" t="str">
            <v>Realizácia</v>
          </cell>
          <cell r="P102" t="str">
            <v>https://www.crz.gov.sk/index.php?ID=2762234&amp;l=sk</v>
          </cell>
          <cell r="Q102" t="str">
            <v>https://crp.gov.sk/zberny-dvor-v-obci-horna-poruba/</v>
          </cell>
          <cell r="R102" t="str">
            <v>OPKZP-PO1-SC111-2016-10/40</v>
          </cell>
          <cell r="S102">
            <v>0.85</v>
          </cell>
          <cell r="T102">
            <v>0.1</v>
          </cell>
          <cell r="U102">
            <v>0.05</v>
          </cell>
          <cell r="V102" t="str">
            <v>verejné</v>
          </cell>
          <cell r="W102">
            <v>185557.93</v>
          </cell>
          <cell r="X102">
            <v>157724.24</v>
          </cell>
          <cell r="Y102">
            <v>18555.79</v>
          </cell>
          <cell r="Z102">
            <v>176280.03</v>
          </cell>
          <cell r="AA102">
            <v>9227.9</v>
          </cell>
          <cell r="AB102">
            <v>185557.93</v>
          </cell>
          <cell r="AC102">
            <v>157724.24</v>
          </cell>
          <cell r="AD102">
            <v>18555.79</v>
          </cell>
          <cell r="AE102">
            <v>176280.03</v>
          </cell>
          <cell r="AF102">
            <v>9227.9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95996.400000000009</v>
          </cell>
          <cell r="AM102">
            <v>81596.94</v>
          </cell>
          <cell r="AN102">
            <v>9599.64</v>
          </cell>
          <cell r="AO102">
            <v>91196.58</v>
          </cell>
          <cell r="AP102">
            <v>4799.82</v>
          </cell>
          <cell r="AQ102">
            <v>0</v>
          </cell>
          <cell r="AR102">
            <v>0</v>
          </cell>
        </row>
        <row r="103">
          <cell r="A103" t="str">
            <v>310011B316</v>
          </cell>
          <cell r="B103">
            <v>1</v>
          </cell>
          <cell r="C103" t="str">
            <v>1.1.1</v>
          </cell>
          <cell r="D103" t="str">
            <v>OPKZP-PO1-SC111-2016-11</v>
          </cell>
          <cell r="E103" t="str">
            <v>odpady</v>
          </cell>
          <cell r="F103" t="str">
            <v>Mestský podnik Dudince s.r.o.</v>
          </cell>
          <cell r="G103" t="str">
            <v>Triedený zber komunálnych odpadov a zhodnocovanie biologicky rozložiteľného komunálneho odpadu</v>
          </cell>
          <cell r="H103" t="str">
            <v>017</v>
          </cell>
          <cell r="I103" t="str">
            <v>BB</v>
          </cell>
          <cell r="J103" t="str">
            <v>regionálny</v>
          </cell>
          <cell r="K103" t="str">
            <v>áno</v>
          </cell>
          <cell r="M103">
            <v>42740</v>
          </cell>
          <cell r="N103" t="str">
            <v>Realizácia</v>
          </cell>
          <cell r="P103" t="str">
            <v>https://www.crz.gov.sk/index.php?ID=2760818&amp;l=sk</v>
          </cell>
          <cell r="Q103" t="str">
            <v>https://crp.gov.sk/triedeny-zber-komunalnych-odpadov-a%C2%A0zhodnocovanie-biologicky-rozlozitelneho-komunalneho-odpadu/</v>
          </cell>
          <cell r="R103" t="str">
            <v>OPKZP-PO1-SC111-2016-11/10</v>
          </cell>
          <cell r="S103">
            <v>0.85</v>
          </cell>
          <cell r="T103">
            <v>0.1</v>
          </cell>
          <cell r="U103">
            <v>0.05</v>
          </cell>
          <cell r="V103" t="str">
            <v>súkromné</v>
          </cell>
          <cell r="W103">
            <v>927690.87</v>
          </cell>
          <cell r="X103">
            <v>788537.24</v>
          </cell>
          <cell r="Y103">
            <v>92769.09</v>
          </cell>
          <cell r="Z103">
            <v>881306.33</v>
          </cell>
          <cell r="AA103">
            <v>46384.54</v>
          </cell>
          <cell r="AB103">
            <v>927690.87</v>
          </cell>
          <cell r="AC103">
            <v>788537.24</v>
          </cell>
          <cell r="AD103">
            <v>92769.09</v>
          </cell>
          <cell r="AE103">
            <v>881306.33</v>
          </cell>
          <cell r="AF103">
            <v>46384.54</v>
          </cell>
          <cell r="AJ103">
            <v>0</v>
          </cell>
          <cell r="AO103">
            <v>0</v>
          </cell>
          <cell r="AQ103">
            <v>0</v>
          </cell>
          <cell r="AR103">
            <v>0</v>
          </cell>
        </row>
        <row r="104">
          <cell r="A104" t="str">
            <v>310011B326</v>
          </cell>
          <cell r="B104">
            <v>1</v>
          </cell>
          <cell r="C104" t="str">
            <v>1.4.1</v>
          </cell>
          <cell r="D104" t="str">
            <v>OPKZP-PO1-SC141-2016-14</v>
          </cell>
          <cell r="E104" t="str">
            <v>vzduch</v>
          </cell>
          <cell r="F104" t="str">
            <v>U. S. Steel Košice, s.r.o.</v>
          </cell>
          <cell r="G104" t="str">
            <v>Odprašovanie aglomerácie – pás č. 1</v>
          </cell>
          <cell r="H104" t="str">
            <v>083</v>
          </cell>
          <cell r="I104" t="str">
            <v>KE</v>
          </cell>
          <cell r="J104" t="str">
            <v>regionálny</v>
          </cell>
          <cell r="K104" t="str">
            <v>áno</v>
          </cell>
          <cell r="M104">
            <v>42703</v>
          </cell>
          <cell r="N104" t="str">
            <v>Aktivity nezačaté</v>
          </cell>
          <cell r="P104" t="str">
            <v>https://www.crz.gov.sk/index.php?ID=2702618&amp;l=sk</v>
          </cell>
          <cell r="Q104" t="str">
            <v>https://crp.gov.sk/odprasovanie-aglomeracie-pas-c1/</v>
          </cell>
          <cell r="R104" t="str">
            <v>OPKZP-PO1-SC141-2016-14/03</v>
          </cell>
          <cell r="S104">
            <v>0.85</v>
          </cell>
          <cell r="T104">
            <v>0.05</v>
          </cell>
          <cell r="U104">
            <v>0.1</v>
          </cell>
          <cell r="V104" t="str">
            <v>súkromné</v>
          </cell>
          <cell r="W104">
            <v>12483355.85</v>
          </cell>
          <cell r="X104">
            <v>10610852.470000001</v>
          </cell>
          <cell r="Y104">
            <v>624167.79</v>
          </cell>
          <cell r="Z104">
            <v>11235020.260000002</v>
          </cell>
          <cell r="AA104">
            <v>1248335.5900000001</v>
          </cell>
          <cell r="AB104">
            <v>12483355.85</v>
          </cell>
          <cell r="AC104">
            <v>10610852.470000001</v>
          </cell>
          <cell r="AD104">
            <v>624167.79</v>
          </cell>
          <cell r="AE104">
            <v>11235020.260000002</v>
          </cell>
          <cell r="AF104">
            <v>1248335.5900000001</v>
          </cell>
          <cell r="AJ104">
            <v>0</v>
          </cell>
          <cell r="AO104">
            <v>0</v>
          </cell>
          <cell r="AQ104">
            <v>0</v>
          </cell>
          <cell r="AR104">
            <v>0</v>
          </cell>
        </row>
        <row r="105">
          <cell r="A105" t="str">
            <v>310011B327</v>
          </cell>
          <cell r="B105">
            <v>1</v>
          </cell>
          <cell r="C105" t="str">
            <v>1.4.1</v>
          </cell>
          <cell r="D105" t="str">
            <v>OPKZP-PO1-SC141-2016-14</v>
          </cell>
          <cell r="E105" t="str">
            <v>vzduch</v>
          </cell>
          <cell r="F105" t="str">
            <v>U. S. Steel Košice, s.r.o.</v>
          </cell>
          <cell r="G105" t="str">
            <v>Odprašovanie aglomerácie – pás č. 2</v>
          </cell>
          <cell r="H105" t="str">
            <v>083</v>
          </cell>
          <cell r="I105" t="str">
            <v>KE</v>
          </cell>
          <cell r="J105" t="str">
            <v>regionálny</v>
          </cell>
          <cell r="K105" t="str">
            <v>áno</v>
          </cell>
          <cell r="M105">
            <v>42703</v>
          </cell>
          <cell r="N105" t="str">
            <v>Aktivity nezačaté</v>
          </cell>
          <cell r="P105" t="str">
            <v>https://www.crz.gov.sk/index.php?ID=2702668&amp;l=sk</v>
          </cell>
          <cell r="Q105" t="str">
            <v>https://crp.gov.sk/odprasovanie-aglomeracie-pas-c2/</v>
          </cell>
          <cell r="R105" t="str">
            <v>OPKZP-PO1-SC141-2016-14/04</v>
          </cell>
          <cell r="S105">
            <v>0.85</v>
          </cell>
          <cell r="T105">
            <v>0.05</v>
          </cell>
          <cell r="U105">
            <v>0.1</v>
          </cell>
          <cell r="V105" t="str">
            <v>súkromné</v>
          </cell>
          <cell r="W105">
            <v>12920513.1</v>
          </cell>
          <cell r="X105">
            <v>10982436.140000001</v>
          </cell>
          <cell r="Y105">
            <v>646025.66</v>
          </cell>
          <cell r="Z105">
            <v>11628461.800000001</v>
          </cell>
          <cell r="AA105">
            <v>1292051.31</v>
          </cell>
          <cell r="AB105">
            <v>12920513.1</v>
          </cell>
          <cell r="AC105">
            <v>10982436.140000001</v>
          </cell>
          <cell r="AD105">
            <v>646025.66</v>
          </cell>
          <cell r="AE105">
            <v>11628461.800000001</v>
          </cell>
          <cell r="AF105">
            <v>1292051.31</v>
          </cell>
          <cell r="AJ105">
            <v>0</v>
          </cell>
          <cell r="AO105">
            <v>0</v>
          </cell>
          <cell r="AQ105">
            <v>0</v>
          </cell>
          <cell r="AR105">
            <v>0</v>
          </cell>
        </row>
        <row r="106">
          <cell r="A106" t="str">
            <v>310011B328</v>
          </cell>
          <cell r="B106">
            <v>1</v>
          </cell>
          <cell r="C106" t="str">
            <v>1.4.1</v>
          </cell>
          <cell r="D106" t="str">
            <v>OPKZP-PO1-SC141-2016-14</v>
          </cell>
          <cell r="E106" t="str">
            <v>vzduch</v>
          </cell>
          <cell r="F106" t="str">
            <v>U. S. Steel Košice, s.r.o.</v>
          </cell>
          <cell r="G106" t="str">
            <v>Odprašovanie aglomerácie – pás č.3</v>
          </cell>
          <cell r="H106" t="str">
            <v>083</v>
          </cell>
          <cell r="I106" t="str">
            <v>KE</v>
          </cell>
          <cell r="J106" t="str">
            <v>regionálny</v>
          </cell>
          <cell r="K106" t="str">
            <v>áno</v>
          </cell>
          <cell r="M106">
            <v>42703</v>
          </cell>
          <cell r="N106" t="str">
            <v>Aktivity nezačaté</v>
          </cell>
          <cell r="P106" t="str">
            <v>https://www.crz.gov.sk/index.php?ID=2702767&amp;l=sk</v>
          </cell>
          <cell r="Q106" t="str">
            <v>https://crp.gov.sk/odprasovanie-aglomeracie-pas-c-3/</v>
          </cell>
          <cell r="R106" t="str">
            <v>OPKZP-PO1-SC141-2016-14/05</v>
          </cell>
          <cell r="S106">
            <v>0.85</v>
          </cell>
          <cell r="T106">
            <v>0.05</v>
          </cell>
          <cell r="U106">
            <v>0.1</v>
          </cell>
          <cell r="V106" t="str">
            <v>súkromné</v>
          </cell>
          <cell r="W106">
            <v>13664826.470000001</v>
          </cell>
          <cell r="X106">
            <v>11615102.5</v>
          </cell>
          <cell r="Y106">
            <v>683241.32</v>
          </cell>
          <cell r="Z106">
            <v>12298343.82</v>
          </cell>
          <cell r="AA106">
            <v>1366482.65</v>
          </cell>
          <cell r="AB106">
            <v>13664826.470000001</v>
          </cell>
          <cell r="AC106">
            <v>11615102.5</v>
          </cell>
          <cell r="AD106">
            <v>683241.32</v>
          </cell>
          <cell r="AE106">
            <v>12298343.82</v>
          </cell>
          <cell r="AF106">
            <v>1366482.65</v>
          </cell>
          <cell r="AJ106">
            <v>0</v>
          </cell>
          <cell r="AO106">
            <v>0</v>
          </cell>
          <cell r="AQ106">
            <v>0</v>
          </cell>
          <cell r="AR106">
            <v>0</v>
          </cell>
        </row>
        <row r="107">
          <cell r="A107" t="str">
            <v>310011B331</v>
          </cell>
          <cell r="B107">
            <v>1</v>
          </cell>
          <cell r="C107" t="str">
            <v>1.4.1</v>
          </cell>
          <cell r="D107" t="str">
            <v>OPKZP-PO1-SC141-2016-14</v>
          </cell>
          <cell r="E107" t="str">
            <v>vzduch</v>
          </cell>
          <cell r="F107" t="str">
            <v>U. S. Steel Košice, s.r.o.</v>
          </cell>
          <cell r="G107" t="str">
            <v>Odprašovanie aglomerácie – pás č.4</v>
          </cell>
          <cell r="H107" t="str">
            <v>083</v>
          </cell>
          <cell r="I107" t="str">
            <v>KE</v>
          </cell>
          <cell r="J107" t="str">
            <v>regionálny</v>
          </cell>
          <cell r="K107" t="str">
            <v>áno</v>
          </cell>
          <cell r="M107">
            <v>42704</v>
          </cell>
          <cell r="N107" t="str">
            <v>Aktivity nezačaté</v>
          </cell>
          <cell r="P107" t="str">
            <v>https://www.crz.gov.sk/index.php?ID=2704735&amp;l=sk</v>
          </cell>
          <cell r="Q107" t="str">
            <v>https://crp.gov.sk/odprasenie-aglomeracie-pas-c-4/</v>
          </cell>
          <cell r="R107" t="str">
            <v>OPKZP-PO1-SC141-2016-14/06</v>
          </cell>
          <cell r="S107">
            <v>0.85</v>
          </cell>
          <cell r="T107">
            <v>0.05</v>
          </cell>
          <cell r="U107">
            <v>0.1</v>
          </cell>
          <cell r="V107" t="str">
            <v>súkromné</v>
          </cell>
          <cell r="W107">
            <v>12929032</v>
          </cell>
          <cell r="X107">
            <v>10989677.199999999</v>
          </cell>
          <cell r="Y107">
            <v>646451.6</v>
          </cell>
          <cell r="Z107">
            <v>11636128.799999999</v>
          </cell>
          <cell r="AA107">
            <v>1292903.2</v>
          </cell>
          <cell r="AB107">
            <v>12929032</v>
          </cell>
          <cell r="AC107">
            <v>10989677.199999999</v>
          </cell>
          <cell r="AD107">
            <v>646451.6</v>
          </cell>
          <cell r="AE107">
            <v>11636128.799999999</v>
          </cell>
          <cell r="AF107">
            <v>1292903.2</v>
          </cell>
          <cell r="AJ107">
            <v>0</v>
          </cell>
          <cell r="AO107">
            <v>0</v>
          </cell>
          <cell r="AQ107">
            <v>0</v>
          </cell>
          <cell r="AR107">
            <v>0</v>
          </cell>
        </row>
        <row r="108">
          <cell r="A108" t="str">
            <v>310011B332</v>
          </cell>
          <cell r="B108">
            <v>1</v>
          </cell>
          <cell r="C108" t="str">
            <v>1.4.1</v>
          </cell>
          <cell r="D108" t="str">
            <v>OPKZP-PO1-SC141-2016-14</v>
          </cell>
          <cell r="E108" t="str">
            <v>vzduch</v>
          </cell>
          <cell r="F108" t="str">
            <v>U. S. Steel Košice, s.r.o.</v>
          </cell>
          <cell r="G108" t="str">
            <v>Odprášenie koncov spekacích pásov 1 a 2</v>
          </cell>
          <cell r="H108" t="str">
            <v>083</v>
          </cell>
          <cell r="I108" t="str">
            <v>KE</v>
          </cell>
          <cell r="J108" t="str">
            <v>regionálny</v>
          </cell>
          <cell r="K108" t="str">
            <v>áno</v>
          </cell>
          <cell r="M108">
            <v>42704</v>
          </cell>
          <cell r="N108" t="str">
            <v>Realizácia</v>
          </cell>
          <cell r="P108" t="str">
            <v>https://www.crz.gov.sk/index.php?ID=2704630&amp;l=sk</v>
          </cell>
          <cell r="Q108" t="str">
            <v>https://crp.gov.sk/odprasenie-koncov-spekacich-pasov-1-a-2/</v>
          </cell>
          <cell r="R108" t="str">
            <v>OPKZP-PO1-SC141-2016-14/07</v>
          </cell>
          <cell r="S108">
            <v>0.85</v>
          </cell>
          <cell r="T108">
            <v>0.05</v>
          </cell>
          <cell r="U108">
            <v>0.1</v>
          </cell>
          <cell r="V108" t="str">
            <v>súkromné</v>
          </cell>
          <cell r="W108">
            <v>5980795</v>
          </cell>
          <cell r="X108">
            <v>5083675.75</v>
          </cell>
          <cell r="Y108">
            <v>299039.75</v>
          </cell>
          <cell r="Z108">
            <v>5382715.5</v>
          </cell>
          <cell r="AA108">
            <v>598079.5</v>
          </cell>
          <cell r="AB108">
            <v>5980795</v>
          </cell>
          <cell r="AC108">
            <v>5083675.75</v>
          </cell>
          <cell r="AD108">
            <v>299039.75</v>
          </cell>
          <cell r="AE108">
            <v>5382715.5</v>
          </cell>
          <cell r="AF108">
            <v>598079.5</v>
          </cell>
          <cell r="AG108">
            <v>30050</v>
          </cell>
          <cell r="AH108">
            <v>25542.5</v>
          </cell>
          <cell r="AI108">
            <v>1502.5</v>
          </cell>
          <cell r="AJ108">
            <v>27045</v>
          </cell>
          <cell r="AK108">
            <v>3005</v>
          </cell>
          <cell r="AL108">
            <v>120000</v>
          </cell>
          <cell r="AM108">
            <v>102000</v>
          </cell>
          <cell r="AN108">
            <v>6000</v>
          </cell>
          <cell r="AO108">
            <v>108000</v>
          </cell>
          <cell r="AP108">
            <v>12000</v>
          </cell>
          <cell r="AQ108">
            <v>0</v>
          </cell>
          <cell r="AR108">
            <v>0</v>
          </cell>
        </row>
        <row r="109">
          <cell r="A109" t="str">
            <v>310011B334</v>
          </cell>
          <cell r="B109">
            <v>1</v>
          </cell>
          <cell r="C109" t="str">
            <v>1.4.1</v>
          </cell>
          <cell r="D109" t="str">
            <v>OPKZP-PO1-SC141-2016-14</v>
          </cell>
          <cell r="E109" t="str">
            <v>vzduch</v>
          </cell>
          <cell r="F109" t="str">
            <v>U. S. Steel Košice, s.r.o.</v>
          </cell>
          <cell r="G109" t="str">
            <v>Odprášenie koncov spekacích pásov 3 a 4</v>
          </cell>
          <cell r="H109" t="str">
            <v>083</v>
          </cell>
          <cell r="I109" t="str">
            <v>KE</v>
          </cell>
          <cell r="J109" t="str">
            <v>regionálny</v>
          </cell>
          <cell r="K109" t="str">
            <v>áno</v>
          </cell>
          <cell r="M109">
            <v>42704</v>
          </cell>
          <cell r="N109" t="str">
            <v>Realizácia</v>
          </cell>
          <cell r="P109" t="str">
            <v>https://www.crz.gov.sk/index.php?ID=2704343&amp;l=sk</v>
          </cell>
          <cell r="Q109" t="str">
            <v>https://crp.gov.sk/odprasenie-koncov-spekacich-pasov-3-a-4/</v>
          </cell>
          <cell r="R109" t="str">
            <v>OPKZP-PO1-SC141-2016-14/08</v>
          </cell>
          <cell r="S109">
            <v>0.85</v>
          </cell>
          <cell r="T109">
            <v>0.05</v>
          </cell>
          <cell r="U109">
            <v>0.1</v>
          </cell>
          <cell r="V109" t="str">
            <v>súkromné</v>
          </cell>
          <cell r="W109">
            <v>6382915</v>
          </cell>
          <cell r="X109">
            <v>5425477.75</v>
          </cell>
          <cell r="Y109">
            <v>319145.75</v>
          </cell>
          <cell r="Z109">
            <v>5744623.5</v>
          </cell>
          <cell r="AA109">
            <v>638291.5</v>
          </cell>
          <cell r="AB109">
            <v>6382915</v>
          </cell>
          <cell r="AC109">
            <v>5425477.75</v>
          </cell>
          <cell r="AD109">
            <v>319145.75</v>
          </cell>
          <cell r="AE109">
            <v>5744623.5</v>
          </cell>
          <cell r="AF109">
            <v>638291.5</v>
          </cell>
          <cell r="AG109">
            <v>269400</v>
          </cell>
          <cell r="AH109">
            <v>228990</v>
          </cell>
          <cell r="AI109">
            <v>13470</v>
          </cell>
          <cell r="AJ109">
            <v>242460</v>
          </cell>
          <cell r="AK109">
            <v>26940</v>
          </cell>
          <cell r="AL109">
            <v>120000</v>
          </cell>
          <cell r="AM109">
            <v>102000</v>
          </cell>
          <cell r="AN109">
            <v>6000</v>
          </cell>
          <cell r="AO109">
            <v>108000</v>
          </cell>
          <cell r="AP109">
            <v>12000</v>
          </cell>
          <cell r="AQ109">
            <v>0</v>
          </cell>
          <cell r="AR109">
            <v>0</v>
          </cell>
        </row>
        <row r="110">
          <cell r="A110" t="str">
            <v>310011B358</v>
          </cell>
          <cell r="B110">
            <v>1</v>
          </cell>
          <cell r="C110" t="str">
            <v>1.1.1</v>
          </cell>
          <cell r="D110" t="str">
            <v>OPKZP-PO1-SC111-2016-10</v>
          </cell>
          <cell r="E110" t="str">
            <v>odpady</v>
          </cell>
          <cell r="F110" t="str">
            <v>Obec Fričovce</v>
          </cell>
          <cell r="G110" t="str">
            <v>Zavedenie zberu biologicky rozložiteľného komunálneho odpadu v obci Fričovce</v>
          </cell>
          <cell r="H110" t="str">
            <v>017</v>
          </cell>
          <cell r="I110" t="str">
            <v>PO</v>
          </cell>
          <cell r="J110" t="str">
            <v>regionálny</v>
          </cell>
          <cell r="K110" t="str">
            <v>áno</v>
          </cell>
          <cell r="M110">
            <v>42741</v>
          </cell>
          <cell r="N110" t="str">
            <v>Realizácia</v>
          </cell>
          <cell r="P110" t="str">
            <v>https://www.crz.gov.sk/index.php?ID=2762209&amp;l=sk</v>
          </cell>
          <cell r="Q110" t="str">
            <v>https://crp.gov.sk/zavedenie-zberu-biologicky-rozlozitelneho-komunalneho-odpadu-v-obci-fricovce/</v>
          </cell>
          <cell r="R110" t="str">
            <v>OPKZP-PO1-SC111-2016-10/41</v>
          </cell>
          <cell r="S110">
            <v>0.85</v>
          </cell>
          <cell r="T110">
            <v>0.1</v>
          </cell>
          <cell r="U110">
            <v>0.05</v>
          </cell>
          <cell r="V110" t="str">
            <v>verejné</v>
          </cell>
          <cell r="W110">
            <v>295960.2</v>
          </cell>
          <cell r="X110">
            <v>251566.17</v>
          </cell>
          <cell r="Y110">
            <v>29596.02</v>
          </cell>
          <cell r="Z110">
            <v>281162.19</v>
          </cell>
          <cell r="AA110">
            <v>14798.01</v>
          </cell>
          <cell r="AB110">
            <v>295960.2</v>
          </cell>
          <cell r="AC110">
            <v>251566.17</v>
          </cell>
          <cell r="AD110">
            <v>29596.02</v>
          </cell>
          <cell r="AE110">
            <v>281162.19</v>
          </cell>
          <cell r="AF110">
            <v>14798.01</v>
          </cell>
          <cell r="AG110">
            <v>320</v>
          </cell>
          <cell r="AH110">
            <v>272</v>
          </cell>
          <cell r="AI110">
            <v>32</v>
          </cell>
          <cell r="AJ110">
            <v>304</v>
          </cell>
          <cell r="AK110">
            <v>16</v>
          </cell>
          <cell r="AL110">
            <v>5780</v>
          </cell>
          <cell r="AM110">
            <v>4913</v>
          </cell>
          <cell r="AN110">
            <v>578</v>
          </cell>
          <cell r="AO110">
            <v>5491</v>
          </cell>
          <cell r="AP110">
            <v>289</v>
          </cell>
          <cell r="AQ110">
            <v>0</v>
          </cell>
          <cell r="AR110">
            <v>0</v>
          </cell>
        </row>
        <row r="111">
          <cell r="A111" t="str">
            <v>310011B363</v>
          </cell>
          <cell r="B111">
            <v>1</v>
          </cell>
          <cell r="C111" t="str">
            <v>1.1.1</v>
          </cell>
          <cell r="D111" t="str">
            <v>OPKZP-PO1-SC111-2016-11</v>
          </cell>
          <cell r="E111" t="str">
            <v>odpady</v>
          </cell>
          <cell r="F111" t="str">
            <v>Obec Diviacka Nová Ves</v>
          </cell>
          <cell r="G111" t="str">
            <v>Zhodnotenie biologicky rozložiteľného komunálneho odpadu v obci Diviacka Nová Ves</v>
          </cell>
          <cell r="H111" t="str">
            <v>017</v>
          </cell>
          <cell r="I111" t="str">
            <v>TN</v>
          </cell>
          <cell r="J111" t="str">
            <v>regionálny</v>
          </cell>
          <cell r="K111" t="str">
            <v>áno</v>
          </cell>
          <cell r="M111">
            <v>42740</v>
          </cell>
          <cell r="N111" t="str">
            <v>Realizácia</v>
          </cell>
          <cell r="P111" t="str">
            <v>https://www.crz.gov.sk/index.php?ID=2760352&amp;l=sk</v>
          </cell>
          <cell r="Q111" t="str">
            <v>https://crp.gov.sk/zhodnotenie-biologicky-rozlozitelneho-komunalneho-odpadu-v-obci-diviacka-nova-ves/</v>
          </cell>
          <cell r="R111" t="str">
            <v>OPKZP-PO1-SC111-2016-11/11</v>
          </cell>
          <cell r="S111">
            <v>0.85</v>
          </cell>
          <cell r="T111">
            <v>0.1</v>
          </cell>
          <cell r="U111">
            <v>0.05</v>
          </cell>
          <cell r="V111" t="str">
            <v>verejné</v>
          </cell>
          <cell r="W111">
            <v>502190.58</v>
          </cell>
          <cell r="X111">
            <v>426861.99</v>
          </cell>
          <cell r="Y111">
            <v>50219.06</v>
          </cell>
          <cell r="Z111">
            <v>477081.05</v>
          </cell>
          <cell r="AA111">
            <v>25109.53</v>
          </cell>
          <cell r="AB111">
            <v>502190.58</v>
          </cell>
          <cell r="AC111">
            <v>426861.99</v>
          </cell>
          <cell r="AD111">
            <v>50219.06</v>
          </cell>
          <cell r="AE111">
            <v>477081.05</v>
          </cell>
          <cell r="AF111">
            <v>25109.53</v>
          </cell>
          <cell r="AJ111">
            <v>0</v>
          </cell>
          <cell r="AO111">
            <v>0</v>
          </cell>
          <cell r="AQ111">
            <v>0</v>
          </cell>
          <cell r="AR111">
            <v>0</v>
          </cell>
        </row>
        <row r="112">
          <cell r="A112" t="str">
            <v>310011B371</v>
          </cell>
          <cell r="B112">
            <v>1</v>
          </cell>
          <cell r="C112" t="str">
            <v>1.1.1</v>
          </cell>
          <cell r="D112" t="str">
            <v>OPKZP-PO1-SC111-2016-10</v>
          </cell>
          <cell r="E112" t="str">
            <v>odpady</v>
          </cell>
          <cell r="F112" t="str">
            <v>Obec Krajné</v>
          </cell>
          <cell r="G112" t="str">
            <v>Zefektívnenie systému triedeného zberu v obci Krajné</v>
          </cell>
          <cell r="H112" t="str">
            <v>017</v>
          </cell>
          <cell r="I112" t="str">
            <v>TN</v>
          </cell>
          <cell r="J112" t="str">
            <v>regionálny</v>
          </cell>
          <cell r="K112" t="str">
            <v>áno</v>
          </cell>
          <cell r="L112" t="str">
            <v>áno</v>
          </cell>
          <cell r="M112">
            <v>42740</v>
          </cell>
          <cell r="N112" t="str">
            <v>Realizácia</v>
          </cell>
          <cell r="P112" t="str">
            <v>https://www.crz.gov.sk/index.php?ID=2760578&amp;l=sk</v>
          </cell>
          <cell r="Q112" t="str">
            <v>https://crp.gov.sk/zefektivnenie-systemu-triedeneho-zberu-v-obci-krajne/</v>
          </cell>
          <cell r="R112" t="str">
            <v>OPKZP-PO1-SC111-2016-10/42</v>
          </cell>
          <cell r="S112">
            <v>0.85</v>
          </cell>
          <cell r="T112">
            <v>0.1</v>
          </cell>
          <cell r="U112">
            <v>0.05</v>
          </cell>
          <cell r="V112" t="str">
            <v>verejné</v>
          </cell>
          <cell r="W112">
            <v>156834.79999999999</v>
          </cell>
          <cell r="X112">
            <v>133309.57999999999</v>
          </cell>
          <cell r="Y112">
            <v>15683.48</v>
          </cell>
          <cell r="Z112">
            <v>148993.06</v>
          </cell>
          <cell r="AA112">
            <v>7841.74</v>
          </cell>
          <cell r="AB112">
            <v>156834.79999999999</v>
          </cell>
          <cell r="AC112">
            <v>133309.57999999999</v>
          </cell>
          <cell r="AD112">
            <v>15683.48</v>
          </cell>
          <cell r="AE112">
            <v>148993.06</v>
          </cell>
          <cell r="AF112">
            <v>7841.74</v>
          </cell>
          <cell r="AJ112">
            <v>0</v>
          </cell>
          <cell r="AO112">
            <v>0</v>
          </cell>
          <cell r="AQ112">
            <v>0</v>
          </cell>
          <cell r="AR112">
            <v>0</v>
          </cell>
        </row>
        <row r="113">
          <cell r="A113" t="str">
            <v>310011B372</v>
          </cell>
          <cell r="B113">
            <v>1</v>
          </cell>
          <cell r="C113" t="str">
            <v>1.1.1</v>
          </cell>
          <cell r="D113" t="str">
            <v>OPKZP-PO1-SC111-2016-11</v>
          </cell>
          <cell r="E113" t="str">
            <v>odpady</v>
          </cell>
          <cell r="F113" t="str">
            <v>Obec Ráztočno</v>
          </cell>
          <cell r="G113" t="str">
            <v>Zhodnocovanie biologicky rozložiteľného komunálneho odpadu v obci Ráztočno</v>
          </cell>
          <cell r="H113" t="str">
            <v>017</v>
          </cell>
          <cell r="I113" t="str">
            <v>TN</v>
          </cell>
          <cell r="J113" t="str">
            <v>regionálny</v>
          </cell>
          <cell r="K113" t="str">
            <v>áno</v>
          </cell>
          <cell r="M113">
            <v>42726</v>
          </cell>
          <cell r="N113" t="str">
            <v>Realizácia</v>
          </cell>
          <cell r="P113" t="str">
            <v>https://www.crz.gov.sk/index.php?ID=2743445&amp;l=sk</v>
          </cell>
          <cell r="Q113" t="str">
            <v>https://crp.gov.sk/zhodnocovanie-biologicky-rozlozitelneho-komunalneho-odpadu-v-obci-raztocno/</v>
          </cell>
          <cell r="R113" t="str">
            <v>OPKZP-PO1-SC111-2016-11/12</v>
          </cell>
          <cell r="S113">
            <v>0.85</v>
          </cell>
          <cell r="T113">
            <v>0.1</v>
          </cell>
          <cell r="U113">
            <v>0.05</v>
          </cell>
          <cell r="V113" t="str">
            <v>verejné</v>
          </cell>
          <cell r="W113">
            <v>281000.09000000003</v>
          </cell>
          <cell r="X113">
            <v>238850.08</v>
          </cell>
          <cell r="Y113">
            <v>28100.01</v>
          </cell>
          <cell r="Z113">
            <v>266950.08999999997</v>
          </cell>
          <cell r="AA113">
            <v>14050</v>
          </cell>
          <cell r="AB113">
            <v>281000.09000000003</v>
          </cell>
          <cell r="AC113">
            <v>238850.08</v>
          </cell>
          <cell r="AD113">
            <v>28100.01</v>
          </cell>
          <cell r="AE113">
            <v>266950.08999999997</v>
          </cell>
          <cell r="AF113">
            <v>14050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48320.47</v>
          </cell>
          <cell r="AM113">
            <v>41072.400000000001</v>
          </cell>
          <cell r="AN113">
            <v>4832.05</v>
          </cell>
          <cell r="AO113">
            <v>45904.450000000004</v>
          </cell>
          <cell r="AP113">
            <v>2416.02</v>
          </cell>
          <cell r="AQ113">
            <v>0</v>
          </cell>
          <cell r="AR113">
            <v>0</v>
          </cell>
        </row>
        <row r="114">
          <cell r="A114" t="str">
            <v>310011B386</v>
          </cell>
          <cell r="B114">
            <v>1</v>
          </cell>
          <cell r="C114" t="str">
            <v>1.4.1</v>
          </cell>
          <cell r="D114" t="str">
            <v>OPKZP-PO1-SC141-2015-7</v>
          </cell>
          <cell r="E114" t="str">
            <v>vzduch</v>
          </cell>
          <cell r="F114" t="str">
            <v>Schüle Slovakia, s.r.o.</v>
          </cell>
          <cell r="G114" t="str">
            <v>Znižovanie emisií zo stacionárnych zdrojov znečisťovania ovzdušia v spoločnosti Schüle Slovakia, s.r.o.</v>
          </cell>
          <cell r="H114" t="str">
            <v>083</v>
          </cell>
          <cell r="I114" t="str">
            <v>PO</v>
          </cell>
          <cell r="J114" t="str">
            <v>regionálny</v>
          </cell>
          <cell r="K114" t="str">
            <v>áno</v>
          </cell>
          <cell r="M114">
            <v>42678</v>
          </cell>
          <cell r="N114" t="str">
            <v>Realizácia</v>
          </cell>
          <cell r="P114" t="str">
            <v>https://www.crz.gov.sk/index.php?ID=2670968&amp;l=sk</v>
          </cell>
          <cell r="Q114" t="str">
            <v>https://crp.gov.sk/znizovanie-emisii-zo-stacionarnych-zdrojov-znecistovania-ovzdusia-v-spolocnosti-schule-slovakia-sro/</v>
          </cell>
          <cell r="R114" t="str">
            <v>OPKZP-PO1-SC141-2015-7/05</v>
          </cell>
          <cell r="S114">
            <v>0.55000000000000004</v>
          </cell>
          <cell r="T114">
            <v>0</v>
          </cell>
          <cell r="U114">
            <v>0.45</v>
          </cell>
          <cell r="V114" t="str">
            <v>súkromné</v>
          </cell>
          <cell r="W114">
            <v>1436346.08</v>
          </cell>
          <cell r="X114">
            <v>789990.34</v>
          </cell>
          <cell r="Y114">
            <v>0</v>
          </cell>
          <cell r="Z114">
            <v>789990.34</v>
          </cell>
          <cell r="AA114">
            <v>646355.74</v>
          </cell>
          <cell r="AB114">
            <v>1436346.08</v>
          </cell>
          <cell r="AC114">
            <v>789990.34</v>
          </cell>
          <cell r="AD114">
            <v>0</v>
          </cell>
          <cell r="AE114">
            <v>789990.34</v>
          </cell>
          <cell r="AF114">
            <v>646355.74</v>
          </cell>
          <cell r="AJ114">
            <v>0</v>
          </cell>
          <cell r="AO114">
            <v>0</v>
          </cell>
          <cell r="AQ114">
            <v>0</v>
          </cell>
          <cell r="AR114">
            <v>0</v>
          </cell>
        </row>
        <row r="115">
          <cell r="A115" t="str">
            <v>310011B390</v>
          </cell>
          <cell r="B115">
            <v>1</v>
          </cell>
          <cell r="C115" t="str">
            <v>1.1.1</v>
          </cell>
          <cell r="D115" t="str">
            <v>OPKZP-PO1-SC111-2016-10</v>
          </cell>
          <cell r="E115" t="str">
            <v>odpady</v>
          </cell>
          <cell r="F115" t="str">
            <v>Obec Hranovnica</v>
          </cell>
          <cell r="G115" t="str">
            <v>Triedený zber komunálnych odpadov v obci Hranovnica</v>
          </cell>
          <cell r="H115" t="str">
            <v>017</v>
          </cell>
          <cell r="I115" t="str">
            <v>PO</v>
          </cell>
          <cell r="J115" t="str">
            <v>regionálny</v>
          </cell>
          <cell r="K115" t="str">
            <v>áno</v>
          </cell>
          <cell r="L115" t="str">
            <v>áno</v>
          </cell>
          <cell r="M115">
            <v>42741</v>
          </cell>
          <cell r="N115" t="str">
            <v>Realizácia</v>
          </cell>
          <cell r="P115" t="str">
            <v>https://www.crz.gov.sk/index.php?ID=2762194&amp;l=sk</v>
          </cell>
          <cell r="Q115" t="str">
            <v>https://crp.gov.sk/79574-sk/skvalitnenie-triedeneho-zberu-komunalneho-odpadu-technika-pre-zvoz-a-spracovanie-biologicky-rozlozitelneho-komunalneho-odpadu/</v>
          </cell>
          <cell r="R115" t="str">
            <v>OPKZP-PO1-SC111-2016-10/43</v>
          </cell>
          <cell r="S115">
            <v>0.85</v>
          </cell>
          <cell r="T115">
            <v>0.1</v>
          </cell>
          <cell r="U115">
            <v>0.05</v>
          </cell>
          <cell r="V115" t="str">
            <v>verejné</v>
          </cell>
          <cell r="W115">
            <v>125010.26</v>
          </cell>
          <cell r="X115">
            <v>106258.72</v>
          </cell>
          <cell r="Y115">
            <v>12501.03</v>
          </cell>
          <cell r="Z115">
            <v>118759.75</v>
          </cell>
          <cell r="AA115">
            <v>6250.51</v>
          </cell>
          <cell r="AB115">
            <v>125010.26</v>
          </cell>
          <cell r="AC115">
            <v>106258.72</v>
          </cell>
          <cell r="AD115">
            <v>12501.03</v>
          </cell>
          <cell r="AE115">
            <v>118759.75</v>
          </cell>
          <cell r="AF115">
            <v>6250.51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39523.99</v>
          </cell>
          <cell r="AM115">
            <v>33595.39</v>
          </cell>
          <cell r="AN115">
            <v>3952.4</v>
          </cell>
          <cell r="AO115">
            <v>37547.79</v>
          </cell>
          <cell r="AP115">
            <v>1976.2</v>
          </cell>
          <cell r="AQ115">
            <v>0</v>
          </cell>
          <cell r="AR115">
            <v>0</v>
          </cell>
        </row>
        <row r="116">
          <cell r="A116" t="str">
            <v>310011B409</v>
          </cell>
          <cell r="B116">
            <v>1</v>
          </cell>
          <cell r="C116" t="str">
            <v>1.1.1</v>
          </cell>
          <cell r="D116" t="str">
            <v>OPKZP-PO1-SC111-2016-10</v>
          </cell>
          <cell r="E116" t="str">
            <v>odpady</v>
          </cell>
          <cell r="F116" t="str">
            <v>Obec Hul</v>
          </cell>
          <cell r="G116" t="str">
            <v>Separovaný zber komunálneho odpadu v obci Hul</v>
          </cell>
          <cell r="H116" t="str">
            <v>017</v>
          </cell>
          <cell r="I116" t="str">
            <v>NR</v>
          </cell>
          <cell r="J116" t="str">
            <v>regionálny</v>
          </cell>
          <cell r="K116" t="str">
            <v>áno</v>
          </cell>
          <cell r="L116" t="str">
            <v>áno</v>
          </cell>
          <cell r="M116">
            <v>42755</v>
          </cell>
          <cell r="N116" t="str">
            <v>Realizácia</v>
          </cell>
          <cell r="P116" t="str">
            <v>https://www.crz.gov.sk/index.php?ID=2777086&amp;l=sk</v>
          </cell>
          <cell r="Q116" t="str">
            <v>https://crp.gov.sk/separovany-zber-komunalneho-odpadu-v-obci-hul/</v>
          </cell>
          <cell r="R116" t="str">
            <v>OPKZP-PO1-SC111-2016-10/44</v>
          </cell>
          <cell r="S116">
            <v>0.85</v>
          </cell>
          <cell r="T116">
            <v>0.1</v>
          </cell>
          <cell r="U116">
            <v>0.05</v>
          </cell>
          <cell r="V116" t="str">
            <v>verejné</v>
          </cell>
          <cell r="W116">
            <v>334506.86</v>
          </cell>
          <cell r="X116">
            <v>284330.83</v>
          </cell>
          <cell r="Y116">
            <v>33450.69</v>
          </cell>
          <cell r="Z116">
            <v>317781.52</v>
          </cell>
          <cell r="AA116">
            <v>16725.34</v>
          </cell>
          <cell r="AB116">
            <v>334506.86</v>
          </cell>
          <cell r="AC116">
            <v>284330.83</v>
          </cell>
          <cell r="AD116">
            <v>33450.69</v>
          </cell>
          <cell r="AE116">
            <v>317781.52</v>
          </cell>
          <cell r="AF116">
            <v>16725.34</v>
          </cell>
          <cell r="AG116">
            <v>37436.120000000003</v>
          </cell>
          <cell r="AH116">
            <v>31820.702000000001</v>
          </cell>
          <cell r="AI116">
            <v>3743.6120000000005</v>
          </cell>
          <cell r="AJ116">
            <v>35564.313999999998</v>
          </cell>
          <cell r="AK116">
            <v>1871.8060000000003</v>
          </cell>
          <cell r="AL116">
            <v>229525.85</v>
          </cell>
          <cell r="AM116">
            <v>195096.97</v>
          </cell>
          <cell r="AN116">
            <v>22952.59</v>
          </cell>
          <cell r="AO116">
            <v>218049.56</v>
          </cell>
          <cell r="AP116">
            <v>11476.29</v>
          </cell>
          <cell r="AQ116">
            <v>0</v>
          </cell>
          <cell r="AR116">
            <v>0</v>
          </cell>
        </row>
        <row r="117">
          <cell r="A117" t="str">
            <v>310011B416</v>
          </cell>
          <cell r="B117">
            <v>1</v>
          </cell>
          <cell r="C117" t="str">
            <v>1.1.1</v>
          </cell>
          <cell r="D117" t="str">
            <v>OPKZP-PO1-SC111-2016-10</v>
          </cell>
          <cell r="E117" t="str">
            <v>odpady</v>
          </cell>
          <cell r="F117" t="str">
            <v>Obec Marcelová</v>
          </cell>
          <cell r="G117" t="str">
            <v>Triedený zber komunálnych odpadov v obci Marcelová</v>
          </cell>
          <cell r="H117" t="str">
            <v>017</v>
          </cell>
          <cell r="I117" t="str">
            <v>NR</v>
          </cell>
          <cell r="J117" t="str">
            <v>regionálny</v>
          </cell>
          <cell r="K117" t="str">
            <v>áno</v>
          </cell>
          <cell r="M117">
            <v>42741</v>
          </cell>
          <cell r="N117" t="str">
            <v>Aktivity nezačaté</v>
          </cell>
          <cell r="P117" t="str">
            <v>https://www.crz.gov.sk/index.php?ID=2762055&amp;l=sk</v>
          </cell>
          <cell r="Q117" t="str">
            <v>https://crp.gov.sk/triedeny-zber-komunalnych-odpadov-v-obci-marcelova/</v>
          </cell>
          <cell r="R117" t="str">
            <v>OPKZP-PO1-SC111-2016-10/45</v>
          </cell>
          <cell r="S117">
            <v>0.85</v>
          </cell>
          <cell r="T117">
            <v>0.1</v>
          </cell>
          <cell r="U117">
            <v>0.05</v>
          </cell>
          <cell r="V117" t="str">
            <v>verejné</v>
          </cell>
          <cell r="W117">
            <v>265211.2</v>
          </cell>
          <cell r="X117">
            <v>225429.52</v>
          </cell>
          <cell r="Y117">
            <v>26521.119999999999</v>
          </cell>
          <cell r="Z117">
            <v>251950.63999999998</v>
          </cell>
          <cell r="AA117">
            <v>13260.56</v>
          </cell>
          <cell r="AB117">
            <v>265211.2</v>
          </cell>
          <cell r="AC117">
            <v>225429.52</v>
          </cell>
          <cell r="AD117">
            <v>26521.119999999999</v>
          </cell>
          <cell r="AE117">
            <v>251950.63999999998</v>
          </cell>
          <cell r="AF117">
            <v>13260.56</v>
          </cell>
          <cell r="AJ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A118" t="str">
            <v>310011B419</v>
          </cell>
          <cell r="B118">
            <v>1</v>
          </cell>
          <cell r="C118" t="str">
            <v>1.1.1</v>
          </cell>
          <cell r="D118" t="str">
            <v>OPKZP-PO1-SC111-2016-10</v>
          </cell>
          <cell r="E118" t="str">
            <v>odpady</v>
          </cell>
          <cell r="F118" t="str">
            <v>Obec Dobrá Niva</v>
          </cell>
          <cell r="G118" t="str">
            <v>Zberný dvor Dobrá Niva</v>
          </cell>
          <cell r="H118" t="str">
            <v>017</v>
          </cell>
          <cell r="I118" t="str">
            <v>BB</v>
          </cell>
          <cell r="J118" t="str">
            <v>regionálny</v>
          </cell>
          <cell r="K118" t="str">
            <v>áno</v>
          </cell>
          <cell r="M118">
            <v>42773</v>
          </cell>
          <cell r="N118" t="str">
            <v>Aktivity nezačaté</v>
          </cell>
          <cell r="P118" t="str">
            <v>https://www.crz.gov.sk/index.php?ID=2800760&amp;l=sk</v>
          </cell>
          <cell r="Q118" t="str">
            <v>https://crp.gov.sk/79947-sk/navysenie-technickej-kapacity-pre-triedeny-zber-komunalnych-odpadov-v-obci-unin/</v>
          </cell>
          <cell r="R118" t="str">
            <v>OPKZP-PO1-SC111-2016-10/46</v>
          </cell>
          <cell r="S118">
            <v>0.85</v>
          </cell>
          <cell r="T118">
            <v>0.1</v>
          </cell>
          <cell r="U118">
            <v>0.05</v>
          </cell>
          <cell r="V118" t="str">
            <v>verejné</v>
          </cell>
          <cell r="W118">
            <v>372724.43</v>
          </cell>
          <cell r="X118">
            <v>316815.77</v>
          </cell>
          <cell r="Y118">
            <v>37272.44</v>
          </cell>
          <cell r="Z118">
            <v>354088.21</v>
          </cell>
          <cell r="AA118">
            <v>18636.22</v>
          </cell>
          <cell r="AB118">
            <v>372724.43</v>
          </cell>
          <cell r="AC118">
            <v>316815.77</v>
          </cell>
          <cell r="AD118">
            <v>37272.44</v>
          </cell>
          <cell r="AE118">
            <v>354088.21</v>
          </cell>
          <cell r="AF118">
            <v>18636.22</v>
          </cell>
          <cell r="AJ118">
            <v>0</v>
          </cell>
          <cell r="AO118">
            <v>0</v>
          </cell>
          <cell r="AQ118">
            <v>0</v>
          </cell>
          <cell r="AR118">
            <v>0</v>
          </cell>
        </row>
        <row r="119">
          <cell r="A119" t="str">
            <v>310011B426</v>
          </cell>
          <cell r="B119">
            <v>1</v>
          </cell>
          <cell r="C119" t="str">
            <v>1.4.2</v>
          </cell>
          <cell r="D119" t="str">
            <v>OPKZP-PO1-SC142-2015-4</v>
          </cell>
          <cell r="E119" t="str">
            <v>odpady</v>
          </cell>
          <cell r="F119" t="str">
            <v>Štátny geologický ústav Dionýza Štúra</v>
          </cell>
          <cell r="G119" t="str">
            <v>Zabezpečenie monitorovania environmentálnych záťaží Slovenska – 1.časť</v>
          </cell>
          <cell r="H119" t="str">
            <v>089</v>
          </cell>
          <cell r="I119" t="str">
            <v>všetky kraje</v>
          </cell>
          <cell r="J119" t="str">
            <v>nadregionálny</v>
          </cell>
          <cell r="K119" t="str">
            <v>áno</v>
          </cell>
          <cell r="M119">
            <v>42693</v>
          </cell>
          <cell r="N119" t="str">
            <v>Realizácia</v>
          </cell>
          <cell r="P119" t="str">
            <v>https://www.crz.gov.sk/index.php?ID=2691115&amp;l=sk</v>
          </cell>
          <cell r="Q119" t="str">
            <v>https://crp.gov.sk/zabezpecenie-monitorovania-environmentalnych-zatazi-slovenska-%E2%80%93-1cast-/</v>
          </cell>
          <cell r="R119" t="str">
            <v>OPKZP-PO1-SC142-2015-4/01</v>
          </cell>
          <cell r="S119">
            <v>0.85</v>
          </cell>
          <cell r="T119">
            <v>0.15</v>
          </cell>
          <cell r="U119">
            <v>0</v>
          </cell>
          <cell r="V119" t="str">
            <v>bez VZ</v>
          </cell>
          <cell r="W119">
            <v>3971026.27</v>
          </cell>
          <cell r="X119">
            <v>3375372.33</v>
          </cell>
          <cell r="Y119">
            <v>595653.93999999994</v>
          </cell>
          <cell r="Z119">
            <v>3971026.27</v>
          </cell>
          <cell r="AA119">
            <v>0</v>
          </cell>
          <cell r="AB119">
            <v>3971026.27</v>
          </cell>
          <cell r="AC119">
            <v>3375372.33</v>
          </cell>
          <cell r="AD119">
            <v>595653.93999999994</v>
          </cell>
          <cell r="AE119">
            <v>3971026.27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382324</v>
          </cell>
          <cell r="AM119">
            <v>324975.39</v>
          </cell>
          <cell r="AN119">
            <v>57348.61</v>
          </cell>
          <cell r="AO119">
            <v>382324</v>
          </cell>
          <cell r="AP119">
            <v>0</v>
          </cell>
          <cell r="AQ119">
            <v>0</v>
          </cell>
          <cell r="AR119">
            <v>0</v>
          </cell>
        </row>
        <row r="120">
          <cell r="A120" t="str">
            <v>310011B429</v>
          </cell>
          <cell r="B120">
            <v>1</v>
          </cell>
          <cell r="C120" t="str">
            <v>1.1.1</v>
          </cell>
          <cell r="D120" t="str">
            <v>OPKZP-PO1-SC111-2016-10</v>
          </cell>
          <cell r="E120" t="str">
            <v>odpady</v>
          </cell>
          <cell r="F120" t="str">
            <v>Obec Boleráz</v>
          </cell>
          <cell r="G120" t="str">
            <v>Zberný dvor triedeného komunálneho odpadu v obci Boleráz</v>
          </cell>
          <cell r="H120" t="str">
            <v>017</v>
          </cell>
          <cell r="I120" t="str">
            <v>TT</v>
          </cell>
          <cell r="J120" t="str">
            <v>regionálny</v>
          </cell>
          <cell r="K120" t="str">
            <v>áno</v>
          </cell>
          <cell r="M120">
            <v>42761</v>
          </cell>
          <cell r="N120" t="str">
            <v>Realizácia</v>
          </cell>
          <cell r="P120" t="str">
            <v>https://www.crz.gov.sk/index.php?ID=2785376&amp;l=sk</v>
          </cell>
          <cell r="Q120" t="str">
            <v>https://crp.gov.sk/zberny-dvor-triedeneho-komunalneho-odpadu-v-obci-boleraz/</v>
          </cell>
          <cell r="R120" t="str">
            <v>OPKZP-PO1-SC111-2016-10/47</v>
          </cell>
          <cell r="S120">
            <v>0.85</v>
          </cell>
          <cell r="T120">
            <v>0.1</v>
          </cell>
          <cell r="U120">
            <v>0.05</v>
          </cell>
          <cell r="V120" t="str">
            <v>verejné</v>
          </cell>
          <cell r="W120">
            <v>481533.12</v>
          </cell>
          <cell r="X120">
            <v>409303.15</v>
          </cell>
          <cell r="Y120">
            <v>48153.31</v>
          </cell>
          <cell r="Z120">
            <v>457456.46</v>
          </cell>
          <cell r="AA120">
            <v>24076.66</v>
          </cell>
          <cell r="AB120">
            <v>481533.12</v>
          </cell>
          <cell r="AC120">
            <v>409303.15</v>
          </cell>
          <cell r="AD120">
            <v>48153.31</v>
          </cell>
          <cell r="AE120">
            <v>457456.46</v>
          </cell>
          <cell r="AF120">
            <v>24076.66</v>
          </cell>
          <cell r="AJ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A121" t="str">
            <v>310011B430</v>
          </cell>
          <cell r="B121">
            <v>1</v>
          </cell>
          <cell r="C121" t="str">
            <v>1.1.1</v>
          </cell>
          <cell r="D121" t="str">
            <v>OPKZP-PO1-SC111-2016-10</v>
          </cell>
          <cell r="E121" t="str">
            <v>odpady</v>
          </cell>
          <cell r="F121" t="str">
            <v>Mesto Liptovský Mikuláš</v>
          </cell>
          <cell r="G121" t="str">
            <v>Zber BRO pre kompostáreň v Liptovskom Mikuláši</v>
          </cell>
          <cell r="H121" t="str">
            <v>017</v>
          </cell>
          <cell r="I121" t="str">
            <v>ZA</v>
          </cell>
          <cell r="J121" t="str">
            <v>regionálny</v>
          </cell>
          <cell r="K121" t="str">
            <v>áno</v>
          </cell>
          <cell r="M121">
            <v>42748</v>
          </cell>
          <cell r="N121" t="str">
            <v>Aktivity nezačaté</v>
          </cell>
          <cell r="P121" t="str">
            <v>https://www.crz.gov.sk/index.php?ID=2768956&amp;l=sk</v>
          </cell>
          <cell r="Q121" t="str">
            <v>https://crp.gov.sk/zber-bro-pre-kompostaren-v-liptovskom-mikulasi/</v>
          </cell>
          <cell r="R121" t="str">
            <v>OPKZP-PO1-SC111-2016-10/48</v>
          </cell>
          <cell r="S121">
            <v>0.85</v>
          </cell>
          <cell r="T121">
            <v>0.1</v>
          </cell>
          <cell r="U121">
            <v>0.05</v>
          </cell>
          <cell r="V121" t="str">
            <v>verejné</v>
          </cell>
          <cell r="W121">
            <v>755683.2</v>
          </cell>
          <cell r="X121">
            <v>642330.72</v>
          </cell>
          <cell r="Y121">
            <v>75568.320000000007</v>
          </cell>
          <cell r="Z121">
            <v>717899.04</v>
          </cell>
          <cell r="AA121">
            <v>37784.160000000003</v>
          </cell>
          <cell r="AB121">
            <v>755683.2</v>
          </cell>
          <cell r="AC121">
            <v>642330.72</v>
          </cell>
          <cell r="AD121">
            <v>75568.320000000007</v>
          </cell>
          <cell r="AE121">
            <v>717899.04</v>
          </cell>
          <cell r="AF121">
            <v>37784.160000000003</v>
          </cell>
          <cell r="AJ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A122" t="str">
            <v>310011B431</v>
          </cell>
          <cell r="B122">
            <v>1</v>
          </cell>
          <cell r="C122" t="str">
            <v>1.1.1</v>
          </cell>
          <cell r="D122" t="str">
            <v>OPKZP-PO1-SC111-2016-10</v>
          </cell>
          <cell r="E122" t="str">
            <v>odpady</v>
          </cell>
          <cell r="F122" t="str">
            <v>Mesto Nováky</v>
          </cell>
          <cell r="G122" t="str">
            <v>Triedený zber a zhodnotenie BRO v meste Nováky</v>
          </cell>
          <cell r="H122" t="str">
            <v>017</v>
          </cell>
          <cell r="I122" t="str">
            <v>TN</v>
          </cell>
          <cell r="J122" t="str">
            <v>regionálny</v>
          </cell>
          <cell r="K122" t="str">
            <v>áno</v>
          </cell>
          <cell r="M122">
            <v>42748</v>
          </cell>
          <cell r="N122" t="str">
            <v>Aktivity nezačaté</v>
          </cell>
          <cell r="P122" t="str">
            <v>https://www.crz.gov.sk/index.php?ID=2769200&amp;l=sk</v>
          </cell>
          <cell r="Q122" t="str">
            <v>https://crp.gov.sk/triedeny-zber-a-zhodnotenie-bro-v-meste-novaky/</v>
          </cell>
          <cell r="R122" t="str">
            <v>OPKZP-PO1-SC111-2016-10/49</v>
          </cell>
          <cell r="S122">
            <v>0.85</v>
          </cell>
          <cell r="T122">
            <v>0.1</v>
          </cell>
          <cell r="U122">
            <v>0.05</v>
          </cell>
          <cell r="V122" t="str">
            <v>verejné</v>
          </cell>
          <cell r="W122">
            <v>542081.28000000003</v>
          </cell>
          <cell r="X122">
            <v>460769.09</v>
          </cell>
          <cell r="Y122">
            <v>54208.13</v>
          </cell>
          <cell r="Z122">
            <v>514977.22000000003</v>
          </cell>
          <cell r="AA122">
            <v>27104.06</v>
          </cell>
          <cell r="AB122">
            <v>542081.28000000003</v>
          </cell>
          <cell r="AC122">
            <v>460769.09</v>
          </cell>
          <cell r="AD122">
            <v>54208.13</v>
          </cell>
          <cell r="AE122">
            <v>514977.22000000003</v>
          </cell>
          <cell r="AF122">
            <v>27104.06</v>
          </cell>
          <cell r="AJ122">
            <v>0</v>
          </cell>
          <cell r="AO122">
            <v>0</v>
          </cell>
          <cell r="AQ122">
            <v>0</v>
          </cell>
          <cell r="AR122">
            <v>0</v>
          </cell>
        </row>
        <row r="123">
          <cell r="A123" t="str">
            <v>310011B433</v>
          </cell>
          <cell r="B123">
            <v>1</v>
          </cell>
          <cell r="C123" t="str">
            <v>1.1.1</v>
          </cell>
          <cell r="D123" t="str">
            <v>OPKZP-PO1-SC111-2016-10</v>
          </cell>
          <cell r="E123" t="str">
            <v>odpady</v>
          </cell>
          <cell r="F123" t="str">
            <v>Obec Bystričany</v>
          </cell>
          <cell r="G123" t="str">
            <v>Zhodnocovanie biologicky rozložiteľného komunálneho odpadu v obci Bystričany</v>
          </cell>
          <cell r="H123" t="str">
            <v>017</v>
          </cell>
          <cell r="I123" t="str">
            <v>TN</v>
          </cell>
          <cell r="J123" t="str">
            <v>regionálny</v>
          </cell>
          <cell r="K123" t="str">
            <v>áno</v>
          </cell>
          <cell r="L123" t="str">
            <v>áno</v>
          </cell>
          <cell r="M123">
            <v>42755</v>
          </cell>
          <cell r="N123" t="str">
            <v>Realizácia</v>
          </cell>
          <cell r="P123" t="str">
            <v>https://www.crz.gov.sk/index.php?ID=2776933&amp;l=sk</v>
          </cell>
          <cell r="Q123" t="str">
            <v>https://crp.gov.sk/zhodnocovanie-biologicky-rozlozitelneho-komunalneho-odpadu-v-obci-bystricany/</v>
          </cell>
          <cell r="R123" t="str">
            <v>OPKZP-PO1-SC111-2016-10/50</v>
          </cell>
          <cell r="S123">
            <v>0.85</v>
          </cell>
          <cell r="T123">
            <v>0.1</v>
          </cell>
          <cell r="U123">
            <v>0.05</v>
          </cell>
          <cell r="V123" t="str">
            <v>verejné</v>
          </cell>
          <cell r="W123">
            <v>325855.2</v>
          </cell>
          <cell r="X123">
            <v>276976.92</v>
          </cell>
          <cell r="Y123">
            <v>32585.52</v>
          </cell>
          <cell r="Z123">
            <v>309562.44</v>
          </cell>
          <cell r="AA123">
            <v>16292.76</v>
          </cell>
          <cell r="AB123">
            <v>325855.2</v>
          </cell>
          <cell r="AC123">
            <v>276976.92</v>
          </cell>
          <cell r="AD123">
            <v>32585.52</v>
          </cell>
          <cell r="AE123">
            <v>309562.44</v>
          </cell>
          <cell r="AF123">
            <v>16292.76</v>
          </cell>
          <cell r="AJ123">
            <v>0</v>
          </cell>
          <cell r="AO123">
            <v>0</v>
          </cell>
          <cell r="AQ123">
            <v>0</v>
          </cell>
          <cell r="AR123">
            <v>0</v>
          </cell>
        </row>
        <row r="124">
          <cell r="A124" t="str">
            <v>310011B441</v>
          </cell>
          <cell r="B124">
            <v>1</v>
          </cell>
          <cell r="C124" t="str">
            <v>1.1.1</v>
          </cell>
          <cell r="D124" t="str">
            <v>OPKZP-PO1-SC111-2016-10</v>
          </cell>
          <cell r="E124" t="str">
            <v>odpady</v>
          </cell>
          <cell r="F124" t="str">
            <v>Obec Plevník-Drienové</v>
          </cell>
          <cell r="G124" t="str">
            <v>Intenzifikácia triedeného zberu v obci Plevník-Drienové</v>
          </cell>
          <cell r="H124" t="str">
            <v>017</v>
          </cell>
          <cell r="I124" t="str">
            <v>TN</v>
          </cell>
          <cell r="J124" t="str">
            <v>regionálny</v>
          </cell>
          <cell r="K124" t="str">
            <v>áno</v>
          </cell>
          <cell r="M124">
            <v>42754</v>
          </cell>
          <cell r="N124" t="str">
            <v>Realizácia</v>
          </cell>
          <cell r="P124" t="str">
            <v>https://www.crz.gov.sk/index.php?ID=2775893&amp;l=sk</v>
          </cell>
          <cell r="Q124" t="str">
            <v>https://crp.gov.sk/intenzifikacia-triedeneho-zberu-v-obci-plevnik-drienove/</v>
          </cell>
          <cell r="R124" t="str">
            <v>OPKZP-PO1-SC111-2016-10/51</v>
          </cell>
          <cell r="S124">
            <v>0.85</v>
          </cell>
          <cell r="T124">
            <v>0.1</v>
          </cell>
          <cell r="U124">
            <v>0.05</v>
          </cell>
          <cell r="V124" t="str">
            <v>verejné</v>
          </cell>
          <cell r="W124">
            <v>623523.30000000005</v>
          </cell>
          <cell r="X124">
            <v>529994.80000000005</v>
          </cell>
          <cell r="Y124">
            <v>62352.33</v>
          </cell>
          <cell r="Z124">
            <v>592347.13</v>
          </cell>
          <cell r="AA124">
            <v>31176.17</v>
          </cell>
          <cell r="AB124">
            <v>623523.30000000005</v>
          </cell>
          <cell r="AC124">
            <v>529994.80000000005</v>
          </cell>
          <cell r="AD124">
            <v>62352.33</v>
          </cell>
          <cell r="AE124">
            <v>592347.13</v>
          </cell>
          <cell r="AF124">
            <v>31176.17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219508.23</v>
          </cell>
          <cell r="AM124">
            <v>186581.99</v>
          </cell>
          <cell r="AN124">
            <v>21950.83</v>
          </cell>
          <cell r="AO124">
            <v>208532.82</v>
          </cell>
          <cell r="AP124">
            <v>10975.41</v>
          </cell>
          <cell r="AQ124">
            <v>219508.23</v>
          </cell>
          <cell r="AR124">
            <v>186581.99</v>
          </cell>
        </row>
        <row r="125">
          <cell r="A125" t="str">
            <v>310011B443</v>
          </cell>
          <cell r="B125">
            <v>1</v>
          </cell>
          <cell r="C125" t="str">
            <v>1.1.1</v>
          </cell>
          <cell r="D125" t="str">
            <v>OPKZP-PO1-SC111-2016-10</v>
          </cell>
          <cell r="E125" t="str">
            <v>odpady</v>
          </cell>
          <cell r="F125" t="str">
            <v>Obec Vlčkovce</v>
          </cell>
          <cell r="G125" t="str">
            <v>Zberný dvor Vlčkovce</v>
          </cell>
          <cell r="H125" t="str">
            <v>017</v>
          </cell>
          <cell r="I125" t="str">
            <v>TT</v>
          </cell>
          <cell r="J125" t="str">
            <v>regionálny</v>
          </cell>
          <cell r="K125" t="str">
            <v>áno</v>
          </cell>
          <cell r="M125">
            <v>42748</v>
          </cell>
          <cell r="N125" t="str">
            <v>Realizácia</v>
          </cell>
          <cell r="P125" t="str">
            <v>https://www.crz.gov.sk/index.php?ID=2769325&amp;l=sk</v>
          </cell>
          <cell r="Q125" t="str">
            <v>https://crp.gov.sk/zberny-dvor-vlckovce/</v>
          </cell>
          <cell r="R125" t="str">
            <v>OPKZP-PO1-SC111-2016-10/52</v>
          </cell>
          <cell r="S125">
            <v>0.85</v>
          </cell>
          <cell r="T125">
            <v>0.1</v>
          </cell>
          <cell r="U125">
            <v>0.05</v>
          </cell>
          <cell r="V125" t="str">
            <v>verejné</v>
          </cell>
          <cell r="W125">
            <v>281770.38</v>
          </cell>
          <cell r="X125">
            <v>239504.82</v>
          </cell>
          <cell r="Y125">
            <v>28177.040000000001</v>
          </cell>
          <cell r="Z125">
            <v>267681.86</v>
          </cell>
          <cell r="AA125">
            <v>14088.52</v>
          </cell>
          <cell r="AB125">
            <v>281770.38</v>
          </cell>
          <cell r="AC125">
            <v>239504.82</v>
          </cell>
          <cell r="AD125">
            <v>28177.040000000001</v>
          </cell>
          <cell r="AE125">
            <v>267681.86</v>
          </cell>
          <cell r="AF125">
            <v>14088.52</v>
          </cell>
          <cell r="AJ125">
            <v>0</v>
          </cell>
          <cell r="AO125">
            <v>0</v>
          </cell>
          <cell r="AQ125">
            <v>0</v>
          </cell>
          <cell r="AR125">
            <v>0</v>
          </cell>
        </row>
        <row r="126">
          <cell r="A126" t="str">
            <v>310011B444</v>
          </cell>
          <cell r="B126">
            <v>1</v>
          </cell>
          <cell r="C126" t="str">
            <v>1.1.1</v>
          </cell>
          <cell r="D126" t="str">
            <v>OPKZP-PO1-SC111-2016-10</v>
          </cell>
          <cell r="E126" t="str">
            <v>odpady</v>
          </cell>
          <cell r="F126" t="str">
            <v>Obec Vozokany</v>
          </cell>
          <cell r="G126" t="str">
            <v>Zberný dvor v obci Vozokany</v>
          </cell>
          <cell r="H126" t="str">
            <v>017</v>
          </cell>
          <cell r="I126" t="str">
            <v>TT</v>
          </cell>
          <cell r="J126" t="str">
            <v>regionálny</v>
          </cell>
          <cell r="K126" t="str">
            <v>áno</v>
          </cell>
          <cell r="M126">
            <v>42746</v>
          </cell>
          <cell r="N126" t="str">
            <v>Realizácia</v>
          </cell>
          <cell r="P126" t="str">
            <v>https://www.crz.gov.sk/index.php?ID=2765560&amp;l=sk</v>
          </cell>
          <cell r="Q126" t="str">
            <v>https://crp.gov.sk/zberny-dvor-v-obci-vozokany/</v>
          </cell>
          <cell r="R126" t="str">
            <v>OPKZP-PO1-SC111-2016-10/53</v>
          </cell>
          <cell r="S126">
            <v>0.85</v>
          </cell>
          <cell r="T126">
            <v>0.1</v>
          </cell>
          <cell r="U126">
            <v>0.05</v>
          </cell>
          <cell r="V126" t="str">
            <v>verejné</v>
          </cell>
          <cell r="W126">
            <v>426172.72</v>
          </cell>
          <cell r="X126">
            <v>362246.81</v>
          </cell>
          <cell r="Y126">
            <v>42617.27</v>
          </cell>
          <cell r="Z126">
            <v>404864.08</v>
          </cell>
          <cell r="AA126">
            <v>21308.639999999999</v>
          </cell>
          <cell r="AB126">
            <v>426172.72</v>
          </cell>
          <cell r="AC126">
            <v>362246.81</v>
          </cell>
          <cell r="AD126">
            <v>42617.27</v>
          </cell>
          <cell r="AE126">
            <v>404864.08</v>
          </cell>
          <cell r="AF126">
            <v>21308.639999999999</v>
          </cell>
          <cell r="AJ126">
            <v>0</v>
          </cell>
          <cell r="AO126">
            <v>0</v>
          </cell>
          <cell r="AQ126">
            <v>0</v>
          </cell>
          <cell r="AR126">
            <v>0</v>
          </cell>
        </row>
        <row r="127">
          <cell r="A127" t="str">
            <v>310011B447</v>
          </cell>
          <cell r="B127">
            <v>1</v>
          </cell>
          <cell r="C127" t="str">
            <v>1.1.1</v>
          </cell>
          <cell r="D127" t="str">
            <v>OPKZP-PO1-SC111-2016-10</v>
          </cell>
          <cell r="E127" t="str">
            <v>odpady</v>
          </cell>
          <cell r="F127" t="str">
            <v>Obec Unín</v>
          </cell>
          <cell r="G127" t="str">
            <v>Navýšenie technickej kapacity pre triedený zber Komunálnych odpadov v obci Unín</v>
          </cell>
          <cell r="H127" t="str">
            <v>017</v>
          </cell>
          <cell r="I127" t="str">
            <v>TT</v>
          </cell>
          <cell r="J127" t="str">
            <v>regionálny</v>
          </cell>
          <cell r="K127" t="str">
            <v>áno</v>
          </cell>
          <cell r="M127">
            <v>42753</v>
          </cell>
          <cell r="N127" t="str">
            <v>Realizácia</v>
          </cell>
          <cell r="P127" t="str">
            <v>https://www.crz.gov.sk/index.php?ID=2774549&amp;l=sk</v>
          </cell>
          <cell r="Q127" t="str">
            <v>https://crp.gov.sk/navysenie-technickej-kapacity-pre-triedeny-zber-komunalnych-odpadov-v-obci-unin/</v>
          </cell>
          <cell r="R127" t="str">
            <v>OPKZP-PO1-SC111-2016-10/54</v>
          </cell>
          <cell r="S127">
            <v>0.85</v>
          </cell>
          <cell r="T127">
            <v>0.1</v>
          </cell>
          <cell r="U127">
            <v>0.05</v>
          </cell>
          <cell r="V127" t="str">
            <v>verejné</v>
          </cell>
          <cell r="W127">
            <v>261150</v>
          </cell>
          <cell r="X127">
            <v>221977.5</v>
          </cell>
          <cell r="Y127">
            <v>26115</v>
          </cell>
          <cell r="Z127">
            <v>248092.5</v>
          </cell>
          <cell r="AA127">
            <v>13057.5</v>
          </cell>
          <cell r="AB127">
            <v>261150</v>
          </cell>
          <cell r="AC127">
            <v>221977.5</v>
          </cell>
          <cell r="AD127">
            <v>26115</v>
          </cell>
          <cell r="AE127">
            <v>248092.5</v>
          </cell>
          <cell r="AF127">
            <v>13057.5</v>
          </cell>
          <cell r="AG127">
            <v>14000</v>
          </cell>
          <cell r="AH127">
            <v>11900</v>
          </cell>
          <cell r="AI127">
            <v>1400</v>
          </cell>
          <cell r="AJ127">
            <v>13300</v>
          </cell>
          <cell r="AK127">
            <v>700</v>
          </cell>
          <cell r="AL127">
            <v>244000</v>
          </cell>
          <cell r="AM127">
            <v>207400</v>
          </cell>
          <cell r="AN127">
            <v>24400</v>
          </cell>
          <cell r="AO127">
            <v>231800</v>
          </cell>
          <cell r="AP127">
            <v>12200</v>
          </cell>
          <cell r="AQ127">
            <v>0</v>
          </cell>
          <cell r="AR127">
            <v>0</v>
          </cell>
        </row>
        <row r="128">
          <cell r="A128" t="str">
            <v>310011B448</v>
          </cell>
          <cell r="B128">
            <v>1</v>
          </cell>
          <cell r="C128" t="str">
            <v>1.1.1</v>
          </cell>
          <cell r="D128" t="str">
            <v>OPKZP-PO1-SC111-2016-10</v>
          </cell>
          <cell r="E128" t="str">
            <v>odpady</v>
          </cell>
          <cell r="F128" t="str">
            <v>Obec Svätý Kríž</v>
          </cell>
          <cell r="G128" t="str">
            <v>Zberný dvor v obci Svätý Kríž</v>
          </cell>
          <cell r="H128" t="str">
            <v>017</v>
          </cell>
          <cell r="I128" t="str">
            <v>ZA</v>
          </cell>
          <cell r="J128" t="str">
            <v>regionálny</v>
          </cell>
          <cell r="K128" t="str">
            <v>áno</v>
          </cell>
          <cell r="L128" t="str">
            <v>áno</v>
          </cell>
          <cell r="M128">
            <v>42769</v>
          </cell>
          <cell r="N128" t="str">
            <v>Realizácia</v>
          </cell>
          <cell r="P128" t="str">
            <v>https://www.crz.gov.sk/index.php?ID=2798049&amp;l=sk</v>
          </cell>
          <cell r="Q128" t="str">
            <v>https://crp.gov.sk/zberny-dvor-v-obci-svaty-kriz/</v>
          </cell>
          <cell r="R128" t="str">
            <v>OPKZP-PO1-SC111-2016-10/55</v>
          </cell>
          <cell r="S128">
            <v>0.85</v>
          </cell>
          <cell r="T128">
            <v>0.1</v>
          </cell>
          <cell r="U128">
            <v>0.05</v>
          </cell>
          <cell r="V128" t="str">
            <v>verejné</v>
          </cell>
          <cell r="W128">
            <v>364950.17</v>
          </cell>
          <cell r="X128">
            <v>310207.64</v>
          </cell>
          <cell r="Y128">
            <v>36495.019999999997</v>
          </cell>
          <cell r="Z128">
            <v>346702.66000000003</v>
          </cell>
          <cell r="AA128">
            <v>18247.509999999998</v>
          </cell>
          <cell r="AB128">
            <v>364950.17</v>
          </cell>
          <cell r="AC128">
            <v>310207.64</v>
          </cell>
          <cell r="AD128">
            <v>36495.019999999997</v>
          </cell>
          <cell r="AE128">
            <v>346702.66000000003</v>
          </cell>
          <cell r="AF128">
            <v>18247.509999999998</v>
          </cell>
          <cell r="AJ128">
            <v>0</v>
          </cell>
          <cell r="AO128">
            <v>0</v>
          </cell>
          <cell r="AQ128">
            <v>0</v>
          </cell>
          <cell r="AR128">
            <v>0</v>
          </cell>
        </row>
        <row r="129">
          <cell r="A129" t="str">
            <v>310011B449</v>
          </cell>
          <cell r="B129">
            <v>1</v>
          </cell>
          <cell r="C129" t="str">
            <v>1.1.1</v>
          </cell>
          <cell r="D129" t="str">
            <v>OPKZP-PO1-SC111-2016-10</v>
          </cell>
          <cell r="E129" t="str">
            <v>odpady</v>
          </cell>
          <cell r="F129" t="str">
            <v>obec Brvnište</v>
          </cell>
          <cell r="G129" t="str">
            <v>Zberný dvor v obci Brvnište</v>
          </cell>
          <cell r="H129" t="str">
            <v>017</v>
          </cell>
          <cell r="I129" t="str">
            <v>TN</v>
          </cell>
          <cell r="J129" t="str">
            <v>regionálny</v>
          </cell>
          <cell r="K129" t="str">
            <v>áno</v>
          </cell>
          <cell r="L129" t="str">
            <v>áno</v>
          </cell>
          <cell r="M129">
            <v>42741</v>
          </cell>
          <cell r="N129" t="str">
            <v>Realizácia</v>
          </cell>
          <cell r="P129" t="str">
            <v>https://www.crz.gov.sk/index.php?ID=2762339&amp;l=sk</v>
          </cell>
          <cell r="Q129" t="str">
            <v>https://crp.gov.sk/zberny-dvor-v-obci-brvniste/</v>
          </cell>
          <cell r="R129" t="str">
            <v>OPKZP-PO1-SC111-2016-10/56</v>
          </cell>
          <cell r="S129">
            <v>0.85</v>
          </cell>
          <cell r="T129">
            <v>0.1</v>
          </cell>
          <cell r="U129">
            <v>0.05</v>
          </cell>
          <cell r="V129" t="str">
            <v>verejné</v>
          </cell>
          <cell r="W129">
            <v>252970.26</v>
          </cell>
          <cell r="X129">
            <v>215024.72</v>
          </cell>
          <cell r="Y129">
            <v>25297.03</v>
          </cell>
          <cell r="Z129">
            <v>240321.75</v>
          </cell>
          <cell r="AA129">
            <v>12648.51</v>
          </cell>
          <cell r="AB129">
            <v>252970.26</v>
          </cell>
          <cell r="AC129">
            <v>215024.72</v>
          </cell>
          <cell r="AD129">
            <v>25297.03</v>
          </cell>
          <cell r="AE129">
            <v>240321.75</v>
          </cell>
          <cell r="AF129">
            <v>12648.51</v>
          </cell>
          <cell r="AJ129">
            <v>0</v>
          </cell>
          <cell r="AO129">
            <v>0</v>
          </cell>
          <cell r="AQ129">
            <v>0</v>
          </cell>
          <cell r="AR129">
            <v>0</v>
          </cell>
        </row>
        <row r="130">
          <cell r="A130" t="str">
            <v>310011B450</v>
          </cell>
          <cell r="B130">
            <v>1</v>
          </cell>
          <cell r="C130" t="str">
            <v>1.1.1</v>
          </cell>
          <cell r="D130" t="str">
            <v>OPKZP-PO1-SC111-2016-10</v>
          </cell>
          <cell r="E130" t="str">
            <v>odpady</v>
          </cell>
          <cell r="F130" t="str">
            <v>Obec Medzibrodie nad Oravou</v>
          </cell>
          <cell r="G130" t="str">
            <v>Zberný dvor obce Medzibrodie nad Oravou</v>
          </cell>
          <cell r="H130" t="str">
            <v>017</v>
          </cell>
          <cell r="I130" t="str">
            <v>ZA</v>
          </cell>
          <cell r="J130" t="str">
            <v>regionálny</v>
          </cell>
          <cell r="K130" t="str">
            <v>áno</v>
          </cell>
          <cell r="L130" t="str">
            <v>áno</v>
          </cell>
          <cell r="M130">
            <v>42746</v>
          </cell>
          <cell r="N130" t="str">
            <v>Realizácia</v>
          </cell>
          <cell r="P130" t="str">
            <v>https://www.crz.gov.sk/index.php?ID=2765271&amp;l=sk</v>
          </cell>
          <cell r="Q130" t="str">
            <v>https://crp.gov.sk/zberny-dvor-obce-medzibrodie-nad-oravou/</v>
          </cell>
          <cell r="R130" t="str">
            <v xml:space="preserve"> OPKZP-PO1-SC111-2016-10/57</v>
          </cell>
          <cell r="S130">
            <v>0.85</v>
          </cell>
          <cell r="T130">
            <v>0.1</v>
          </cell>
          <cell r="U130">
            <v>0.05</v>
          </cell>
          <cell r="V130" t="str">
            <v>verejné</v>
          </cell>
          <cell r="W130">
            <v>231640.02</v>
          </cell>
          <cell r="X130">
            <v>196894.02</v>
          </cell>
          <cell r="Y130">
            <v>23164</v>
          </cell>
          <cell r="Z130">
            <v>220058.02</v>
          </cell>
          <cell r="AA130">
            <v>11582</v>
          </cell>
          <cell r="AB130">
            <v>231640.02</v>
          </cell>
          <cell r="AC130">
            <v>196894.02</v>
          </cell>
          <cell r="AD130">
            <v>23164</v>
          </cell>
          <cell r="AE130">
            <v>220058.02</v>
          </cell>
          <cell r="AF130">
            <v>11582</v>
          </cell>
          <cell r="AG130">
            <v>1610</v>
          </cell>
          <cell r="AH130">
            <v>1368.5</v>
          </cell>
          <cell r="AI130">
            <v>161</v>
          </cell>
          <cell r="AJ130">
            <v>1529.5</v>
          </cell>
          <cell r="AK130">
            <v>80.5</v>
          </cell>
          <cell r="AL130">
            <v>82884.899999999994</v>
          </cell>
          <cell r="AM130">
            <v>70452.17</v>
          </cell>
          <cell r="AN130">
            <v>8288.48</v>
          </cell>
          <cell r="AO130">
            <v>78740.649999999994</v>
          </cell>
          <cell r="AP130">
            <v>4144.25</v>
          </cell>
          <cell r="AQ130">
            <v>0</v>
          </cell>
          <cell r="AR130">
            <v>0</v>
          </cell>
        </row>
        <row r="131">
          <cell r="A131" t="str">
            <v>310011B451</v>
          </cell>
          <cell r="B131">
            <v>1</v>
          </cell>
          <cell r="C131" t="str">
            <v>1.1.1</v>
          </cell>
          <cell r="D131" t="str">
            <v>OPKZP-PO1-SC111-2016-10</v>
          </cell>
          <cell r="E131" t="str">
            <v>odpady</v>
          </cell>
          <cell r="F131" t="str">
            <v>Obec Nesluša</v>
          </cell>
          <cell r="G131" t="str">
            <v>Novostavba zberného dvora v obci Nesluša parcela č. 3221/1</v>
          </cell>
          <cell r="H131" t="str">
            <v>017</v>
          </cell>
          <cell r="I131" t="str">
            <v>ZA</v>
          </cell>
          <cell r="J131" t="str">
            <v>regionálny</v>
          </cell>
          <cell r="K131" t="str">
            <v>áno</v>
          </cell>
          <cell r="L131" t="str">
            <v>áno</v>
          </cell>
          <cell r="M131">
            <v>42748</v>
          </cell>
          <cell r="N131" t="str">
            <v>Realizácia</v>
          </cell>
          <cell r="P131" t="str">
            <v>https://www.crz.gov.sk/index.php?ID=2769013&amp;l=sk</v>
          </cell>
          <cell r="Q131" t="str">
            <v>https://crp.gov.sk/novostavba-zberneho-dvora-v-obci-neslusa-parcela-c-32211/</v>
          </cell>
          <cell r="R131" t="str">
            <v>OPKZP-PO1-SC111-2016-10/58</v>
          </cell>
          <cell r="S131">
            <v>0.85</v>
          </cell>
          <cell r="T131">
            <v>0.1</v>
          </cell>
          <cell r="U131">
            <v>0.05</v>
          </cell>
          <cell r="V131" t="str">
            <v>verejné</v>
          </cell>
          <cell r="W131">
            <v>934749.01</v>
          </cell>
          <cell r="X131">
            <v>794536.66</v>
          </cell>
          <cell r="Y131">
            <v>93474.9</v>
          </cell>
          <cell r="Z131">
            <v>888011.56</v>
          </cell>
          <cell r="AA131">
            <v>46737.45</v>
          </cell>
          <cell r="AB131">
            <v>934749.01</v>
          </cell>
          <cell r="AC131">
            <v>794536.66</v>
          </cell>
          <cell r="AD131">
            <v>93474.9</v>
          </cell>
          <cell r="AE131">
            <v>888011.56</v>
          </cell>
          <cell r="AF131">
            <v>46737.45</v>
          </cell>
          <cell r="AJ131">
            <v>0</v>
          </cell>
          <cell r="AO131">
            <v>0</v>
          </cell>
          <cell r="AQ131">
            <v>0</v>
          </cell>
          <cell r="AR131">
            <v>0</v>
          </cell>
        </row>
        <row r="132">
          <cell r="A132" t="str">
            <v>310011B452</v>
          </cell>
          <cell r="B132">
            <v>1</v>
          </cell>
          <cell r="C132" t="str">
            <v>1.1.1</v>
          </cell>
          <cell r="D132" t="str">
            <v>OPKZP-PO1-SC111-2016-10</v>
          </cell>
          <cell r="E132" t="str">
            <v>odpady</v>
          </cell>
          <cell r="F132" t="str">
            <v>Združenie obcí pre likvidáciu odpadu Poltár</v>
          </cell>
          <cell r="G132" t="str">
            <v>Technológia zhodnotenia komunálneho odpadu výrobou TAP a BRO</v>
          </cell>
          <cell r="H132" t="str">
            <v>018</v>
          </cell>
          <cell r="I132" t="str">
            <v>BB</v>
          </cell>
          <cell r="J132" t="str">
            <v>regionálny</v>
          </cell>
          <cell r="K132" t="str">
            <v>áno</v>
          </cell>
          <cell r="M132">
            <v>42741</v>
          </cell>
          <cell r="N132" t="str">
            <v>Realizácia</v>
          </cell>
          <cell r="P132" t="str">
            <v>https://www.crz.gov.sk/index.php?ID=2762710&amp;l=sk</v>
          </cell>
          <cell r="Q132" t="str">
            <v>https://crp.gov.sk/technologia-zhodnotenia-komunalneho-odpadu-vyrobou-tap-a-bro/</v>
          </cell>
          <cell r="R132" t="str">
            <v>OPKZP-PO1-SC111-2016-10/59</v>
          </cell>
          <cell r="S132">
            <v>0.85</v>
          </cell>
          <cell r="T132">
            <v>0.1</v>
          </cell>
          <cell r="U132">
            <v>0.05</v>
          </cell>
          <cell r="V132" t="str">
            <v>verejné</v>
          </cell>
          <cell r="W132">
            <v>4198000</v>
          </cell>
          <cell r="X132">
            <v>3568300</v>
          </cell>
          <cell r="Y132">
            <v>419800</v>
          </cell>
          <cell r="Z132">
            <v>3988100</v>
          </cell>
          <cell r="AA132">
            <v>209900</v>
          </cell>
          <cell r="AB132">
            <v>4198000</v>
          </cell>
          <cell r="AC132">
            <v>3568300</v>
          </cell>
          <cell r="AD132">
            <v>419800</v>
          </cell>
          <cell r="AE132">
            <v>3988100</v>
          </cell>
          <cell r="AF132">
            <v>209900</v>
          </cell>
          <cell r="AG132">
            <v>163010.60999999999</v>
          </cell>
          <cell r="AH132">
            <v>138559.01849999998</v>
          </cell>
          <cell r="AI132">
            <v>16301.061</v>
          </cell>
          <cell r="AJ132">
            <v>154860.07949999996</v>
          </cell>
          <cell r="AK132">
            <v>8150.5304999999998</v>
          </cell>
          <cell r="AO132">
            <v>0</v>
          </cell>
          <cell r="AQ132">
            <v>0</v>
          </cell>
          <cell r="AR132">
            <v>0</v>
          </cell>
        </row>
        <row r="133">
          <cell r="A133" t="str">
            <v>310011B454</v>
          </cell>
          <cell r="B133">
            <v>1</v>
          </cell>
          <cell r="C133" t="str">
            <v>1.1.1</v>
          </cell>
          <cell r="D133" t="str">
            <v>OPKZP-PO1-SC111-2016-10</v>
          </cell>
          <cell r="E133" t="str">
            <v>odpady</v>
          </cell>
          <cell r="F133" t="str">
            <v>Obec Spišský Štiavnik</v>
          </cell>
          <cell r="G133" t="str">
            <v>Zlepšenie nakladania s odpadmi v obci Spišský Štiavnik</v>
          </cell>
          <cell r="H133" t="str">
            <v>017</v>
          </cell>
          <cell r="I133" t="str">
            <v>PO</v>
          </cell>
          <cell r="J133" t="str">
            <v>regionálny</v>
          </cell>
          <cell r="K133" t="str">
            <v>áno</v>
          </cell>
          <cell r="L133" t="str">
            <v>áno</v>
          </cell>
          <cell r="M133">
            <v>42740</v>
          </cell>
          <cell r="N133" t="str">
            <v>Mimoriadne ukončený</v>
          </cell>
          <cell r="O133">
            <v>43085</v>
          </cell>
          <cell r="P133" t="str">
            <v>https://www.crz.gov.sk/index.php?ID=2761377&amp;l=sk</v>
          </cell>
          <cell r="Q133" t="str">
            <v>https://crp.gov.sk/zlepsenie-nakladania-s-odpadmi-v-obci-spissky-stiavnik/</v>
          </cell>
          <cell r="R133" t="str">
            <v>OPKZP-PO1-SC111-2016-10/60</v>
          </cell>
          <cell r="S133">
            <v>0.85</v>
          </cell>
          <cell r="T133">
            <v>0.1</v>
          </cell>
          <cell r="U133">
            <v>0.05</v>
          </cell>
          <cell r="V133" t="str">
            <v>verejné</v>
          </cell>
          <cell r="W133">
            <v>118994.67</v>
          </cell>
          <cell r="X133">
            <v>101145.47</v>
          </cell>
          <cell r="Y133">
            <v>11899.47</v>
          </cell>
          <cell r="Z133">
            <v>113044.94</v>
          </cell>
          <cell r="AA133">
            <v>5949.73</v>
          </cell>
          <cell r="AB133">
            <v>118994.67</v>
          </cell>
          <cell r="AC133">
            <v>101145.47</v>
          </cell>
          <cell r="AD133">
            <v>11899.47</v>
          </cell>
          <cell r="AE133">
            <v>113044.94</v>
          </cell>
          <cell r="AF133">
            <v>5949.73</v>
          </cell>
          <cell r="AJ133">
            <v>0</v>
          </cell>
          <cell r="AO133">
            <v>0</v>
          </cell>
          <cell r="AQ133">
            <v>0</v>
          </cell>
          <cell r="AR133">
            <v>0</v>
          </cell>
        </row>
        <row r="134">
          <cell r="A134" t="str">
            <v>310011B455</v>
          </cell>
          <cell r="B134">
            <v>1</v>
          </cell>
          <cell r="C134" t="str">
            <v>1.1.1</v>
          </cell>
          <cell r="D134" t="str">
            <v>OPKZP-PO1-SC111-2016-10</v>
          </cell>
          <cell r="E134" t="str">
            <v>odpady</v>
          </cell>
          <cell r="F134" t="str">
            <v>Obec Mostová</v>
          </cell>
          <cell r="G134" t="str">
            <v>Zberný dvor Mostová</v>
          </cell>
          <cell r="H134" t="str">
            <v>017</v>
          </cell>
          <cell r="I134" t="str">
            <v>TT</v>
          </cell>
          <cell r="J134" t="str">
            <v>regionálny</v>
          </cell>
          <cell r="K134" t="str">
            <v>áno</v>
          </cell>
          <cell r="M134">
            <v>42741</v>
          </cell>
          <cell r="N134" t="str">
            <v>Aktivity nezačaté</v>
          </cell>
          <cell r="P134" t="str">
            <v>https://www.crz.gov.sk/index.php?ID=2761899&amp;l=sk</v>
          </cell>
          <cell r="Q134" t="str">
            <v>https://crp.gov.sk/zberny-dvor-mostova/</v>
          </cell>
          <cell r="R134" t="str">
            <v>OPKZP-PO1-SC111-2016-10/61</v>
          </cell>
          <cell r="S134">
            <v>0.85</v>
          </cell>
          <cell r="T134">
            <v>0.1</v>
          </cell>
          <cell r="U134">
            <v>0.05</v>
          </cell>
          <cell r="V134" t="str">
            <v>verejné</v>
          </cell>
          <cell r="W134">
            <v>294269.62</v>
          </cell>
          <cell r="X134">
            <v>250129.18</v>
          </cell>
          <cell r="Y134">
            <v>29426.959999999999</v>
          </cell>
          <cell r="Z134">
            <v>279556.14</v>
          </cell>
          <cell r="AA134">
            <v>14713.48</v>
          </cell>
          <cell r="AB134">
            <v>291720.37</v>
          </cell>
          <cell r="AC134">
            <v>247962.31</v>
          </cell>
          <cell r="AD134">
            <v>29172.04</v>
          </cell>
          <cell r="AE134">
            <v>277134.34999999998</v>
          </cell>
          <cell r="AF134">
            <v>14586.02</v>
          </cell>
          <cell r="AJ134">
            <v>0</v>
          </cell>
          <cell r="AO134">
            <v>0</v>
          </cell>
          <cell r="AQ134">
            <v>0</v>
          </cell>
          <cell r="AR134">
            <v>0</v>
          </cell>
        </row>
        <row r="135">
          <cell r="A135" t="str">
            <v>310011B457</v>
          </cell>
          <cell r="B135">
            <v>1</v>
          </cell>
          <cell r="C135" t="str">
            <v>1.1.1</v>
          </cell>
          <cell r="D135" t="str">
            <v>OPKZP-PO1-SC111-2016-10</v>
          </cell>
          <cell r="E135" t="str">
            <v>odpady</v>
          </cell>
          <cell r="F135" t="str">
            <v>Obec Orechová Potôň</v>
          </cell>
          <cell r="G135" t="str">
            <v>Zberný dvor Orechová Potôň</v>
          </cell>
          <cell r="H135" t="str">
            <v>017</v>
          </cell>
          <cell r="I135" t="str">
            <v>TT</v>
          </cell>
          <cell r="J135" t="str">
            <v>regionálny</v>
          </cell>
          <cell r="K135" t="str">
            <v>áno</v>
          </cell>
          <cell r="M135">
            <v>42727</v>
          </cell>
          <cell r="N135" t="str">
            <v>Realizácia</v>
          </cell>
          <cell r="P135" t="str">
            <v>https://www.crz.gov.sk/index.php?ID=2746385&amp;l=sk</v>
          </cell>
          <cell r="Q135" t="str">
            <v>https://crp.gov.sk/zberny-dvor-orechova-poton/</v>
          </cell>
          <cell r="R135" t="str">
            <v>OPKZP-PO1-SC111-2016-10/62</v>
          </cell>
          <cell r="S135">
            <v>0.85</v>
          </cell>
          <cell r="T135">
            <v>0.1</v>
          </cell>
          <cell r="U135">
            <v>0.05</v>
          </cell>
          <cell r="V135" t="str">
            <v>verejné</v>
          </cell>
          <cell r="W135">
            <v>423196.01</v>
          </cell>
          <cell r="X135">
            <v>359716.61</v>
          </cell>
          <cell r="Y135">
            <v>42319.6</v>
          </cell>
          <cell r="Z135">
            <v>402036.20999999996</v>
          </cell>
          <cell r="AA135">
            <v>21159.8</v>
          </cell>
          <cell r="AB135">
            <v>423196.01</v>
          </cell>
          <cell r="AC135">
            <v>359716.61</v>
          </cell>
          <cell r="AD135">
            <v>42319.6</v>
          </cell>
          <cell r="AE135">
            <v>402036.20999999996</v>
          </cell>
          <cell r="AF135">
            <v>21159.8</v>
          </cell>
          <cell r="AG135">
            <v>37674</v>
          </cell>
          <cell r="AH135">
            <v>32022.899999999998</v>
          </cell>
          <cell r="AI135">
            <v>3767.4</v>
          </cell>
          <cell r="AJ135">
            <v>35790.299999999996</v>
          </cell>
          <cell r="AK135">
            <v>1883.7</v>
          </cell>
          <cell r="AL135">
            <v>3240</v>
          </cell>
          <cell r="AM135">
            <v>2754</v>
          </cell>
          <cell r="AN135">
            <v>324</v>
          </cell>
          <cell r="AO135">
            <v>3078</v>
          </cell>
          <cell r="AP135">
            <v>162</v>
          </cell>
          <cell r="AQ135">
            <v>0</v>
          </cell>
          <cell r="AR135">
            <v>0</v>
          </cell>
        </row>
        <row r="136">
          <cell r="A136" t="str">
            <v>310011B462</v>
          </cell>
          <cell r="B136">
            <v>1</v>
          </cell>
          <cell r="C136" t="str">
            <v>1.1.1</v>
          </cell>
          <cell r="D136" t="str">
            <v>OPKZP-PO1-SC111-2016-10</v>
          </cell>
          <cell r="E136" t="str">
            <v>odpady</v>
          </cell>
          <cell r="F136" t="str">
            <v>Obec Močenok</v>
          </cell>
          <cell r="G136" t="str">
            <v>Technologické vybavenie zberného dvora v obci Močenok</v>
          </cell>
          <cell r="H136" t="str">
            <v>017</v>
          </cell>
          <cell r="I136" t="str">
            <v>NR</v>
          </cell>
          <cell r="J136" t="str">
            <v>regionálny</v>
          </cell>
          <cell r="K136" t="str">
            <v>áno</v>
          </cell>
          <cell r="M136">
            <v>42761</v>
          </cell>
          <cell r="N136" t="str">
            <v>Realizácia</v>
          </cell>
          <cell r="P136" t="str">
            <v>https://www.crz.gov.sk/index.php?ID=2785438&amp;l=sk</v>
          </cell>
          <cell r="Q136" t="str">
            <v>https://crp.gov.sk/technologicke-vybavenie-zberneho-dvora-v-obci-mocenok/</v>
          </cell>
          <cell r="R136" t="str">
            <v>OPKZP-PO1-SC111-2016-10/63</v>
          </cell>
          <cell r="S136">
            <v>0.85</v>
          </cell>
          <cell r="T136">
            <v>0.1</v>
          </cell>
          <cell r="U136">
            <v>0.05</v>
          </cell>
          <cell r="V136" t="str">
            <v>verejné</v>
          </cell>
          <cell r="W136">
            <v>197866.8</v>
          </cell>
          <cell r="X136">
            <v>168186.78</v>
          </cell>
          <cell r="Y136">
            <v>19786.68</v>
          </cell>
          <cell r="Z136">
            <v>187973.46</v>
          </cell>
          <cell r="AA136">
            <v>9893.34</v>
          </cell>
          <cell r="AB136">
            <v>197866.8</v>
          </cell>
          <cell r="AC136">
            <v>168186.78</v>
          </cell>
          <cell r="AD136">
            <v>19786.68</v>
          </cell>
          <cell r="AE136">
            <v>187973.46</v>
          </cell>
          <cell r="AF136">
            <v>9893.34</v>
          </cell>
          <cell r="AJ136">
            <v>0</v>
          </cell>
          <cell r="AO136">
            <v>0</v>
          </cell>
          <cell r="AQ136">
            <v>0</v>
          </cell>
          <cell r="AR136">
            <v>0</v>
          </cell>
        </row>
        <row r="137">
          <cell r="A137" t="str">
            <v>310011B466</v>
          </cell>
          <cell r="B137">
            <v>1</v>
          </cell>
          <cell r="C137" t="str">
            <v>1.1.1</v>
          </cell>
          <cell r="D137" t="str">
            <v>OPKZP-PO1-SC111-2016-10</v>
          </cell>
          <cell r="E137" t="str">
            <v>odpady</v>
          </cell>
          <cell r="F137" t="str">
            <v>Obec Lendak</v>
          </cell>
          <cell r="G137" t="str">
            <v>Zabezpečenie triedeného zberu komunálnych odpadov v Lendaku</v>
          </cell>
          <cell r="H137" t="str">
            <v>017</v>
          </cell>
          <cell r="I137" t="str">
            <v>PO</v>
          </cell>
          <cell r="J137" t="str">
            <v>regionálny</v>
          </cell>
          <cell r="K137" t="str">
            <v>áno</v>
          </cell>
          <cell r="L137" t="str">
            <v>áno</v>
          </cell>
          <cell r="M137">
            <v>42761</v>
          </cell>
          <cell r="N137" t="str">
            <v>Realizácia</v>
          </cell>
          <cell r="P137" t="str">
            <v>https://www.crz.gov.sk/index.php?ID=2785030&amp;l=sk</v>
          </cell>
          <cell r="Q137" t="str">
            <v>https://crp.gov.sk/zabezpecenie-triedeneho-zberu-komunalnych-odpadov-v-lendaku/</v>
          </cell>
          <cell r="R137" t="str">
            <v>OPKZP-PO1-SC111-2016-10/64</v>
          </cell>
          <cell r="S137">
            <v>0.85</v>
          </cell>
          <cell r="T137">
            <v>0.1</v>
          </cell>
          <cell r="U137">
            <v>0.05</v>
          </cell>
          <cell r="V137" t="str">
            <v>verejné</v>
          </cell>
          <cell r="W137">
            <v>691449.4</v>
          </cell>
          <cell r="X137">
            <v>587731.99</v>
          </cell>
          <cell r="Y137">
            <v>69144.94</v>
          </cell>
          <cell r="Z137">
            <v>656876.92999999993</v>
          </cell>
          <cell r="AA137">
            <v>34572.47</v>
          </cell>
          <cell r="AB137">
            <v>691449.4</v>
          </cell>
          <cell r="AC137">
            <v>587731.99</v>
          </cell>
          <cell r="AD137">
            <v>69144.94</v>
          </cell>
          <cell r="AE137">
            <v>656876.92999999993</v>
          </cell>
          <cell r="AF137">
            <v>34572.47</v>
          </cell>
          <cell r="AJ137">
            <v>0</v>
          </cell>
          <cell r="AO137">
            <v>0</v>
          </cell>
          <cell r="AQ137">
            <v>0</v>
          </cell>
          <cell r="AR137">
            <v>0</v>
          </cell>
        </row>
        <row r="138">
          <cell r="A138" t="str">
            <v>310011B467</v>
          </cell>
          <cell r="B138">
            <v>1</v>
          </cell>
          <cell r="C138" t="str">
            <v>1.1.1</v>
          </cell>
          <cell r="D138" t="str">
            <v>OPKZP-PO1-SC111-2016-10</v>
          </cell>
          <cell r="E138" t="str">
            <v>odpady</v>
          </cell>
          <cell r="F138" t="str">
            <v>Obec Prašník</v>
          </cell>
          <cell r="G138" t="str">
            <v>Zefektívnenie separovaného zberu komunálneho odpadu v obci Prašník</v>
          </cell>
          <cell r="H138" t="str">
            <v>017</v>
          </cell>
          <cell r="I138" t="str">
            <v>TT</v>
          </cell>
          <cell r="J138" t="str">
            <v>regionálny</v>
          </cell>
          <cell r="K138" t="str">
            <v>áno</v>
          </cell>
          <cell r="M138">
            <v>42741</v>
          </cell>
          <cell r="N138" t="str">
            <v>Aktivity nezačaté</v>
          </cell>
          <cell r="P138" t="str">
            <v>https://www.crz.gov.sk/index.php?ID=2762140&amp;l=sk</v>
          </cell>
          <cell r="Q138" t="str">
            <v>https://crp.gov.sk/zefektivnenie-separovaneho-zberu-komunalneho-odpadu-v-obci-prasnik/</v>
          </cell>
          <cell r="R138" t="str">
            <v>OPKZP-PO1-SC111-2016-10/65</v>
          </cell>
          <cell r="S138">
            <v>0.85</v>
          </cell>
          <cell r="T138">
            <v>0.1</v>
          </cell>
          <cell r="U138">
            <v>0.05</v>
          </cell>
          <cell r="V138" t="str">
            <v>verejné</v>
          </cell>
          <cell r="W138">
            <v>283346</v>
          </cell>
          <cell r="X138">
            <v>240844.1</v>
          </cell>
          <cell r="Y138">
            <v>28334.6</v>
          </cell>
          <cell r="Z138">
            <v>269178.7</v>
          </cell>
          <cell r="AA138">
            <v>14167.3</v>
          </cell>
          <cell r="AB138">
            <v>283346</v>
          </cell>
          <cell r="AC138">
            <v>240844.1</v>
          </cell>
          <cell r="AD138">
            <v>28334.6</v>
          </cell>
          <cell r="AE138">
            <v>269178.7</v>
          </cell>
          <cell r="AF138">
            <v>14167.3</v>
          </cell>
          <cell r="AJ138">
            <v>0</v>
          </cell>
          <cell r="AO138">
            <v>0</v>
          </cell>
          <cell r="AQ138">
            <v>0</v>
          </cell>
          <cell r="AR138">
            <v>0</v>
          </cell>
        </row>
        <row r="139">
          <cell r="A139" t="str">
            <v>310011B473</v>
          </cell>
          <cell r="B139">
            <v>1</v>
          </cell>
          <cell r="C139" t="str">
            <v>1.1.1</v>
          </cell>
          <cell r="D139" t="str">
            <v>OPKZP-PO1-SC111-2016-11</v>
          </cell>
          <cell r="E139" t="str">
            <v>odpady</v>
          </cell>
          <cell r="F139" t="str">
            <v>Obec Beluša</v>
          </cell>
          <cell r="G139" t="str">
            <v>Podpora zhodnocovania biologicky rozložiteľného komunálneho odpadu v obci Beluša</v>
          </cell>
          <cell r="H139" t="str">
            <v>017</v>
          </cell>
          <cell r="I139" t="str">
            <v>TN</v>
          </cell>
          <cell r="J139" t="str">
            <v>regionálny</v>
          </cell>
          <cell r="K139" t="str">
            <v>áno</v>
          </cell>
          <cell r="M139">
            <v>42724</v>
          </cell>
          <cell r="N139" t="str">
            <v>Riadne ukončený</v>
          </cell>
          <cell r="O139">
            <v>43017</v>
          </cell>
          <cell r="P139" t="str">
            <v>https://www.crz.gov.sk/index.php?ID=2736803&amp;l=sk</v>
          </cell>
          <cell r="Q139" t="str">
            <v>https://crp.gov.sk/podpora-zhodnocovania-biologicky-rozlozitelneho-komunalneho-odpadu-v-obci-belusa/</v>
          </cell>
          <cell r="R139" t="str">
            <v>OPKZP-PO1-SC111-2016-11/13</v>
          </cell>
          <cell r="S139">
            <v>0.85</v>
          </cell>
          <cell r="T139">
            <v>0.1</v>
          </cell>
          <cell r="U139">
            <v>0.05</v>
          </cell>
          <cell r="V139" t="str">
            <v>verejné</v>
          </cell>
          <cell r="W139">
            <v>109225.2</v>
          </cell>
          <cell r="X139">
            <v>92841.42</v>
          </cell>
          <cell r="Y139">
            <v>10922.52</v>
          </cell>
          <cell r="Z139">
            <v>103763.94</v>
          </cell>
          <cell r="AA139">
            <v>5461.26</v>
          </cell>
          <cell r="AB139">
            <v>109225.2</v>
          </cell>
          <cell r="AC139">
            <v>92841.42</v>
          </cell>
          <cell r="AD139">
            <v>10922.52</v>
          </cell>
          <cell r="AE139">
            <v>103763.94</v>
          </cell>
          <cell r="AF139">
            <v>5461.26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109220</v>
          </cell>
          <cell r="AM139">
            <v>92837</v>
          </cell>
          <cell r="AN139">
            <v>10922</v>
          </cell>
          <cell r="AO139">
            <v>103759</v>
          </cell>
          <cell r="AP139">
            <v>5461</v>
          </cell>
          <cell r="AQ139">
            <v>0</v>
          </cell>
          <cell r="AR139">
            <v>0</v>
          </cell>
        </row>
        <row r="140">
          <cell r="A140" t="str">
            <v>310011B478</v>
          </cell>
          <cell r="B140">
            <v>1</v>
          </cell>
          <cell r="C140" t="str">
            <v>1.1.1</v>
          </cell>
          <cell r="D140" t="str">
            <v>OPKZP-PO1-SC111-2016-10</v>
          </cell>
          <cell r="E140" t="str">
            <v>odpady</v>
          </cell>
          <cell r="F140" t="str">
            <v>Obec Horná Mariková</v>
          </cell>
          <cell r="G140" t="str">
            <v>Podpora triedeného zberu komunálnych odpadov v obci Horná Mariková</v>
          </cell>
          <cell r="H140" t="str">
            <v>017</v>
          </cell>
          <cell r="I140" t="str">
            <v>TN</v>
          </cell>
          <cell r="J140" t="str">
            <v>regionálny</v>
          </cell>
          <cell r="K140" t="str">
            <v>áno</v>
          </cell>
          <cell r="M140">
            <v>42746</v>
          </cell>
          <cell r="N140" t="str">
            <v>Realizácia</v>
          </cell>
          <cell r="P140" t="str">
            <v>https://www.crz.gov.sk/index.php?ID=2765224&amp;l=sk</v>
          </cell>
          <cell r="Q140" t="str">
            <v>https://crp.gov.sk/podpora-triedeneho-zberu-komunalnych-odpadov-v-obci-horna-marikova/</v>
          </cell>
          <cell r="R140" t="str">
            <v xml:space="preserve"> OPKZP-PO1-SC111-2016-10/66</v>
          </cell>
          <cell r="S140">
            <v>0.85</v>
          </cell>
          <cell r="T140">
            <v>0.1</v>
          </cell>
          <cell r="U140">
            <v>0.05</v>
          </cell>
          <cell r="V140" t="str">
            <v>verejné</v>
          </cell>
          <cell r="W140">
            <v>149312</v>
          </cell>
          <cell r="X140">
            <v>126915.2</v>
          </cell>
          <cell r="Y140">
            <v>14931.2</v>
          </cell>
          <cell r="Z140">
            <v>141846.39999999999</v>
          </cell>
          <cell r="AA140">
            <v>7465.6</v>
          </cell>
          <cell r="AB140">
            <v>149312</v>
          </cell>
          <cell r="AC140">
            <v>126915.2</v>
          </cell>
          <cell r="AD140">
            <v>14931.2</v>
          </cell>
          <cell r="AE140">
            <v>141846.39999999999</v>
          </cell>
          <cell r="AF140">
            <v>7465.6</v>
          </cell>
          <cell r="AG140">
            <v>7210</v>
          </cell>
          <cell r="AH140">
            <v>6128.5</v>
          </cell>
          <cell r="AI140">
            <v>721</v>
          </cell>
          <cell r="AJ140">
            <v>6849.5</v>
          </cell>
          <cell r="AK140">
            <v>360.5</v>
          </cell>
          <cell r="AL140">
            <v>136990</v>
          </cell>
          <cell r="AM140">
            <v>116441.5</v>
          </cell>
          <cell r="AN140">
            <v>13699</v>
          </cell>
          <cell r="AO140">
            <v>130140.5</v>
          </cell>
          <cell r="AP140">
            <v>6849.5</v>
          </cell>
          <cell r="AQ140">
            <v>0</v>
          </cell>
          <cell r="AR140">
            <v>0</v>
          </cell>
        </row>
        <row r="141">
          <cell r="A141" t="str">
            <v>310011B480</v>
          </cell>
          <cell r="B141">
            <v>1</v>
          </cell>
          <cell r="C141" t="str">
            <v>1.1.1</v>
          </cell>
          <cell r="D141" t="str">
            <v>OPKZP-PO1-SC111-2016-11</v>
          </cell>
          <cell r="E141" t="str">
            <v>odpady</v>
          </cell>
          <cell r="F141" t="str">
            <v>Mesto Bardejov</v>
          </cell>
          <cell r="G141" t="str">
            <v>Regionálne centrum zhodnocovania biologicky rozložiteľných odpadov</v>
          </cell>
          <cell r="H141" t="str">
            <v>017</v>
          </cell>
          <cell r="I141" t="str">
            <v>PO</v>
          </cell>
          <cell r="J141" t="str">
            <v>regionálny</v>
          </cell>
          <cell r="K141" t="str">
            <v>áno</v>
          </cell>
          <cell r="M141">
            <v>42740</v>
          </cell>
          <cell r="N141" t="str">
            <v>Aktivity nezačaté</v>
          </cell>
          <cell r="P141" t="str">
            <v>https://www.crz.gov.sk/index.php?ID=2760982&amp;l=sk</v>
          </cell>
          <cell r="Q141" t="str">
            <v>https://crp.gov.sk/regionalne-centrum-zhodnocovania-biologicky-rozlozitelnych-odpadov/</v>
          </cell>
          <cell r="R141" t="str">
            <v>OPKZP-PO1-SC111-2016-11/14</v>
          </cell>
          <cell r="S141">
            <v>0.85</v>
          </cell>
          <cell r="T141">
            <v>0.1</v>
          </cell>
          <cell r="U141">
            <v>0.05</v>
          </cell>
          <cell r="V141" t="str">
            <v>verejné</v>
          </cell>
          <cell r="W141">
            <v>2631578.9500000002</v>
          </cell>
          <cell r="X141">
            <v>2236842.11</v>
          </cell>
          <cell r="Y141">
            <v>263157.89</v>
          </cell>
          <cell r="Z141">
            <v>2500000</v>
          </cell>
          <cell r="AA141">
            <v>131578.95000000001</v>
          </cell>
          <cell r="AB141">
            <v>2631578.9500000002</v>
          </cell>
          <cell r="AC141">
            <v>2236842.11</v>
          </cell>
          <cell r="AD141">
            <v>263157.89</v>
          </cell>
          <cell r="AE141">
            <v>2500000</v>
          </cell>
          <cell r="AF141">
            <v>131578.95000000001</v>
          </cell>
          <cell r="AJ141">
            <v>0</v>
          </cell>
          <cell r="AO141">
            <v>0</v>
          </cell>
          <cell r="AQ141">
            <v>0</v>
          </cell>
          <cell r="AR141">
            <v>0</v>
          </cell>
        </row>
        <row r="142">
          <cell r="A142" t="str">
            <v>310011B482</v>
          </cell>
          <cell r="B142">
            <v>1</v>
          </cell>
          <cell r="C142" t="str">
            <v>1.1.1</v>
          </cell>
          <cell r="D142" t="str">
            <v>OPKZP-PO1-SC111-2016-10</v>
          </cell>
          <cell r="E142" t="str">
            <v>odpady</v>
          </cell>
          <cell r="F142" t="str">
            <v>Obec Golianovo</v>
          </cell>
          <cell r="G142" t="str">
            <v>Technológia pre triedený zber v obci Golianovo</v>
          </cell>
          <cell r="H142" t="str">
            <v>017</v>
          </cell>
          <cell r="I142" t="str">
            <v>NR</v>
          </cell>
          <cell r="J142" t="str">
            <v>regionálny</v>
          </cell>
          <cell r="K142" t="str">
            <v>áno</v>
          </cell>
          <cell r="M142">
            <v>42741</v>
          </cell>
          <cell r="N142" t="str">
            <v>Realizácia</v>
          </cell>
          <cell r="P142" t="str">
            <v>https://www.crz.gov.sk/index.php?ID=2761847&amp;l=sk</v>
          </cell>
          <cell r="Q142" t="str">
            <v>https://crp.gov.sk/technologia-pre-triedeny-zber-v-obci-golianovo/</v>
          </cell>
          <cell r="R142" t="str">
            <v>OPKZP-PO1-SC111-2016-10/67</v>
          </cell>
          <cell r="S142">
            <v>0.85</v>
          </cell>
          <cell r="T142">
            <v>0.1</v>
          </cell>
          <cell r="U142">
            <v>0.05</v>
          </cell>
          <cell r="V142" t="str">
            <v>verejné</v>
          </cell>
          <cell r="W142">
            <v>203206.8</v>
          </cell>
          <cell r="X142">
            <v>172725.78</v>
          </cell>
          <cell r="Y142">
            <v>20320.68</v>
          </cell>
          <cell r="Z142">
            <v>193046.46</v>
          </cell>
          <cell r="AA142">
            <v>10160.34</v>
          </cell>
          <cell r="AB142">
            <v>203206.8</v>
          </cell>
          <cell r="AC142">
            <v>172725.78</v>
          </cell>
          <cell r="AD142">
            <v>20320.68</v>
          </cell>
          <cell r="AE142">
            <v>193046.46</v>
          </cell>
          <cell r="AF142">
            <v>10160.34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92342.399999999994</v>
          </cell>
          <cell r="AM142">
            <v>78491.039999999994</v>
          </cell>
          <cell r="AN142">
            <v>9234.24</v>
          </cell>
          <cell r="AO142">
            <v>87725.28</v>
          </cell>
          <cell r="AP142">
            <v>4617.12</v>
          </cell>
          <cell r="AQ142">
            <v>92342.399999999994</v>
          </cell>
          <cell r="AR142">
            <v>78491.039999999994</v>
          </cell>
        </row>
        <row r="143">
          <cell r="A143" t="str">
            <v>310011B483</v>
          </cell>
          <cell r="B143">
            <v>1</v>
          </cell>
          <cell r="C143" t="str">
            <v>1.1.1</v>
          </cell>
          <cell r="D143" t="str">
            <v>OPKZP-PO1-SC111-2016-11</v>
          </cell>
          <cell r="E143" t="str">
            <v>odpady</v>
          </cell>
          <cell r="F143" t="str">
            <v>TEKOS, spol. s r.o.</v>
          </cell>
          <cell r="G143" t="str">
            <v>Zefektívnenie zberu BRO a DSO v okrese Malacky</v>
          </cell>
          <cell r="H143" t="str">
            <v>017</v>
          </cell>
          <cell r="I143" t="str">
            <v>BA</v>
          </cell>
          <cell r="J143" t="str">
            <v>regionálny</v>
          </cell>
          <cell r="K143" t="str">
            <v>áno</v>
          </cell>
          <cell r="M143">
            <v>42741</v>
          </cell>
          <cell r="N143" t="str">
            <v>Aktivity nezačaté</v>
          </cell>
          <cell r="P143" t="str">
            <v>https://www.crz.gov.sk/index.php?ID=2762083&amp;l=sk</v>
          </cell>
          <cell r="Q143" t="str">
            <v>https://crp.gov.sk/zefektivnenie-zberu-bro-a-dso-v-okrese-malacky/</v>
          </cell>
          <cell r="R143" t="str">
            <v>OPKZP-PO1-SC111-2016-11/15</v>
          </cell>
          <cell r="S143">
            <v>0.85</v>
          </cell>
          <cell r="T143">
            <v>0.1</v>
          </cell>
          <cell r="U143">
            <v>0.05</v>
          </cell>
          <cell r="V143" t="str">
            <v>súkromné</v>
          </cell>
          <cell r="W143">
            <v>1127887.33</v>
          </cell>
          <cell r="X143">
            <v>958704.23</v>
          </cell>
          <cell r="Y143">
            <v>112788.73</v>
          </cell>
          <cell r="Z143">
            <v>1071492.96</v>
          </cell>
          <cell r="AA143">
            <v>56394.37</v>
          </cell>
          <cell r="AB143">
            <v>1127887.33</v>
          </cell>
          <cell r="AC143">
            <v>958704.23</v>
          </cell>
          <cell r="AD143">
            <v>112788.73</v>
          </cell>
          <cell r="AE143">
            <v>1071492.96</v>
          </cell>
          <cell r="AF143">
            <v>56394.37</v>
          </cell>
          <cell r="AJ143">
            <v>0</v>
          </cell>
          <cell r="AO143">
            <v>0</v>
          </cell>
          <cell r="AQ143">
            <v>0</v>
          </cell>
          <cell r="AR143">
            <v>0</v>
          </cell>
        </row>
        <row r="144">
          <cell r="A144" t="str">
            <v>310011B485</v>
          </cell>
          <cell r="B144">
            <v>1</v>
          </cell>
          <cell r="C144" t="str">
            <v>1.1.1</v>
          </cell>
          <cell r="D144" t="str">
            <v>OPKZP-PO1-SC111-2016-10</v>
          </cell>
          <cell r="E144" t="str">
            <v>odpady</v>
          </cell>
          <cell r="F144" t="str">
            <v>Mesto Krupina</v>
          </cell>
          <cell r="G144" t="str">
            <v>Podpora triedeného zberu komunálnych odpadov -mesto Krupina</v>
          </cell>
          <cell r="H144" t="str">
            <v>017</v>
          </cell>
          <cell r="I144" t="str">
            <v>BB</v>
          </cell>
          <cell r="J144" t="str">
            <v>regionálny</v>
          </cell>
          <cell r="K144" t="str">
            <v>áno</v>
          </cell>
          <cell r="M144">
            <v>42755</v>
          </cell>
          <cell r="N144" t="str">
            <v>Aktivity nezačaté</v>
          </cell>
          <cell r="P144" t="str">
            <v>https://www.crz.gov.sk/index.php?ID=2777272&amp;l=sk</v>
          </cell>
          <cell r="Q144" t="str">
            <v>https://crp.gov.sk/podpora-triedeneho-zberu-komunalnych-odpadov-mesto-krupina/</v>
          </cell>
          <cell r="R144" t="str">
            <v>OPKZP-PO1-SC111-2016-10/68</v>
          </cell>
          <cell r="S144">
            <v>0.85</v>
          </cell>
          <cell r="T144">
            <v>0.1</v>
          </cell>
          <cell r="U144">
            <v>0.05</v>
          </cell>
          <cell r="V144" t="str">
            <v>verejné</v>
          </cell>
          <cell r="W144">
            <v>900576.4</v>
          </cell>
          <cell r="X144">
            <v>765489.94</v>
          </cell>
          <cell r="Y144">
            <v>90057.64</v>
          </cell>
          <cell r="Z144">
            <v>855547.58</v>
          </cell>
          <cell r="AA144">
            <v>45028.82</v>
          </cell>
          <cell r="AB144">
            <v>900576.4</v>
          </cell>
          <cell r="AC144">
            <v>765489.94</v>
          </cell>
          <cell r="AD144">
            <v>90057.64</v>
          </cell>
          <cell r="AE144">
            <v>855547.58</v>
          </cell>
          <cell r="AF144">
            <v>45028.82</v>
          </cell>
          <cell r="AJ144">
            <v>0</v>
          </cell>
          <cell r="AO144">
            <v>0</v>
          </cell>
          <cell r="AQ144">
            <v>0</v>
          </cell>
          <cell r="AR144">
            <v>0</v>
          </cell>
        </row>
        <row r="145">
          <cell r="A145" t="str">
            <v>310011B489</v>
          </cell>
          <cell r="B145">
            <v>1</v>
          </cell>
          <cell r="C145" t="str">
            <v>1.1.1</v>
          </cell>
          <cell r="D145" t="str">
            <v>OPKZP-PO1-SC111-2016-11</v>
          </cell>
          <cell r="E145" t="str">
            <v>odpady</v>
          </cell>
          <cell r="F145" t="str">
            <v>Mesto Ružomberok</v>
          </cell>
          <cell r="G145" t="str">
            <v>Zhodnocovanie biologicky rozložiteľného odpadu Ružomberok</v>
          </cell>
          <cell r="H145" t="str">
            <v>017</v>
          </cell>
          <cell r="I145" t="str">
            <v>ZA</v>
          </cell>
          <cell r="J145" t="str">
            <v>regionálny</v>
          </cell>
          <cell r="K145" t="str">
            <v>áno</v>
          </cell>
          <cell r="M145">
            <v>42740</v>
          </cell>
          <cell r="N145" t="str">
            <v>Aktivity nezačaté</v>
          </cell>
          <cell r="P145" t="str">
            <v>https://www.crz.gov.sk/index.php?ID=2761192&amp;l=sk</v>
          </cell>
          <cell r="Q145" t="str">
            <v>https://crp.gov.sk/zhodnocovanie-biologicky-rozlozitelneho-odpadu/</v>
          </cell>
          <cell r="R145" t="str">
            <v>OPKZP-PO1-SC111-2016-11/16</v>
          </cell>
          <cell r="S145">
            <v>0.85</v>
          </cell>
          <cell r="T145">
            <v>0.1</v>
          </cell>
          <cell r="U145">
            <v>0.05</v>
          </cell>
          <cell r="V145" t="str">
            <v>verejné</v>
          </cell>
          <cell r="W145">
            <v>2064379.2</v>
          </cell>
          <cell r="X145">
            <v>1754722.32</v>
          </cell>
          <cell r="Y145">
            <v>206437.92</v>
          </cell>
          <cell r="Z145">
            <v>1961160.24</v>
          </cell>
          <cell r="AA145">
            <v>103218.96</v>
          </cell>
          <cell r="AB145">
            <v>2064379.2</v>
          </cell>
          <cell r="AC145">
            <v>1754722.32</v>
          </cell>
          <cell r="AD145">
            <v>206437.92</v>
          </cell>
          <cell r="AE145">
            <v>1961160.24</v>
          </cell>
          <cell r="AF145">
            <v>103218.96</v>
          </cell>
          <cell r="AJ145">
            <v>0</v>
          </cell>
          <cell r="AO145">
            <v>0</v>
          </cell>
          <cell r="AQ145">
            <v>0</v>
          </cell>
          <cell r="AR145">
            <v>0</v>
          </cell>
        </row>
        <row r="146">
          <cell r="A146" t="str">
            <v>310011B490</v>
          </cell>
          <cell r="B146">
            <v>1</v>
          </cell>
          <cell r="C146" t="str">
            <v>1.1.1</v>
          </cell>
          <cell r="D146" t="str">
            <v>OPKZP-PO1-SC111-2016-11</v>
          </cell>
          <cell r="E146" t="str">
            <v>odpady</v>
          </cell>
          <cell r="F146" t="str">
            <v>Technické služby, mestský podnik Banská Štiavnica</v>
          </cell>
          <cell r="G146" t="str">
            <v>Zhodnocovanie bioodpadu a stavebného odpadu v Banskej Štiavnici</v>
          </cell>
          <cell r="H146" t="str">
            <v>017</v>
          </cell>
          <cell r="I146" t="str">
            <v>BB</v>
          </cell>
          <cell r="J146" t="str">
            <v>regionálny</v>
          </cell>
          <cell r="K146" t="str">
            <v>áno</v>
          </cell>
          <cell r="M146">
            <v>42878</v>
          </cell>
          <cell r="N146" t="str">
            <v>Realizácia</v>
          </cell>
          <cell r="P146" t="str">
            <v>https://www.crz.gov.sk/index.php?ID=2946013&amp;l=sk</v>
          </cell>
          <cell r="Q146" t="str">
            <v>https://crp.gov.sk/zhodnocovanie-bioodpadu-a-stavebneho-odpadu-v-banskej-stiavnici/</v>
          </cell>
          <cell r="R146" t="str">
            <v>OPKZP-PO1-SC111-2016-11/24</v>
          </cell>
          <cell r="S146">
            <v>0.85</v>
          </cell>
          <cell r="T146">
            <v>0.1</v>
          </cell>
          <cell r="U146">
            <v>0.05</v>
          </cell>
          <cell r="V146" t="str">
            <v>verejné</v>
          </cell>
          <cell r="W146">
            <v>1940474.29</v>
          </cell>
          <cell r="X146">
            <v>1649403.15</v>
          </cell>
          <cell r="Y146">
            <v>194047.43</v>
          </cell>
          <cell r="Z146">
            <v>1843450.5799999998</v>
          </cell>
          <cell r="AA146">
            <v>97023.71</v>
          </cell>
          <cell r="AB146">
            <v>1940474.29</v>
          </cell>
          <cell r="AC146">
            <v>1649403.15</v>
          </cell>
          <cell r="AD146">
            <v>194047.43</v>
          </cell>
          <cell r="AE146">
            <v>1843450.5799999998</v>
          </cell>
          <cell r="AF146">
            <v>97023.71</v>
          </cell>
          <cell r="AG146">
            <v>126095.84</v>
          </cell>
          <cell r="AH146">
            <v>107181.46399999999</v>
          </cell>
          <cell r="AI146">
            <v>12609.584000000001</v>
          </cell>
          <cell r="AJ146">
            <v>119791.048</v>
          </cell>
          <cell r="AK146">
            <v>6304.7920000000004</v>
          </cell>
          <cell r="AL146">
            <v>22680</v>
          </cell>
          <cell r="AM146">
            <v>19278</v>
          </cell>
          <cell r="AN146">
            <v>2268</v>
          </cell>
          <cell r="AO146">
            <v>21546</v>
          </cell>
          <cell r="AP146">
            <v>1134</v>
          </cell>
          <cell r="AQ146">
            <v>0</v>
          </cell>
          <cell r="AR146">
            <v>0</v>
          </cell>
        </row>
        <row r="147">
          <cell r="A147" t="str">
            <v>310011B494</v>
          </cell>
          <cell r="B147">
            <v>1</v>
          </cell>
          <cell r="C147" t="str">
            <v>1.1.1</v>
          </cell>
          <cell r="D147" t="str">
            <v>OPKZP-PO1-SC111-2016-11</v>
          </cell>
          <cell r="E147" t="str">
            <v>odpady</v>
          </cell>
          <cell r="F147" t="str">
            <v>Mesto Čadca</v>
          </cell>
          <cell r="G147" t="str">
            <v>Kompostáreň - Čadca</v>
          </cell>
          <cell r="H147" t="str">
            <v>017</v>
          </cell>
          <cell r="I147" t="str">
            <v>ZA</v>
          </cell>
          <cell r="J147" t="str">
            <v>regionálny</v>
          </cell>
          <cell r="K147" t="str">
            <v>áno</v>
          </cell>
          <cell r="M147">
            <v>42727</v>
          </cell>
          <cell r="N147" t="str">
            <v>Realizácia</v>
          </cell>
          <cell r="P147" t="str">
            <v>https://www.crz.gov.sk/index.php?ID=2744478&amp;l=sk</v>
          </cell>
          <cell r="Q147" t="str">
            <v>https://crp.gov.sk/kompostaren-cadca/</v>
          </cell>
          <cell r="R147" t="str">
            <v>OPKZP-PO1-SC111-2016-11/17</v>
          </cell>
          <cell r="S147">
            <v>0.85</v>
          </cell>
          <cell r="T147">
            <v>0.1</v>
          </cell>
          <cell r="U147">
            <v>0.05</v>
          </cell>
          <cell r="V147" t="str">
            <v>verejné</v>
          </cell>
          <cell r="W147">
            <v>524158.22</v>
          </cell>
          <cell r="X147">
            <v>445534.49</v>
          </cell>
          <cell r="Y147">
            <v>52415.82</v>
          </cell>
          <cell r="Z147">
            <v>497950.31</v>
          </cell>
          <cell r="AA147">
            <v>26207.91</v>
          </cell>
          <cell r="AB147">
            <v>524158.22</v>
          </cell>
          <cell r="AC147">
            <v>445534.49</v>
          </cell>
          <cell r="AD147">
            <v>52415.82</v>
          </cell>
          <cell r="AE147">
            <v>497950.31</v>
          </cell>
          <cell r="AF147">
            <v>26207.91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388071.04</v>
          </cell>
          <cell r="AM147">
            <v>329860.38</v>
          </cell>
          <cell r="AN147">
            <v>38807.11</v>
          </cell>
          <cell r="AO147">
            <v>368667.49</v>
          </cell>
          <cell r="AP147">
            <v>19403.55</v>
          </cell>
          <cell r="AQ147">
            <v>181721.53</v>
          </cell>
          <cell r="AR147">
            <v>154463.30000000002</v>
          </cell>
        </row>
        <row r="148">
          <cell r="A148" t="str">
            <v>310011B496</v>
          </cell>
          <cell r="B148">
            <v>1</v>
          </cell>
          <cell r="C148" t="str">
            <v>1.1.1</v>
          </cell>
          <cell r="D148" t="str">
            <v>OPKZP-PO1-SC111-2016-10</v>
          </cell>
          <cell r="E148" t="str">
            <v>odpady</v>
          </cell>
          <cell r="F148" t="str">
            <v>Obec Rovinka</v>
          </cell>
          <cell r="G148" t="str">
            <v>Zberný dvor Rovinka – dostavba, dovybavenie, rozšírenie a realizácia zberných dvorov</v>
          </cell>
          <cell r="H148" t="str">
            <v>017</v>
          </cell>
          <cell r="I148" t="str">
            <v>BA</v>
          </cell>
          <cell r="J148" t="str">
            <v>regionálny</v>
          </cell>
          <cell r="K148" t="str">
            <v>áno</v>
          </cell>
          <cell r="L148" t="str">
            <v>áno</v>
          </cell>
          <cell r="M148">
            <v>42755</v>
          </cell>
          <cell r="N148" t="str">
            <v>Realizácia</v>
          </cell>
          <cell r="P148" t="str">
            <v>https://www.crz.gov.sk/index.php?ID=2777160&amp;l=sk</v>
          </cell>
          <cell r="Q148" t="str">
            <v>https://crp.gov.sk/zberny-dvor-rovinka-%E2%80%93-dostavba-dovybavenie-rozsirenie-a-realizacia-zbernych-dvorov/</v>
          </cell>
          <cell r="R148" t="str">
            <v>OPKZP-PO1-SC111-2016-10/69</v>
          </cell>
          <cell r="S148">
            <v>0.85</v>
          </cell>
          <cell r="T148">
            <v>0.1</v>
          </cell>
          <cell r="U148">
            <v>0.05</v>
          </cell>
          <cell r="V148" t="str">
            <v>verejné</v>
          </cell>
          <cell r="W148">
            <v>417043.73</v>
          </cell>
          <cell r="X148">
            <v>354487.17</v>
          </cell>
          <cell r="Y148">
            <v>41704.370000000003</v>
          </cell>
          <cell r="Z148">
            <v>396191.54</v>
          </cell>
          <cell r="AA148">
            <v>20852.189999999999</v>
          </cell>
          <cell r="AB148">
            <v>417043.73</v>
          </cell>
          <cell r="AC148">
            <v>354487.17</v>
          </cell>
          <cell r="AD148">
            <v>41704.370000000003</v>
          </cell>
          <cell r="AE148">
            <v>396191.54</v>
          </cell>
          <cell r="AF148">
            <v>20852.189999999999</v>
          </cell>
          <cell r="AJ148">
            <v>0</v>
          </cell>
          <cell r="AO148">
            <v>0</v>
          </cell>
          <cell r="AQ148">
            <v>0</v>
          </cell>
          <cell r="AR148">
            <v>0</v>
          </cell>
        </row>
        <row r="149">
          <cell r="A149" t="str">
            <v>310011B498</v>
          </cell>
          <cell r="B149">
            <v>1</v>
          </cell>
          <cell r="C149" t="str">
            <v>1.1.1</v>
          </cell>
          <cell r="D149" t="str">
            <v>OPKZP-PO1-SC111-2016-10</v>
          </cell>
          <cell r="E149" t="str">
            <v>odpady</v>
          </cell>
          <cell r="F149" t="str">
            <v>Obec Rimavská Seč</v>
          </cell>
          <cell r="G149" t="str">
            <v>Zbierajme spolu do dvora v Rimavskej Seči</v>
          </cell>
          <cell r="H149" t="str">
            <v>017</v>
          </cell>
          <cell r="I149" t="str">
            <v>BB</v>
          </cell>
          <cell r="J149" t="str">
            <v>regionálny</v>
          </cell>
          <cell r="K149" t="str">
            <v>áno</v>
          </cell>
          <cell r="M149">
            <v>42802</v>
          </cell>
          <cell r="N149" t="str">
            <v>Mimoriadne ukončený</v>
          </cell>
          <cell r="O149">
            <v>42942</v>
          </cell>
          <cell r="P149" t="str">
            <v xml:space="preserve">https://www.crz.gov.sk/index.php?ID=2842349&amp;l=sk </v>
          </cell>
          <cell r="Q149" t="str">
            <v>https://crp.gov.sk/zbierajme-spolu-do-dvora-v-rimavskej-seci/</v>
          </cell>
          <cell r="R149" t="str">
            <v>OPKZP-PO1-SC111-2016-10/70</v>
          </cell>
          <cell r="S149">
            <v>0.85</v>
          </cell>
          <cell r="T149">
            <v>0.1</v>
          </cell>
          <cell r="U149">
            <v>0.05</v>
          </cell>
          <cell r="V149" t="str">
            <v>verejné</v>
          </cell>
          <cell r="W149">
            <v>162999.56</v>
          </cell>
          <cell r="X149">
            <v>138549.62</v>
          </cell>
          <cell r="Y149">
            <v>16299.96</v>
          </cell>
          <cell r="Z149">
            <v>154849.57999999999</v>
          </cell>
          <cell r="AA149">
            <v>8149.98</v>
          </cell>
          <cell r="AB149">
            <v>162999.56</v>
          </cell>
          <cell r="AC149">
            <v>138549.62</v>
          </cell>
          <cell r="AD149">
            <v>16299.96</v>
          </cell>
          <cell r="AE149">
            <v>154849.57999999999</v>
          </cell>
          <cell r="AF149">
            <v>8149.98</v>
          </cell>
          <cell r="AJ149">
            <v>0</v>
          </cell>
          <cell r="AO149">
            <v>0</v>
          </cell>
          <cell r="AQ149">
            <v>0</v>
          </cell>
          <cell r="AR149">
            <v>0</v>
          </cell>
        </row>
        <row r="150">
          <cell r="A150" t="str">
            <v>310011B499</v>
          </cell>
          <cell r="B150">
            <v>1</v>
          </cell>
          <cell r="C150" t="str">
            <v>1.1.1</v>
          </cell>
          <cell r="D150" t="str">
            <v>OPKZP-PO1-SC111-2016-10</v>
          </cell>
          <cell r="E150" t="str">
            <v>odpady</v>
          </cell>
          <cell r="F150" t="str">
            <v>Obec Trnovec nad Váhom</v>
          </cell>
          <cell r="G150" t="str">
            <v>Zberný dvor Trnovec nad Váhom</v>
          </cell>
          <cell r="H150" t="str">
            <v>017</v>
          </cell>
          <cell r="I150" t="str">
            <v>NR</v>
          </cell>
          <cell r="J150" t="str">
            <v>regionálny</v>
          </cell>
          <cell r="K150" t="str">
            <v>áno</v>
          </cell>
          <cell r="M150">
            <v>42740</v>
          </cell>
          <cell r="N150" t="str">
            <v>Realizácia</v>
          </cell>
          <cell r="P150" t="str">
            <v>https://www.crz.gov.sk/index.php?ID=2760555&amp;l=sk</v>
          </cell>
          <cell r="Q150" t="str">
            <v>https://crp.gov.sk/zberny-dvor-trnovec-nad-vahom/</v>
          </cell>
          <cell r="R150" t="str">
            <v>OPKZP-PO1-SC111-2016-10/71</v>
          </cell>
          <cell r="S150">
            <v>0.85</v>
          </cell>
          <cell r="T150">
            <v>0.1</v>
          </cell>
          <cell r="U150">
            <v>0.05</v>
          </cell>
          <cell r="V150" t="str">
            <v>verejné</v>
          </cell>
          <cell r="W150">
            <v>561450.05000000005</v>
          </cell>
          <cell r="X150">
            <v>477232.54</v>
          </cell>
          <cell r="Y150">
            <v>56145.01</v>
          </cell>
          <cell r="Z150">
            <v>533377.54999999993</v>
          </cell>
          <cell r="AA150">
            <v>28072.5</v>
          </cell>
          <cell r="AB150">
            <v>561450.05000000005</v>
          </cell>
          <cell r="AC150">
            <v>477232.54</v>
          </cell>
          <cell r="AD150">
            <v>56145.01</v>
          </cell>
          <cell r="AE150">
            <v>533377.54999999993</v>
          </cell>
          <cell r="AF150">
            <v>28072.5</v>
          </cell>
          <cell r="AJ150">
            <v>0</v>
          </cell>
          <cell r="AO150">
            <v>0</v>
          </cell>
          <cell r="AQ150">
            <v>0</v>
          </cell>
          <cell r="AR150">
            <v>0</v>
          </cell>
        </row>
        <row r="151">
          <cell r="A151" t="str">
            <v>310011B502</v>
          </cell>
          <cell r="B151">
            <v>1</v>
          </cell>
          <cell r="C151" t="str">
            <v>1.1.1</v>
          </cell>
          <cell r="D151" t="str">
            <v>OPKZP-PO1-SC111-2016-10</v>
          </cell>
          <cell r="E151" t="str">
            <v>odpady</v>
          </cell>
          <cell r="F151" t="str">
            <v>Obec Varín</v>
          </cell>
          <cell r="G151" t="str">
            <v>Zberný dvor Varín</v>
          </cell>
          <cell r="H151" t="str">
            <v>017</v>
          </cell>
          <cell r="I151" t="str">
            <v>ZA</v>
          </cell>
          <cell r="J151" t="str">
            <v>regionálny</v>
          </cell>
          <cell r="K151" t="str">
            <v>áno</v>
          </cell>
          <cell r="L151" t="str">
            <v>áno</v>
          </cell>
          <cell r="M151">
            <v>42770</v>
          </cell>
          <cell r="N151" t="str">
            <v>Realizácia</v>
          </cell>
          <cell r="P151" t="str">
            <v>https://www.crz.gov.sk/index.php?ID=2799156&amp;l=sk</v>
          </cell>
          <cell r="Q151" t="str">
            <v>https://crp.gov.sk/zberny-dvor-varin/</v>
          </cell>
          <cell r="R151" t="str">
            <v>OPKZP-PO1-SC111-2016-10/72</v>
          </cell>
          <cell r="S151">
            <v>0.85</v>
          </cell>
          <cell r="T151">
            <v>0.1</v>
          </cell>
          <cell r="U151">
            <v>0.05</v>
          </cell>
          <cell r="V151" t="str">
            <v>verejné</v>
          </cell>
          <cell r="W151">
            <v>504031.89</v>
          </cell>
          <cell r="X151">
            <v>428427.11</v>
          </cell>
          <cell r="Y151">
            <v>50403.19</v>
          </cell>
          <cell r="Z151">
            <v>478830.3</v>
          </cell>
          <cell r="AA151">
            <v>25201.59</v>
          </cell>
          <cell r="AB151">
            <v>504031.89</v>
          </cell>
          <cell r="AC151">
            <v>428427.11</v>
          </cell>
          <cell r="AD151">
            <v>50403.19</v>
          </cell>
          <cell r="AE151">
            <v>478830.3</v>
          </cell>
          <cell r="AF151">
            <v>25201.59</v>
          </cell>
          <cell r="AJ151">
            <v>0</v>
          </cell>
          <cell r="AO151">
            <v>0</v>
          </cell>
          <cell r="AQ151">
            <v>0</v>
          </cell>
          <cell r="AR151">
            <v>0</v>
          </cell>
        </row>
        <row r="152">
          <cell r="A152" t="str">
            <v>310011B503</v>
          </cell>
          <cell r="B152">
            <v>1</v>
          </cell>
          <cell r="C152" t="str">
            <v>1.1.1</v>
          </cell>
          <cell r="D152" t="str">
            <v>OPKZP-PO1-SC111-2016-10</v>
          </cell>
          <cell r="E152" t="str">
            <v>odpady</v>
          </cell>
          <cell r="F152" t="str">
            <v>Obec Žaškov</v>
          </cell>
          <cell r="G152" t="str">
            <v>Výstavba zberného dvora v obci Žaškov</v>
          </cell>
          <cell r="H152" t="str">
            <v>017</v>
          </cell>
          <cell r="I152" t="str">
            <v>ZA</v>
          </cell>
          <cell r="J152" t="str">
            <v>regionálny</v>
          </cell>
          <cell r="K152" t="str">
            <v>áno</v>
          </cell>
          <cell r="L152" t="str">
            <v>áno</v>
          </cell>
          <cell r="M152">
            <v>42740</v>
          </cell>
          <cell r="N152" t="str">
            <v>Realizácia</v>
          </cell>
          <cell r="P152" t="str">
            <v>https://www.crz.gov.sk/index.php?ID=2761271&amp;l=sk</v>
          </cell>
          <cell r="Q152" t="str">
            <v>https://crp.gov.sk/vystavba-zberneho-dvora-v-obci-zaskov/</v>
          </cell>
          <cell r="R152" t="str">
            <v>OPKZP-PO1-SC111-2016-10/73</v>
          </cell>
          <cell r="S152">
            <v>0.85</v>
          </cell>
          <cell r="T152">
            <v>0.1</v>
          </cell>
          <cell r="U152">
            <v>0.05</v>
          </cell>
          <cell r="V152" t="str">
            <v>verejné</v>
          </cell>
          <cell r="W152">
            <v>365521.19</v>
          </cell>
          <cell r="X152">
            <v>310693.01</v>
          </cell>
          <cell r="Y152">
            <v>36552.120000000003</v>
          </cell>
          <cell r="Z152">
            <v>347245.13</v>
          </cell>
          <cell r="AA152">
            <v>18276.060000000001</v>
          </cell>
          <cell r="AB152">
            <v>364921.19</v>
          </cell>
          <cell r="AC152">
            <v>310183.01</v>
          </cell>
          <cell r="AD152">
            <v>36492.120000000003</v>
          </cell>
          <cell r="AE152">
            <v>346675.13</v>
          </cell>
          <cell r="AF152">
            <v>18246.060000000001</v>
          </cell>
          <cell r="AJ152">
            <v>0</v>
          </cell>
          <cell r="AO152">
            <v>0</v>
          </cell>
          <cell r="AQ152">
            <v>0</v>
          </cell>
          <cell r="AR152">
            <v>0</v>
          </cell>
        </row>
        <row r="153">
          <cell r="A153" t="str">
            <v>310011B510</v>
          </cell>
          <cell r="B153">
            <v>1</v>
          </cell>
          <cell r="C153" t="str">
            <v>1.1.1</v>
          </cell>
          <cell r="D153" t="str">
            <v>OPKZP-PO1-SC111-2016-10</v>
          </cell>
          <cell r="E153" t="str">
            <v>odpady</v>
          </cell>
          <cell r="F153" t="str">
            <v>Obec Korňa</v>
          </cell>
          <cell r="G153" t="str">
            <v>Zberný dvor Korňa</v>
          </cell>
          <cell r="H153" t="str">
            <v>017</v>
          </cell>
          <cell r="I153" t="str">
            <v>ZA</v>
          </cell>
          <cell r="J153" t="str">
            <v>regionálny</v>
          </cell>
          <cell r="K153" t="str">
            <v>áno</v>
          </cell>
          <cell r="L153" t="str">
            <v>áno</v>
          </cell>
          <cell r="M153">
            <v>42753</v>
          </cell>
          <cell r="N153" t="str">
            <v>Realizácia</v>
          </cell>
          <cell r="P153" t="str">
            <v>https://www.crz.gov.sk/index.php?ID=2774248&amp;l=sk</v>
          </cell>
          <cell r="Q153" t="str">
            <v>https://crp.gov.sk/zberny-dvor-korna/</v>
          </cell>
          <cell r="R153" t="str">
            <v>OPKZP-PO1-SC111-2016-10/74</v>
          </cell>
          <cell r="S153">
            <v>0.85</v>
          </cell>
          <cell r="T153">
            <v>0.1</v>
          </cell>
          <cell r="U153">
            <v>0.05</v>
          </cell>
          <cell r="V153" t="str">
            <v>verejné</v>
          </cell>
          <cell r="W153">
            <v>372037.05</v>
          </cell>
          <cell r="X153">
            <v>316231.49</v>
          </cell>
          <cell r="Y153">
            <v>37203.71</v>
          </cell>
          <cell r="Z153">
            <v>353435.2</v>
          </cell>
          <cell r="AA153">
            <v>18601.849999999999</v>
          </cell>
          <cell r="AB153">
            <v>372037.05</v>
          </cell>
          <cell r="AC153">
            <v>316231.49</v>
          </cell>
          <cell r="AD153">
            <v>37203.71</v>
          </cell>
          <cell r="AE153">
            <v>353435.2</v>
          </cell>
          <cell r="AF153">
            <v>18601.849999999999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9001.4599999999991</v>
          </cell>
          <cell r="AM153">
            <v>7651.24</v>
          </cell>
          <cell r="AN153">
            <v>900.15</v>
          </cell>
          <cell r="AO153">
            <v>8551.39</v>
          </cell>
          <cell r="AP153">
            <v>450.07</v>
          </cell>
          <cell r="AQ153">
            <v>0</v>
          </cell>
          <cell r="AR153">
            <v>0</v>
          </cell>
        </row>
        <row r="154">
          <cell r="A154" t="str">
            <v>310011B514</v>
          </cell>
          <cell r="B154">
            <v>1</v>
          </cell>
          <cell r="C154" t="str">
            <v>1.1.1</v>
          </cell>
          <cell r="D154" t="str">
            <v>OPKZP-PO1-SC111-2016-10</v>
          </cell>
          <cell r="E154" t="str">
            <v>odpady</v>
          </cell>
          <cell r="F154" t="str">
            <v>Obec Zavar</v>
          </cell>
          <cell r="G154" t="str">
            <v>Zberný dvor Zavar</v>
          </cell>
          <cell r="H154" t="str">
            <v>017</v>
          </cell>
          <cell r="I154" t="str">
            <v>TT</v>
          </cell>
          <cell r="J154" t="str">
            <v>regionálny</v>
          </cell>
          <cell r="K154" t="str">
            <v>áno</v>
          </cell>
          <cell r="L154" t="str">
            <v>áno</v>
          </cell>
          <cell r="M154">
            <v>42962</v>
          </cell>
          <cell r="N154" t="str">
            <v>Aktivity nezačaté</v>
          </cell>
          <cell r="P154" t="str">
            <v>https://www.crz.gov.sk/index.php?ID=3060716&amp;l=sk</v>
          </cell>
          <cell r="Q154" t="str">
            <v>https://crp.gov.sk/zberny-dvor-zavar/</v>
          </cell>
          <cell r="R154" t="str">
            <v>OPKZP-PO1-SC111-2016-10/75</v>
          </cell>
          <cell r="S154">
            <v>0.85</v>
          </cell>
          <cell r="T154">
            <v>0.1</v>
          </cell>
          <cell r="U154">
            <v>0.05</v>
          </cell>
          <cell r="V154" t="str">
            <v>verejné</v>
          </cell>
          <cell r="W154">
            <v>794750.52</v>
          </cell>
          <cell r="X154">
            <v>675537.94</v>
          </cell>
          <cell r="Y154">
            <v>79475.05</v>
          </cell>
          <cell r="Z154">
            <v>755012.99</v>
          </cell>
          <cell r="AA154">
            <v>39737.53</v>
          </cell>
          <cell r="AB154">
            <v>794750.52</v>
          </cell>
          <cell r="AC154">
            <v>675537.94</v>
          </cell>
          <cell r="AD154">
            <v>79475.05</v>
          </cell>
          <cell r="AE154">
            <v>755012.99</v>
          </cell>
          <cell r="AF154">
            <v>39737.53</v>
          </cell>
        </row>
        <row r="155">
          <cell r="A155" t="str">
            <v>310011B515</v>
          </cell>
          <cell r="B155">
            <v>1</v>
          </cell>
          <cell r="C155" t="str">
            <v>1.1.1</v>
          </cell>
          <cell r="D155" t="str">
            <v>OPKZP-PO1-SC111-2016-10</v>
          </cell>
          <cell r="E155" t="str">
            <v>odpady</v>
          </cell>
          <cell r="F155" t="str">
            <v>Mesto Lučenec</v>
          </cell>
          <cell r="G155" t="str">
            <v>Zavedenie systému zberu BRO z rodinných domov v Meste Lučenec</v>
          </cell>
          <cell r="H155" t="str">
            <v>017</v>
          </cell>
          <cell r="I155" t="str">
            <v>BB</v>
          </cell>
          <cell r="J155" t="str">
            <v>regionálny</v>
          </cell>
          <cell r="K155" t="str">
            <v>áno</v>
          </cell>
          <cell r="M155">
            <v>42755</v>
          </cell>
          <cell r="N155" t="str">
            <v>Aktivity nezačaté</v>
          </cell>
          <cell r="P155" t="str">
            <v>https://www.crz.gov.sk/index.php?ID=2777303&amp;l=sk</v>
          </cell>
          <cell r="Q155" t="str">
            <v>https://crp.gov.sk/zavedenie-systemu-zberu-bro-z-rodinnych-domov-v-meste-lucenec-/</v>
          </cell>
          <cell r="R155" t="str">
            <v>OPKZP-PO1-SC111-2016-10/76</v>
          </cell>
          <cell r="S155">
            <v>0.85</v>
          </cell>
          <cell r="T155">
            <v>0.1</v>
          </cell>
          <cell r="U155">
            <v>0.05</v>
          </cell>
          <cell r="V155" t="str">
            <v>verejné</v>
          </cell>
          <cell r="W155">
            <v>370160.07</v>
          </cell>
          <cell r="X155">
            <v>314636.06</v>
          </cell>
          <cell r="Y155">
            <v>37016.01</v>
          </cell>
          <cell r="Z155">
            <v>351652.07</v>
          </cell>
          <cell r="AA155">
            <v>18508</v>
          </cell>
          <cell r="AB155">
            <v>370160.07</v>
          </cell>
          <cell r="AC155">
            <v>314636.06</v>
          </cell>
          <cell r="AD155">
            <v>37016.01</v>
          </cell>
          <cell r="AE155">
            <v>351652.07</v>
          </cell>
          <cell r="AF155">
            <v>18508</v>
          </cell>
          <cell r="AJ155">
            <v>0</v>
          </cell>
          <cell r="AO155">
            <v>0</v>
          </cell>
          <cell r="AQ155">
            <v>0</v>
          </cell>
          <cell r="AR155">
            <v>0</v>
          </cell>
        </row>
        <row r="156">
          <cell r="A156" t="str">
            <v>310011B517</v>
          </cell>
          <cell r="B156">
            <v>1</v>
          </cell>
          <cell r="C156" t="str">
            <v>1.4.1</v>
          </cell>
          <cell r="D156" t="str">
            <v>OPKZP-PO1-SC141-2016-14</v>
          </cell>
          <cell r="E156" t="str">
            <v>vzduch</v>
          </cell>
          <cell r="F156" t="str">
            <v>KOSIT a.s.</v>
          </cell>
          <cell r="G156" t="str">
            <v>Zníženie emisií znečisťujúcich látok zo Spaľovne odpadov – Termovalorizátora linky kotla K1</v>
          </cell>
          <cell r="H156" t="str">
            <v>083</v>
          </cell>
          <cell r="I156" t="str">
            <v>KE</v>
          </cell>
          <cell r="J156" t="str">
            <v>regionálny</v>
          </cell>
          <cell r="K156" t="str">
            <v>áno</v>
          </cell>
          <cell r="M156">
            <v>42714</v>
          </cell>
          <cell r="N156" t="str">
            <v>Realizácia</v>
          </cell>
          <cell r="P156" t="str">
            <v>https://www.crz.gov.sk/index.php?ID=2721345&amp;l=sk</v>
          </cell>
          <cell r="Q156" t="str">
            <v>https://crp.gov.sk/znizenie-emisii-znecistujucich-latok-zo-spalovne-odpadov-termovalorizatora-linky-kotla-k1/</v>
          </cell>
          <cell r="R156" t="str">
            <v>OPKZP-PO1-SC141-2016-14/01</v>
          </cell>
          <cell r="S156">
            <v>0.85</v>
          </cell>
          <cell r="T156">
            <v>0.05</v>
          </cell>
          <cell r="U156">
            <v>0.1</v>
          </cell>
          <cell r="V156" t="str">
            <v>súkromné</v>
          </cell>
          <cell r="W156">
            <v>10761201.4</v>
          </cell>
          <cell r="X156">
            <v>9147021.1899999995</v>
          </cell>
          <cell r="Y156">
            <v>538060.06999999995</v>
          </cell>
          <cell r="Z156">
            <v>9685081.2599999998</v>
          </cell>
          <cell r="AA156">
            <v>1076120.1399999999</v>
          </cell>
          <cell r="AB156">
            <v>10595000</v>
          </cell>
          <cell r="AC156">
            <v>9005750</v>
          </cell>
          <cell r="AD156">
            <v>529750</v>
          </cell>
          <cell r="AE156">
            <v>9535500</v>
          </cell>
          <cell r="AF156">
            <v>1059500</v>
          </cell>
          <cell r="AG156">
            <v>529750</v>
          </cell>
          <cell r="AH156">
            <v>450287.5</v>
          </cell>
          <cell r="AI156">
            <v>26487.5</v>
          </cell>
          <cell r="AJ156">
            <v>476775</v>
          </cell>
          <cell r="AK156">
            <v>52975</v>
          </cell>
          <cell r="AL156">
            <v>2648750</v>
          </cell>
          <cell r="AM156">
            <v>2251437.5</v>
          </cell>
          <cell r="AN156">
            <v>132437.5</v>
          </cell>
          <cell r="AO156">
            <v>2383875</v>
          </cell>
          <cell r="AP156">
            <v>264875</v>
          </cell>
          <cell r="AQ156">
            <v>529750</v>
          </cell>
          <cell r="AR156">
            <v>450287.5</v>
          </cell>
        </row>
        <row r="157">
          <cell r="A157" t="str">
            <v>310011B518</v>
          </cell>
          <cell r="B157">
            <v>1</v>
          </cell>
          <cell r="C157" t="str">
            <v>1.1.1</v>
          </cell>
          <cell r="D157" t="str">
            <v>OPKZP-PO1-SC111-2016-10</v>
          </cell>
          <cell r="E157" t="str">
            <v>odpady</v>
          </cell>
          <cell r="F157" t="str">
            <v>Obec Lednické Rovne</v>
          </cell>
          <cell r="G157" t="str">
            <v>Modernizácia zberného dvora v Lednických Rovniach</v>
          </cell>
          <cell r="H157" t="str">
            <v>017</v>
          </cell>
          <cell r="I157" t="str">
            <v>TN</v>
          </cell>
          <cell r="J157" t="str">
            <v>regionálny</v>
          </cell>
          <cell r="K157" t="str">
            <v>áno</v>
          </cell>
          <cell r="L157" t="str">
            <v>áno</v>
          </cell>
          <cell r="M157">
            <v>42746</v>
          </cell>
          <cell r="N157" t="str">
            <v>Realizácia</v>
          </cell>
          <cell r="P157" t="str">
            <v>https://www.crz.gov.sk/index.php?ID=2764995&amp;l=sk</v>
          </cell>
          <cell r="Q157" t="str">
            <v>https://crp.gov.sk/modernizacia-zberneho-dvora-v-lednickych-rovniach/</v>
          </cell>
          <cell r="R157" t="str">
            <v>OPKZP-PO1-SC111-2016-10/77</v>
          </cell>
          <cell r="S157">
            <v>0.85</v>
          </cell>
          <cell r="T157">
            <v>0.1</v>
          </cell>
          <cell r="U157">
            <v>0.05</v>
          </cell>
          <cell r="V157" t="str">
            <v>verejné</v>
          </cell>
          <cell r="W157">
            <v>589747.69999999995</v>
          </cell>
          <cell r="X157">
            <v>501285.54</v>
          </cell>
          <cell r="Y157">
            <v>58974.77</v>
          </cell>
          <cell r="Z157">
            <v>560260.30999999994</v>
          </cell>
          <cell r="AA157">
            <v>29487.39</v>
          </cell>
          <cell r="AB157">
            <v>589747.69999999995</v>
          </cell>
          <cell r="AC157">
            <v>501285.54</v>
          </cell>
          <cell r="AD157">
            <v>58974.77</v>
          </cell>
          <cell r="AE157">
            <v>560260.30999999994</v>
          </cell>
          <cell r="AF157">
            <v>29487.39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122773.2</v>
          </cell>
          <cell r="AM157">
            <v>104357.22</v>
          </cell>
          <cell r="AN157">
            <v>12277.32</v>
          </cell>
          <cell r="AO157">
            <v>116634.54000000001</v>
          </cell>
          <cell r="AP157">
            <v>6138.66</v>
          </cell>
          <cell r="AQ157">
            <v>0</v>
          </cell>
          <cell r="AR157">
            <v>0</v>
          </cell>
        </row>
        <row r="158">
          <cell r="A158" t="str">
            <v>310011B526</v>
          </cell>
          <cell r="B158">
            <v>1</v>
          </cell>
          <cell r="C158" t="str">
            <v>1.1.1</v>
          </cell>
          <cell r="D158" t="str">
            <v>OPKZP-PO1-SC111-2016-10</v>
          </cell>
          <cell r="E158" t="str">
            <v>odpady</v>
          </cell>
          <cell r="F158" t="str">
            <v>Obec Oravská Jasenica</v>
          </cell>
          <cell r="G158" t="str">
            <v>Zberný dvor Oravská Jasenica</v>
          </cell>
          <cell r="H158" t="str">
            <v>017</v>
          </cell>
          <cell r="I158" t="str">
            <v>ZA</v>
          </cell>
          <cell r="J158" t="str">
            <v>regionálny</v>
          </cell>
          <cell r="K158" t="str">
            <v>áno</v>
          </cell>
          <cell r="L158" t="str">
            <v>áno</v>
          </cell>
          <cell r="M158">
            <v>42762</v>
          </cell>
          <cell r="N158" t="str">
            <v>Realizácia</v>
          </cell>
          <cell r="P158" t="str">
            <v>https://www.crz.gov.sk/index.php?ID=2786081&amp;l=sk</v>
          </cell>
          <cell r="Q158" t="str">
            <v>https://crp.gov.sk/zberny-dvor-oravska-jasenica/</v>
          </cell>
          <cell r="R158" t="str">
            <v>OPKZP-PO1-SC111-2016-10/78</v>
          </cell>
          <cell r="S158">
            <v>0.85</v>
          </cell>
          <cell r="T158">
            <v>0.1</v>
          </cell>
          <cell r="U158">
            <v>0.05</v>
          </cell>
          <cell r="V158" t="str">
            <v>verejné</v>
          </cell>
          <cell r="W158">
            <v>405696.12</v>
          </cell>
          <cell r="X158">
            <v>344841.7</v>
          </cell>
          <cell r="Y158">
            <v>40569.61</v>
          </cell>
          <cell r="Z158">
            <v>385411.31</v>
          </cell>
          <cell r="AA158">
            <v>20284.810000000001</v>
          </cell>
          <cell r="AB158">
            <v>405696.12</v>
          </cell>
          <cell r="AC158">
            <v>344841.7</v>
          </cell>
          <cell r="AD158">
            <v>40569.61</v>
          </cell>
          <cell r="AE158">
            <v>385411.31</v>
          </cell>
          <cell r="AF158">
            <v>20284.810000000001</v>
          </cell>
          <cell r="AJ158">
            <v>0</v>
          </cell>
          <cell r="AO158">
            <v>0</v>
          </cell>
          <cell r="AQ158">
            <v>0</v>
          </cell>
          <cell r="AR158">
            <v>0</v>
          </cell>
        </row>
        <row r="159">
          <cell r="A159" t="str">
            <v>310011B533</v>
          </cell>
          <cell r="B159">
            <v>1</v>
          </cell>
          <cell r="C159" t="str">
            <v>1.1.1</v>
          </cell>
          <cell r="D159" t="str">
            <v>OPKZP-PO1-SC111-2016-10</v>
          </cell>
          <cell r="E159" t="str">
            <v>odpady</v>
          </cell>
          <cell r="F159" t="str">
            <v>Obec Vyhne</v>
          </cell>
          <cell r="G159" t="str">
            <v>Zberný dvor Vyhne</v>
          </cell>
          <cell r="H159" t="str">
            <v>017</v>
          </cell>
          <cell r="I159" t="str">
            <v>BB</v>
          </cell>
          <cell r="J159" t="str">
            <v>regionálny</v>
          </cell>
          <cell r="K159" t="str">
            <v>áno</v>
          </cell>
          <cell r="L159" t="str">
            <v>áno</v>
          </cell>
          <cell r="M159">
            <v>42761</v>
          </cell>
          <cell r="N159" t="str">
            <v>Realizácia</v>
          </cell>
          <cell r="P159" t="str">
            <v>https://www.crz.gov.sk/index.php?ID=2784860&amp;l=sk</v>
          </cell>
          <cell r="Q159" t="str">
            <v>https://crp.gov.sk/zberny-dvor-vyhne/</v>
          </cell>
          <cell r="R159" t="str">
            <v>OPKZP-PO1-SC111-2016-10/79</v>
          </cell>
          <cell r="S159">
            <v>0.85</v>
          </cell>
          <cell r="T159">
            <v>0.1</v>
          </cell>
          <cell r="U159">
            <v>0.05</v>
          </cell>
          <cell r="V159" t="str">
            <v>verejné</v>
          </cell>
          <cell r="W159">
            <v>660853.30000000005</v>
          </cell>
          <cell r="X159">
            <v>561725.30000000005</v>
          </cell>
          <cell r="Y159">
            <v>66085.33</v>
          </cell>
          <cell r="Z159">
            <v>627810.63</v>
          </cell>
          <cell r="AA159">
            <v>33042.67</v>
          </cell>
          <cell r="AB159">
            <v>660853.30000000005</v>
          </cell>
          <cell r="AC159">
            <v>561725.30000000005</v>
          </cell>
          <cell r="AD159">
            <v>66085.33</v>
          </cell>
          <cell r="AE159">
            <v>627810.63</v>
          </cell>
          <cell r="AF159">
            <v>33042.67</v>
          </cell>
          <cell r="AG159">
            <v>59916.66</v>
          </cell>
          <cell r="AH159">
            <v>50929.161</v>
          </cell>
          <cell r="AI159">
            <v>5991.6660000000011</v>
          </cell>
          <cell r="AJ159">
            <v>56920.827000000005</v>
          </cell>
          <cell r="AK159">
            <v>2995.8330000000005</v>
          </cell>
          <cell r="AO159">
            <v>0</v>
          </cell>
          <cell r="AQ159">
            <v>0</v>
          </cell>
          <cell r="AR159">
            <v>0</v>
          </cell>
        </row>
        <row r="160">
          <cell r="A160" t="str">
            <v>310011B534</v>
          </cell>
          <cell r="B160">
            <v>1</v>
          </cell>
          <cell r="C160" t="str">
            <v>1.1.1</v>
          </cell>
          <cell r="D160" t="str">
            <v>OPKZP-PO1-SC111-2016-10</v>
          </cell>
          <cell r="E160" t="str">
            <v>odpady</v>
          </cell>
          <cell r="F160" t="str">
            <v>Obec Bešeňov</v>
          </cell>
          <cell r="G160" t="str">
            <v>Nákup hnuteľných vecí na podporu triedeného zberu</v>
          </cell>
          <cell r="H160" t="str">
            <v>017</v>
          </cell>
          <cell r="I160" t="str">
            <v>NR</v>
          </cell>
          <cell r="J160" t="str">
            <v>regionálny</v>
          </cell>
          <cell r="K160" t="str">
            <v>áno</v>
          </cell>
          <cell r="M160">
            <v>42741</v>
          </cell>
          <cell r="N160" t="str">
            <v>Realizácia</v>
          </cell>
          <cell r="P160" t="str">
            <v>https://www.crz.gov.sk/index.php?ID=2761786&amp;l=sk</v>
          </cell>
          <cell r="Q160" t="str">
            <v>https://crp.gov.sk/nakup-hnutelnych-veci-na-podporu-triedeneho-zberu/</v>
          </cell>
          <cell r="R160" t="str">
            <v xml:space="preserve"> OPKZP-PO1-SC111-2016-10/80</v>
          </cell>
          <cell r="S160">
            <v>0.85</v>
          </cell>
          <cell r="T160">
            <v>0.1</v>
          </cell>
          <cell r="U160">
            <v>0.05</v>
          </cell>
          <cell r="V160" t="str">
            <v>verejné</v>
          </cell>
          <cell r="W160">
            <v>148752</v>
          </cell>
          <cell r="X160">
            <v>126439.2</v>
          </cell>
          <cell r="Y160">
            <v>14875.2</v>
          </cell>
          <cell r="Z160">
            <v>141314.4</v>
          </cell>
          <cell r="AA160">
            <v>7437.6</v>
          </cell>
          <cell r="AB160">
            <v>148752</v>
          </cell>
          <cell r="AC160">
            <v>126439.2</v>
          </cell>
          <cell r="AD160">
            <v>14875.2</v>
          </cell>
          <cell r="AE160">
            <v>141314.4</v>
          </cell>
          <cell r="AF160">
            <v>7437.6</v>
          </cell>
          <cell r="AJ160">
            <v>0</v>
          </cell>
          <cell r="AO160">
            <v>0</v>
          </cell>
          <cell r="AQ160">
            <v>0</v>
          </cell>
          <cell r="AR160">
            <v>0</v>
          </cell>
        </row>
        <row r="161">
          <cell r="A161" t="str">
            <v>310011B539</v>
          </cell>
          <cell r="B161">
            <v>1</v>
          </cell>
          <cell r="C161" t="str">
            <v>1.1.1</v>
          </cell>
          <cell r="D161" t="str">
            <v>OPKZP-PO1-SC111-2016-11</v>
          </cell>
          <cell r="E161" t="str">
            <v>odpady</v>
          </cell>
          <cell r="F161" t="str">
            <v>Technické služby s.r.o.</v>
          </cell>
          <cell r="G161" t="str">
            <v>Triedený zber komunálnych odpadov v meste Dolný Kubín</v>
          </cell>
          <cell r="H161" t="str">
            <v>017</v>
          </cell>
          <cell r="I161" t="str">
            <v>ZA</v>
          </cell>
          <cell r="J161" t="str">
            <v>regionálny</v>
          </cell>
          <cell r="K161" t="str">
            <v>áno</v>
          </cell>
          <cell r="M161">
            <v>42740</v>
          </cell>
          <cell r="N161" t="str">
            <v>Realizácia</v>
          </cell>
          <cell r="P161" t="str">
            <v>https://www.crz.gov.sk/index.php?ID=2760635&amp;l=sk</v>
          </cell>
          <cell r="Q161" t="str">
            <v>https://crp.gov.sk/triedeny-zber-komunalnych-odpadov-v-meste-dolny-kubin/</v>
          </cell>
          <cell r="R161" t="str">
            <v>OPKZP-PO1-SC111-2016-11/18</v>
          </cell>
          <cell r="S161">
            <v>0.85</v>
          </cell>
          <cell r="T161">
            <v>0.1</v>
          </cell>
          <cell r="U161">
            <v>0.05</v>
          </cell>
          <cell r="V161" t="str">
            <v>súkromné</v>
          </cell>
          <cell r="W161">
            <v>1463080</v>
          </cell>
          <cell r="X161">
            <v>1243618</v>
          </cell>
          <cell r="Y161">
            <v>146308</v>
          </cell>
          <cell r="Z161">
            <v>1389926</v>
          </cell>
          <cell r="AA161">
            <v>73154</v>
          </cell>
          <cell r="AB161">
            <v>1463080</v>
          </cell>
          <cell r="AC161">
            <v>1243618</v>
          </cell>
          <cell r="AD161">
            <v>146308</v>
          </cell>
          <cell r="AE161">
            <v>1389926</v>
          </cell>
          <cell r="AF161">
            <v>73154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553700</v>
          </cell>
          <cell r="AM161">
            <v>470645</v>
          </cell>
          <cell r="AN161">
            <v>55370</v>
          </cell>
          <cell r="AO161">
            <v>526015</v>
          </cell>
          <cell r="AP161">
            <v>27685</v>
          </cell>
          <cell r="AQ161">
            <v>0</v>
          </cell>
          <cell r="AR161">
            <v>0</v>
          </cell>
        </row>
        <row r="162">
          <cell r="A162" t="str">
            <v>310011B540</v>
          </cell>
          <cell r="B162">
            <v>1</v>
          </cell>
          <cell r="C162" t="str">
            <v>1.1.1</v>
          </cell>
          <cell r="D162" t="str">
            <v>OPKZP-PO1-SC111-2016-11</v>
          </cell>
          <cell r="E162" t="str">
            <v>odpady</v>
          </cell>
          <cell r="F162" t="str">
            <v>Obec Chrenovec - Brusno</v>
          </cell>
          <cell r="G162" t="str">
            <v>Zhodnocovanie biologicky rozložiteľného komunálneho odpadu v obci Chrenovec-Brusno</v>
          </cell>
          <cell r="H162" t="str">
            <v>017</v>
          </cell>
          <cell r="I162" t="str">
            <v>TN</v>
          </cell>
          <cell r="J162" t="str">
            <v>regionálny</v>
          </cell>
          <cell r="K162" t="str">
            <v>áno</v>
          </cell>
          <cell r="M162">
            <v>42740</v>
          </cell>
          <cell r="N162" t="str">
            <v>Realizácia</v>
          </cell>
          <cell r="P162" t="str">
            <v>https://www.crz.gov.sk/index.php?ID=2760712&amp;l=sk</v>
          </cell>
          <cell r="Q162" t="str">
            <v>https://crp.gov.sk/zhodnocovanie-brko-v-obci-chrenovec-brusno/</v>
          </cell>
          <cell r="R162" t="str">
            <v>OPKZP-PO1-SC111-2016-11/19</v>
          </cell>
          <cell r="S162">
            <v>0.85</v>
          </cell>
          <cell r="T162">
            <v>0.1</v>
          </cell>
          <cell r="U162">
            <v>0.05</v>
          </cell>
          <cell r="V162" t="str">
            <v>verejné</v>
          </cell>
          <cell r="W162">
            <v>384510.52</v>
          </cell>
          <cell r="X162">
            <v>326833.94</v>
          </cell>
          <cell r="Y162">
            <v>38451.050000000003</v>
          </cell>
          <cell r="Z162">
            <v>365284.99</v>
          </cell>
          <cell r="AA162">
            <v>19225.53</v>
          </cell>
          <cell r="AB162">
            <v>384510.52</v>
          </cell>
          <cell r="AC162">
            <v>326833.94</v>
          </cell>
          <cell r="AD162">
            <v>38451.050000000003</v>
          </cell>
          <cell r="AE162">
            <v>365284.99</v>
          </cell>
          <cell r="AF162">
            <v>19225.53</v>
          </cell>
          <cell r="AG162">
            <v>302601</v>
          </cell>
          <cell r="AH162">
            <v>257210.85</v>
          </cell>
          <cell r="AI162">
            <v>30260.100000000002</v>
          </cell>
          <cell r="AJ162">
            <v>287470.95</v>
          </cell>
          <cell r="AK162">
            <v>15130.050000000001</v>
          </cell>
          <cell r="AL162">
            <v>47909.94</v>
          </cell>
          <cell r="AM162">
            <v>40723.449999999997</v>
          </cell>
          <cell r="AN162">
            <v>4790.99</v>
          </cell>
          <cell r="AO162">
            <v>45514.439999999995</v>
          </cell>
          <cell r="AP162">
            <v>2395.5</v>
          </cell>
          <cell r="AQ162">
            <v>0</v>
          </cell>
          <cell r="AR162">
            <v>0</v>
          </cell>
        </row>
        <row r="163">
          <cell r="A163" t="str">
            <v>310011B541</v>
          </cell>
          <cell r="B163">
            <v>1</v>
          </cell>
          <cell r="C163" t="str">
            <v>1.1.1</v>
          </cell>
          <cell r="D163" t="str">
            <v>OPKZP-PO1-SC111-2016-10</v>
          </cell>
          <cell r="E163" t="str">
            <v>odpady</v>
          </cell>
          <cell r="F163" t="str">
            <v>Obec Častkovce</v>
          </cell>
          <cell r="G163" t="str">
            <v>Zberný dvor - Častkovce</v>
          </cell>
          <cell r="H163" t="str">
            <v>017</v>
          </cell>
          <cell r="I163" t="str">
            <v>TN</v>
          </cell>
          <cell r="J163" t="str">
            <v>regionálny</v>
          </cell>
          <cell r="K163" t="str">
            <v>áno</v>
          </cell>
          <cell r="L163" t="str">
            <v>áno</v>
          </cell>
          <cell r="M163">
            <v>42740</v>
          </cell>
          <cell r="N163" t="str">
            <v>Realizácia</v>
          </cell>
          <cell r="P163" t="str">
            <v>https://www.crz.gov.sk/index.php?ID=2760936&amp;l=sk</v>
          </cell>
          <cell r="Q163" t="str">
            <v>https://crp.gov.sk/zberny-dvor-castkovce/</v>
          </cell>
          <cell r="R163" t="str">
            <v>OPKZP-PO1-SC111-2016-10/81</v>
          </cell>
          <cell r="S163">
            <v>0.85</v>
          </cell>
          <cell r="T163">
            <v>0.1</v>
          </cell>
          <cell r="U163">
            <v>0.05</v>
          </cell>
          <cell r="V163" t="str">
            <v>verejné</v>
          </cell>
          <cell r="W163">
            <v>442735.7</v>
          </cell>
          <cell r="X163">
            <v>376325.34</v>
          </cell>
          <cell r="Y163">
            <v>44273.57</v>
          </cell>
          <cell r="Z163">
            <v>420598.91000000003</v>
          </cell>
          <cell r="AA163">
            <v>22136.79</v>
          </cell>
          <cell r="AB163">
            <v>442735.7</v>
          </cell>
          <cell r="AC163">
            <v>376325.34</v>
          </cell>
          <cell r="AD163">
            <v>44273.57</v>
          </cell>
          <cell r="AE163">
            <v>420598.91000000003</v>
          </cell>
          <cell r="AF163">
            <v>22136.79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158264</v>
          </cell>
          <cell r="AM163">
            <v>134524.4</v>
          </cell>
          <cell r="AN163">
            <v>15826.4</v>
          </cell>
          <cell r="AO163">
            <v>150350.79999999999</v>
          </cell>
          <cell r="AP163">
            <v>7913.2</v>
          </cell>
          <cell r="AQ163">
            <v>0</v>
          </cell>
          <cell r="AR163">
            <v>0</v>
          </cell>
        </row>
        <row r="164">
          <cell r="A164" t="str">
            <v>310011B543</v>
          </cell>
          <cell r="B164">
            <v>1</v>
          </cell>
          <cell r="C164" t="str">
            <v>1.1.1</v>
          </cell>
          <cell r="D164" t="str">
            <v>OPKZP-PO1-SC111-2016-10</v>
          </cell>
          <cell r="E164" t="str">
            <v>odpady</v>
          </cell>
          <cell r="F164" t="str">
            <v>Mesto Sereď</v>
          </cell>
          <cell r="G164" t="str">
            <v>Rozšírenie triedeného zberu v meste Sereď</v>
          </cell>
          <cell r="H164" t="str">
            <v>017</v>
          </cell>
          <cell r="I164" t="str">
            <v>TT</v>
          </cell>
          <cell r="J164" t="str">
            <v>regionálny</v>
          </cell>
          <cell r="K164" t="str">
            <v>áno</v>
          </cell>
          <cell r="M164">
            <v>42754</v>
          </cell>
          <cell r="N164" t="str">
            <v>Aktivity nezačaté</v>
          </cell>
          <cell r="P164" t="str">
            <v>https://www.crz.gov.sk/index.php?ID=2775853&amp;l=sk</v>
          </cell>
          <cell r="Q164" t="str">
            <v>https://crp.gov.sk/rozsirenie-triedeneho-zberu-v-meste-sered/</v>
          </cell>
          <cell r="R164" t="str">
            <v>OPKZP-PO1-SC111-2016-10/82</v>
          </cell>
          <cell r="S164">
            <v>0.85</v>
          </cell>
          <cell r="T164">
            <v>0.1</v>
          </cell>
          <cell r="U164">
            <v>0.05</v>
          </cell>
          <cell r="V164" t="str">
            <v>verejné</v>
          </cell>
          <cell r="W164">
            <v>388319.64</v>
          </cell>
          <cell r="X164">
            <v>330071.69</v>
          </cell>
          <cell r="Y164">
            <v>38831.97</v>
          </cell>
          <cell r="Z164">
            <v>368903.66000000003</v>
          </cell>
          <cell r="AA164">
            <v>19415.98</v>
          </cell>
          <cell r="AB164">
            <v>388319.64</v>
          </cell>
          <cell r="AC164">
            <v>330071.69</v>
          </cell>
          <cell r="AD164">
            <v>38831.97</v>
          </cell>
          <cell r="AE164">
            <v>368903.66000000003</v>
          </cell>
          <cell r="AF164">
            <v>19415.98</v>
          </cell>
          <cell r="AJ164">
            <v>0</v>
          </cell>
          <cell r="AO164">
            <v>0</v>
          </cell>
          <cell r="AQ164">
            <v>0</v>
          </cell>
          <cell r="AR164">
            <v>0</v>
          </cell>
        </row>
        <row r="165">
          <cell r="A165" t="str">
            <v>310011B547</v>
          </cell>
          <cell r="B165">
            <v>1</v>
          </cell>
          <cell r="C165" t="str">
            <v>1.1.1</v>
          </cell>
          <cell r="D165" t="str">
            <v>OPKZP-PO1-SC111-2016-10</v>
          </cell>
          <cell r="E165" t="str">
            <v>odpady</v>
          </cell>
          <cell r="F165" t="str">
            <v>Obec Mengusovce</v>
          </cell>
          <cell r="G165" t="str">
            <v>Triedený zber komunálnych odpadov v obci Mengusovce</v>
          </cell>
          <cell r="H165" t="str">
            <v>017</v>
          </cell>
          <cell r="I165" t="str">
            <v>PO</v>
          </cell>
          <cell r="J165" t="str">
            <v>regionálny</v>
          </cell>
          <cell r="K165" t="str">
            <v>áno</v>
          </cell>
          <cell r="L165" t="str">
            <v>áno</v>
          </cell>
          <cell r="M165">
            <v>42746</v>
          </cell>
          <cell r="N165" t="str">
            <v>Realizácia</v>
          </cell>
          <cell r="P165" t="str">
            <v>https://www.crz.gov.sk/index.php?ID=2765487&amp;l=sk</v>
          </cell>
          <cell r="Q165" t="str">
            <v>https://crp.gov.sk/triedeny-zber-komunalnych-odpadov-v-obci-mengusovce/</v>
          </cell>
          <cell r="R165" t="str">
            <v>OPKZP-PO1-SC111-2016-10/83</v>
          </cell>
          <cell r="S165">
            <v>0.85</v>
          </cell>
          <cell r="T165">
            <v>0.1</v>
          </cell>
          <cell r="U165">
            <v>0.05</v>
          </cell>
          <cell r="V165" t="str">
            <v>verejné</v>
          </cell>
          <cell r="W165">
            <v>104233.53</v>
          </cell>
          <cell r="X165">
            <v>88598.5</v>
          </cell>
          <cell r="Y165">
            <v>10423.35</v>
          </cell>
          <cell r="Z165">
            <v>99021.85</v>
          </cell>
          <cell r="AA165">
            <v>5211.68</v>
          </cell>
          <cell r="AB165">
            <v>104233.53</v>
          </cell>
          <cell r="AC165">
            <v>88598.5</v>
          </cell>
          <cell r="AD165">
            <v>10423.35</v>
          </cell>
          <cell r="AE165">
            <v>99021.85</v>
          </cell>
          <cell r="AF165">
            <v>5211.68</v>
          </cell>
          <cell r="AG165">
            <v>14732.63</v>
          </cell>
          <cell r="AH165">
            <v>12522.735499999999</v>
          </cell>
          <cell r="AI165">
            <v>1473.2629999999999</v>
          </cell>
          <cell r="AJ165">
            <v>13995.998499999998</v>
          </cell>
          <cell r="AK165">
            <v>736.63149999999996</v>
          </cell>
          <cell r="AL165">
            <v>58867</v>
          </cell>
          <cell r="AM165">
            <v>50036.95</v>
          </cell>
          <cell r="AN165">
            <v>5886.7</v>
          </cell>
          <cell r="AO165">
            <v>55923.649999999994</v>
          </cell>
          <cell r="AP165">
            <v>2943.35</v>
          </cell>
          <cell r="AQ165">
            <v>0</v>
          </cell>
          <cell r="AR165">
            <v>0</v>
          </cell>
        </row>
        <row r="166">
          <cell r="A166" t="str">
            <v>310011B549</v>
          </cell>
          <cell r="B166">
            <v>1</v>
          </cell>
          <cell r="C166" t="str">
            <v>1.1.1</v>
          </cell>
          <cell r="D166" t="str">
            <v>OPKZP-PO1-SC111-2016-10</v>
          </cell>
          <cell r="E166" t="str">
            <v>odpady</v>
          </cell>
          <cell r="F166" t="str">
            <v>Obec Dolné Orešany</v>
          </cell>
          <cell r="G166" t="str">
            <v>Podpora triedeného zberu komunálnych odpadov v obci Dolné Orešany</v>
          </cell>
          <cell r="H166" t="str">
            <v>017</v>
          </cell>
          <cell r="I166" t="str">
            <v>TT</v>
          </cell>
          <cell r="J166" t="str">
            <v>regionálny</v>
          </cell>
          <cell r="K166" t="str">
            <v>áno</v>
          </cell>
          <cell r="M166">
            <v>42753</v>
          </cell>
          <cell r="N166" t="str">
            <v>Realizácia</v>
          </cell>
          <cell r="P166" t="str">
            <v>https://www.crz.gov.sk/index.php?ID=2773824&amp;l=sk</v>
          </cell>
          <cell r="Q166" t="str">
            <v>https://crp.gov.sk/podpora-triedeneho-zberu-komunalnych-odpadov-v-obci-dolne-oresany/</v>
          </cell>
          <cell r="R166" t="str">
            <v>OPKZP-PO1-SC111-2016-10/84</v>
          </cell>
          <cell r="S166">
            <v>0.85</v>
          </cell>
          <cell r="T166">
            <v>0.1</v>
          </cell>
          <cell r="U166">
            <v>0.05</v>
          </cell>
          <cell r="V166" t="str">
            <v>verejné</v>
          </cell>
          <cell r="W166">
            <v>357447.29</v>
          </cell>
          <cell r="X166">
            <v>303830.2</v>
          </cell>
          <cell r="Y166">
            <v>35744.730000000003</v>
          </cell>
          <cell r="Z166">
            <v>339574.93</v>
          </cell>
          <cell r="AA166">
            <v>17872.36</v>
          </cell>
          <cell r="AB166">
            <v>357447.29</v>
          </cell>
          <cell r="AC166">
            <v>303830.2</v>
          </cell>
          <cell r="AD166">
            <v>35744.730000000003</v>
          </cell>
          <cell r="AE166">
            <v>339574.93</v>
          </cell>
          <cell r="AF166">
            <v>17872.36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83151.61</v>
          </cell>
          <cell r="AM166">
            <v>70678.87</v>
          </cell>
          <cell r="AN166">
            <v>8315.16</v>
          </cell>
          <cell r="AO166">
            <v>78994.03</v>
          </cell>
          <cell r="AP166">
            <v>4157.58</v>
          </cell>
          <cell r="AQ166">
            <v>0</v>
          </cell>
          <cell r="AR166">
            <v>0</v>
          </cell>
        </row>
        <row r="167">
          <cell r="A167" t="str">
            <v>310011B550</v>
          </cell>
          <cell r="B167">
            <v>1</v>
          </cell>
          <cell r="C167" t="str">
            <v>1.1.1</v>
          </cell>
          <cell r="D167" t="str">
            <v>OPKZP-PO1-SC111-2016-10</v>
          </cell>
          <cell r="E167" t="str">
            <v>odpady</v>
          </cell>
          <cell r="F167" t="str">
            <v>Obec Lazany</v>
          </cell>
          <cell r="G167" t="str">
            <v>Zberný dvor v obci Lazany</v>
          </cell>
          <cell r="H167" t="str">
            <v>017</v>
          </cell>
          <cell r="I167" t="str">
            <v>TN</v>
          </cell>
          <cell r="J167" t="str">
            <v>regionálny</v>
          </cell>
          <cell r="K167" t="str">
            <v>áno</v>
          </cell>
          <cell r="M167">
            <v>42741</v>
          </cell>
          <cell r="N167" t="str">
            <v>Realizácia</v>
          </cell>
          <cell r="P167" t="str">
            <v>https://www.crz.gov.sk/index.php?ID=2761927&amp;l=sk</v>
          </cell>
          <cell r="Q167" t="str">
            <v>https://crp.gov.sk/zberny-dvor-v-obci-lazany/</v>
          </cell>
          <cell r="R167" t="str">
            <v>OPKZP-PO1-SC111-2016-10/85</v>
          </cell>
          <cell r="S167">
            <v>0.85</v>
          </cell>
          <cell r="T167">
            <v>0.1</v>
          </cell>
          <cell r="U167">
            <v>0.05</v>
          </cell>
          <cell r="V167" t="str">
            <v>verejné</v>
          </cell>
          <cell r="W167">
            <v>750434.82</v>
          </cell>
          <cell r="X167">
            <v>637869.6</v>
          </cell>
          <cell r="Y167">
            <v>75043.48</v>
          </cell>
          <cell r="Z167">
            <v>712913.08</v>
          </cell>
          <cell r="AA167">
            <v>37521.74</v>
          </cell>
          <cell r="AB167">
            <v>750434.82</v>
          </cell>
          <cell r="AC167">
            <v>637869.6</v>
          </cell>
          <cell r="AD167">
            <v>75043.48</v>
          </cell>
          <cell r="AE167">
            <v>712913.08</v>
          </cell>
          <cell r="AF167">
            <v>37521.74</v>
          </cell>
          <cell r="AG167">
            <v>209819.6</v>
          </cell>
          <cell r="AH167">
            <v>178346.66</v>
          </cell>
          <cell r="AI167">
            <v>20981.960000000003</v>
          </cell>
          <cell r="AJ167">
            <v>199328.62</v>
          </cell>
          <cell r="AK167">
            <v>10490.980000000001</v>
          </cell>
          <cell r="AL167">
            <v>424504.87</v>
          </cell>
          <cell r="AM167">
            <v>360829.14</v>
          </cell>
          <cell r="AN167">
            <v>42450.49</v>
          </cell>
          <cell r="AO167">
            <v>403279.63</v>
          </cell>
          <cell r="AP167">
            <v>21225.239999999998</v>
          </cell>
          <cell r="AQ167">
            <v>106153.20000000001</v>
          </cell>
          <cell r="AR167">
            <v>90230.22000000003</v>
          </cell>
        </row>
        <row r="168">
          <cell r="A168" t="str">
            <v>310011B551</v>
          </cell>
          <cell r="B168">
            <v>1</v>
          </cell>
          <cell r="C168" t="str">
            <v>1.1.1</v>
          </cell>
          <cell r="D168" t="str">
            <v>OPKZP-PO1-SC111-2016-10</v>
          </cell>
          <cell r="E168" t="str">
            <v>odpady</v>
          </cell>
          <cell r="F168" t="str">
            <v>Obec Miloslavov</v>
          </cell>
          <cell r="G168" t="str">
            <v>Vybudovanie zberného dvora v obci Miloslavov</v>
          </cell>
          <cell r="H168" t="str">
            <v>017</v>
          </cell>
          <cell r="I168" t="str">
            <v>BA</v>
          </cell>
          <cell r="J168" t="str">
            <v>regionálny</v>
          </cell>
          <cell r="K168" t="str">
            <v>áno</v>
          </cell>
          <cell r="L168" t="str">
            <v>áno</v>
          </cell>
          <cell r="M168">
            <v>42754</v>
          </cell>
          <cell r="N168" t="str">
            <v>Realizácia</v>
          </cell>
          <cell r="P168" t="str">
            <v>https://www.crz.gov.sk/index.php?ID=2775973&amp;l=sk</v>
          </cell>
          <cell r="Q168" t="str">
            <v>https://crp.gov.sk/vybudovanie-zberneho-dvora-v-obci-miloslavov/</v>
          </cell>
          <cell r="R168" t="str">
            <v>OPKZP-PO1-SC111-2016-10/86</v>
          </cell>
          <cell r="S168">
            <v>0.85</v>
          </cell>
          <cell r="T168">
            <v>0.1</v>
          </cell>
          <cell r="U168">
            <v>0.05</v>
          </cell>
          <cell r="V168" t="str">
            <v>verejné</v>
          </cell>
          <cell r="W168">
            <v>884070.91</v>
          </cell>
          <cell r="X168">
            <v>751460.27</v>
          </cell>
          <cell r="Y168">
            <v>88407.09</v>
          </cell>
          <cell r="Z168">
            <v>839867.36</v>
          </cell>
          <cell r="AA168">
            <v>44203.55</v>
          </cell>
          <cell r="AB168">
            <v>884070.91</v>
          </cell>
          <cell r="AC168">
            <v>751460.27</v>
          </cell>
          <cell r="AD168">
            <v>88407.09</v>
          </cell>
          <cell r="AE168">
            <v>839867.36</v>
          </cell>
          <cell r="AF168">
            <v>44203.55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787719.27999999991</v>
          </cell>
          <cell r="AM168">
            <v>669561.3899999999</v>
          </cell>
          <cell r="AN168">
            <v>78771.930000000008</v>
          </cell>
          <cell r="AO168">
            <v>748333.32</v>
          </cell>
          <cell r="AP168">
            <v>39385.96</v>
          </cell>
          <cell r="AQ168">
            <v>738781.47999999986</v>
          </cell>
          <cell r="AR168">
            <v>627964.25999999989</v>
          </cell>
        </row>
        <row r="169">
          <cell r="A169" t="str">
            <v>310011B554</v>
          </cell>
          <cell r="B169">
            <v>1</v>
          </cell>
          <cell r="C169" t="str">
            <v>1.1.1</v>
          </cell>
          <cell r="D169" t="str">
            <v>OPKZP-PO1-SC111-2016-10</v>
          </cell>
          <cell r="E169" t="str">
            <v>odpady</v>
          </cell>
          <cell r="F169" t="str">
            <v>Obec Čaklov</v>
          </cell>
          <cell r="G169" t="str">
            <v>Rozšírenie separovaného zberu odpadu v obci Čaklov</v>
          </cell>
          <cell r="H169" t="str">
            <v>017</v>
          </cell>
          <cell r="I169" t="str">
            <v>PO</v>
          </cell>
          <cell r="J169" t="str">
            <v>regionálny</v>
          </cell>
          <cell r="K169" t="str">
            <v>áno</v>
          </cell>
          <cell r="L169" t="str">
            <v>áno</v>
          </cell>
          <cell r="M169">
            <v>42740</v>
          </cell>
          <cell r="N169" t="str">
            <v>Realizácia</v>
          </cell>
          <cell r="P169" t="str">
            <v>https://www.crz.gov.sk/index.php?ID=2760748&amp;l=sk</v>
          </cell>
          <cell r="Q169" t="str">
            <v>https://crp.gov.sk/rozsirenie-separovaneho-zberu-odpadu-v-obci-caklov/</v>
          </cell>
          <cell r="R169" t="str">
            <v>OPKZP-PO1-SC111-2016-10/87</v>
          </cell>
          <cell r="S169">
            <v>0.85</v>
          </cell>
          <cell r="T169">
            <v>0.1</v>
          </cell>
          <cell r="U169">
            <v>0.05</v>
          </cell>
          <cell r="V169" t="str">
            <v>verejné</v>
          </cell>
          <cell r="W169">
            <v>273607.49</v>
          </cell>
          <cell r="X169">
            <v>232566.37</v>
          </cell>
          <cell r="Y169">
            <v>27360.75</v>
          </cell>
          <cell r="Z169">
            <v>259927.12</v>
          </cell>
          <cell r="AA169">
            <v>13680.37</v>
          </cell>
          <cell r="AB169">
            <v>254763.25</v>
          </cell>
          <cell r="AC169">
            <v>216548.76</v>
          </cell>
          <cell r="AD169">
            <v>25476.33</v>
          </cell>
          <cell r="AE169">
            <v>242025.09000000003</v>
          </cell>
          <cell r="AF169">
            <v>12738.16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129126.58</v>
          </cell>
          <cell r="AM169">
            <v>109757.59</v>
          </cell>
          <cell r="AN169">
            <v>12912.66</v>
          </cell>
          <cell r="AO169">
            <v>122670.25</v>
          </cell>
          <cell r="AP169">
            <v>6456.33</v>
          </cell>
          <cell r="AQ169">
            <v>0</v>
          </cell>
          <cell r="AR169">
            <v>0</v>
          </cell>
        </row>
        <row r="170">
          <cell r="A170" t="str">
            <v>310011B555</v>
          </cell>
          <cell r="B170">
            <v>1</v>
          </cell>
          <cell r="C170" t="str">
            <v>1.1.1</v>
          </cell>
          <cell r="D170" t="str">
            <v>OPKZP-PO1-SC111-2016-11</v>
          </cell>
          <cell r="E170" t="str">
            <v>odpady</v>
          </cell>
          <cell r="F170" t="str">
            <v>obec Trakovice</v>
          </cell>
          <cell r="G170" t="str">
            <v>Zhodnocovanie biologicky rozložiteľného komunálneho odpadu v obci Trakovice</v>
          </cell>
          <cell r="H170" t="str">
            <v>017</v>
          </cell>
          <cell r="I170" t="str">
            <v>TT</v>
          </cell>
          <cell r="J170" t="str">
            <v>regionálny</v>
          </cell>
          <cell r="K170" t="str">
            <v>áno</v>
          </cell>
          <cell r="M170">
            <v>42721</v>
          </cell>
          <cell r="N170" t="str">
            <v>Realizácia</v>
          </cell>
          <cell r="P170" t="str">
            <v>https://www.crz.gov.sk/index.php?ID=2734409&amp;l=sk</v>
          </cell>
          <cell r="Q170" t="str">
            <v>https://crp.gov.sk/zhodnocovanie-biologicky-rozlozitelneho-komunalneho-odpadu-v-obci-trakovice/</v>
          </cell>
          <cell r="R170" t="str">
            <v>OPKZP-PO1-SC111-2016-11/20</v>
          </cell>
          <cell r="S170">
            <v>0.85</v>
          </cell>
          <cell r="T170">
            <v>0.1</v>
          </cell>
          <cell r="U170">
            <v>0.05</v>
          </cell>
          <cell r="V170" t="str">
            <v>verejné</v>
          </cell>
          <cell r="W170">
            <v>278202.90000000002</v>
          </cell>
          <cell r="X170">
            <v>236472.46</v>
          </cell>
          <cell r="Y170">
            <v>27820.29</v>
          </cell>
          <cell r="Z170">
            <v>264292.75</v>
          </cell>
          <cell r="AA170">
            <v>13910.15</v>
          </cell>
          <cell r="AB170">
            <v>278202.90000000002</v>
          </cell>
          <cell r="AC170">
            <v>236472.46</v>
          </cell>
          <cell r="AD170">
            <v>27820.29</v>
          </cell>
          <cell r="AE170">
            <v>264292.75</v>
          </cell>
          <cell r="AF170">
            <v>13910.15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274689.37</v>
          </cell>
          <cell r="AM170">
            <v>233485.96</v>
          </cell>
          <cell r="AN170">
            <v>27468.940000000002</v>
          </cell>
          <cell r="AO170">
            <v>260954.9</v>
          </cell>
          <cell r="AP170">
            <v>13734.470000000001</v>
          </cell>
          <cell r="AQ170">
            <v>0</v>
          </cell>
          <cell r="AR170">
            <v>0</v>
          </cell>
        </row>
        <row r="171">
          <cell r="A171" t="str">
            <v>310011B557</v>
          </cell>
          <cell r="B171">
            <v>1</v>
          </cell>
          <cell r="C171" t="str">
            <v>1.1.1</v>
          </cell>
          <cell r="D171" t="str">
            <v>OPKZP-PO1-SC111-2016-10</v>
          </cell>
          <cell r="E171" t="str">
            <v>odpady</v>
          </cell>
          <cell r="F171" t="str">
            <v>Mesto Piešťany</v>
          </cell>
          <cell r="G171" t="str">
            <v>Vybudovanie zberného dvora v meste Piešťany</v>
          </cell>
          <cell r="H171" t="str">
            <v>017</v>
          </cell>
          <cell r="I171" t="str">
            <v>TT</v>
          </cell>
          <cell r="J171" t="str">
            <v>regionálny</v>
          </cell>
          <cell r="K171" t="str">
            <v>áno</v>
          </cell>
          <cell r="L171" t="str">
            <v>áno</v>
          </cell>
          <cell r="M171">
            <v>42753</v>
          </cell>
          <cell r="N171" t="str">
            <v>Realizácia</v>
          </cell>
          <cell r="P171" t="str">
            <v>https://www.crz.gov.sk/index.php?ID=2774083&amp;l=sk</v>
          </cell>
          <cell r="Q171" t="str">
            <v>https://crp.gov.sk/vybudovanie-zberneho-dvora-v-meste-piestany/</v>
          </cell>
          <cell r="R171" t="str">
            <v>OPKZP-PO1-SC111-2016-10/88</v>
          </cell>
          <cell r="S171">
            <v>0.85</v>
          </cell>
          <cell r="T171">
            <v>0.1</v>
          </cell>
          <cell r="U171">
            <v>0.05</v>
          </cell>
          <cell r="V171" t="str">
            <v>verejné</v>
          </cell>
          <cell r="W171">
            <v>1557483.76</v>
          </cell>
          <cell r="X171">
            <v>1323861.2</v>
          </cell>
          <cell r="Y171">
            <v>155748.37</v>
          </cell>
          <cell r="Z171">
            <v>1479609.5699999998</v>
          </cell>
          <cell r="AA171">
            <v>77874.19</v>
          </cell>
          <cell r="AB171">
            <v>1557483.76</v>
          </cell>
          <cell r="AC171">
            <v>1323861.2</v>
          </cell>
          <cell r="AD171">
            <v>155748.37</v>
          </cell>
          <cell r="AE171">
            <v>1479609.5699999998</v>
          </cell>
          <cell r="AF171">
            <v>77874.19</v>
          </cell>
          <cell r="AJ171">
            <v>0</v>
          </cell>
          <cell r="AO171">
            <v>0</v>
          </cell>
          <cell r="AQ171">
            <v>0</v>
          </cell>
          <cell r="AR171">
            <v>0</v>
          </cell>
        </row>
        <row r="172">
          <cell r="A172" t="str">
            <v>310011B560</v>
          </cell>
          <cell r="B172">
            <v>1</v>
          </cell>
          <cell r="C172" t="str">
            <v>1.1.1</v>
          </cell>
          <cell r="D172" t="str">
            <v>OPKZP-PO1-SC111-2016-10</v>
          </cell>
          <cell r="E172" t="str">
            <v>odpady</v>
          </cell>
          <cell r="F172" t="str">
            <v>Mesto Želiezovce</v>
          </cell>
          <cell r="G172" t="str">
            <v>Rozšírenie systému separovaného zberu odpadov na území mesta Želiezovce</v>
          </cell>
          <cell r="H172" t="str">
            <v>017</v>
          </cell>
          <cell r="I172" t="str">
            <v>NR</v>
          </cell>
          <cell r="J172" t="str">
            <v>regionálny</v>
          </cell>
          <cell r="K172" t="str">
            <v>áno</v>
          </cell>
          <cell r="M172">
            <v>42753</v>
          </cell>
          <cell r="N172" t="str">
            <v>Aktivity nezačaté</v>
          </cell>
          <cell r="P172" t="str">
            <v>https://www.crz.gov.sk/index.php?ID=2773522&amp;l=sk</v>
          </cell>
          <cell r="Q172" t="str">
            <v>https://crp.gov.sk/rozsirenie-systemu-separovaneho-zberu-odpadov-na-uzemi-mesta-zeliezovce/</v>
          </cell>
          <cell r="R172" t="str">
            <v>OPKZP-PO1-SC111-2016-10/89</v>
          </cell>
          <cell r="S172">
            <v>0.85</v>
          </cell>
          <cell r="T172">
            <v>0.1</v>
          </cell>
          <cell r="U172">
            <v>0.05</v>
          </cell>
          <cell r="V172" t="str">
            <v>verejné</v>
          </cell>
          <cell r="W172">
            <v>487249.2</v>
          </cell>
          <cell r="X172">
            <v>414161.82</v>
          </cell>
          <cell r="Y172">
            <v>48724.92</v>
          </cell>
          <cell r="Z172">
            <v>462886.74</v>
          </cell>
          <cell r="AA172">
            <v>24362.46</v>
          </cell>
          <cell r="AB172">
            <v>487249.2</v>
          </cell>
          <cell r="AC172">
            <v>414161.82</v>
          </cell>
          <cell r="AD172">
            <v>48724.92</v>
          </cell>
          <cell r="AE172">
            <v>462886.74</v>
          </cell>
          <cell r="AF172">
            <v>24362.46</v>
          </cell>
          <cell r="AJ172">
            <v>0</v>
          </cell>
          <cell r="AO172">
            <v>0</v>
          </cell>
          <cell r="AQ172">
            <v>0</v>
          </cell>
          <cell r="AR172">
            <v>0</v>
          </cell>
        </row>
        <row r="173">
          <cell r="A173" t="str">
            <v>310011B561</v>
          </cell>
          <cell r="B173">
            <v>1</v>
          </cell>
          <cell r="C173" t="str">
            <v>1.1.1</v>
          </cell>
          <cell r="D173" t="str">
            <v>OPKZP-PO1-SC111-2016-10</v>
          </cell>
          <cell r="E173" t="str">
            <v>odpady</v>
          </cell>
          <cell r="F173" t="str">
            <v>Mesto Gabčíkovo</v>
          </cell>
          <cell r="G173" t="str">
            <v>Ekodvor Gabčíkovo – separovaný zber odpadu</v>
          </cell>
          <cell r="H173" t="str">
            <v>017</v>
          </cell>
          <cell r="I173" t="str">
            <v>TT</v>
          </cell>
          <cell r="J173" t="str">
            <v>regionálny</v>
          </cell>
          <cell r="K173" t="str">
            <v>áno</v>
          </cell>
          <cell r="L173" t="str">
            <v>áno</v>
          </cell>
          <cell r="M173">
            <v>42741</v>
          </cell>
          <cell r="N173" t="str">
            <v>Realizácia</v>
          </cell>
          <cell r="P173" t="str">
            <v>https://www.crz.gov.sk/index.php?ID=2762210&amp;l=sk</v>
          </cell>
          <cell r="Q173" t="str">
            <v>https://crp.gov.sk/ekodvor-gabcikovo-separovany-zber-odpadu/</v>
          </cell>
          <cell r="R173" t="str">
            <v>OPKZP-PO1-SC111-2016-10/90</v>
          </cell>
          <cell r="S173">
            <v>0.85</v>
          </cell>
          <cell r="T173">
            <v>0.1</v>
          </cell>
          <cell r="U173">
            <v>0.05</v>
          </cell>
          <cell r="V173" t="str">
            <v>verejné</v>
          </cell>
          <cell r="W173">
            <v>799248.77</v>
          </cell>
          <cell r="X173">
            <v>679361.45</v>
          </cell>
          <cell r="Y173">
            <v>79924.88</v>
          </cell>
          <cell r="Z173">
            <v>759286.33</v>
          </cell>
          <cell r="AA173">
            <v>39962.44</v>
          </cell>
          <cell r="AB173">
            <v>799248.77</v>
          </cell>
          <cell r="AC173">
            <v>679361.45</v>
          </cell>
          <cell r="AD173">
            <v>79924.88</v>
          </cell>
          <cell r="AE173">
            <v>759286.33</v>
          </cell>
          <cell r="AF173">
            <v>39962.44</v>
          </cell>
          <cell r="AJ173">
            <v>0</v>
          </cell>
          <cell r="AO173">
            <v>0</v>
          </cell>
          <cell r="AQ173">
            <v>0</v>
          </cell>
          <cell r="AR173">
            <v>0</v>
          </cell>
        </row>
        <row r="174">
          <cell r="A174" t="str">
            <v>310011B562</v>
          </cell>
          <cell r="B174">
            <v>1</v>
          </cell>
          <cell r="C174" t="str">
            <v>1.1.1</v>
          </cell>
          <cell r="D174" t="str">
            <v>OPKZP-PO1-SC111-2016-10</v>
          </cell>
          <cell r="E174" t="str">
            <v>odpady</v>
          </cell>
          <cell r="F174" t="str">
            <v>Obec Divinka</v>
          </cell>
          <cell r="G174" t="str">
            <v>Intenzifikácia triedeného zberu v obci Divinka</v>
          </cell>
          <cell r="H174" t="str">
            <v>017</v>
          </cell>
          <cell r="I174" t="str">
            <v>ZA</v>
          </cell>
          <cell r="J174" t="str">
            <v>regionálny</v>
          </cell>
          <cell r="K174" t="str">
            <v>áno</v>
          </cell>
          <cell r="M174">
            <v>42753</v>
          </cell>
          <cell r="N174" t="str">
            <v>Realizácia</v>
          </cell>
          <cell r="P174" t="str">
            <v>https://www.crz.gov.sk/index.php?ID=2774508&amp;l=sk</v>
          </cell>
          <cell r="Q174" t="str">
            <v>https://crp.gov.sk/intenzifikacia-triedeneho-zberu-v-obci-divinka/</v>
          </cell>
          <cell r="R174" t="str">
            <v>OPKZP-PO1-SC111-2016-10/91</v>
          </cell>
          <cell r="S174">
            <v>0.85</v>
          </cell>
          <cell r="T174">
            <v>0.1</v>
          </cell>
          <cell r="U174">
            <v>0.05</v>
          </cell>
          <cell r="V174" t="str">
            <v>verejné</v>
          </cell>
          <cell r="W174">
            <v>328018.78000000003</v>
          </cell>
          <cell r="X174">
            <v>278815.96000000002</v>
          </cell>
          <cell r="Y174">
            <v>32801.879999999997</v>
          </cell>
          <cell r="Z174">
            <v>311617.84000000003</v>
          </cell>
          <cell r="AA174">
            <v>16400.939999999999</v>
          </cell>
          <cell r="AB174">
            <v>321479.23</v>
          </cell>
          <cell r="AC174">
            <v>273257.34999999998</v>
          </cell>
          <cell r="AD174">
            <v>32147.919999999998</v>
          </cell>
          <cell r="AE174">
            <v>305405.26999999996</v>
          </cell>
          <cell r="AF174">
            <v>16073.96</v>
          </cell>
          <cell r="AG174">
            <v>269375.61</v>
          </cell>
          <cell r="AH174">
            <v>228969.26849999998</v>
          </cell>
          <cell r="AI174">
            <v>26937.561000000002</v>
          </cell>
          <cell r="AJ174">
            <v>255906.82949999999</v>
          </cell>
          <cell r="AK174">
            <v>13468.780500000001</v>
          </cell>
          <cell r="AL174">
            <v>37837.620000000003</v>
          </cell>
          <cell r="AM174">
            <v>32161.98</v>
          </cell>
          <cell r="AN174">
            <v>3783.76</v>
          </cell>
          <cell r="AO174">
            <v>35945.74</v>
          </cell>
          <cell r="AP174">
            <v>1891.88</v>
          </cell>
          <cell r="AQ174">
            <v>0</v>
          </cell>
          <cell r="AR174">
            <v>0</v>
          </cell>
        </row>
        <row r="175">
          <cell r="A175" t="str">
            <v>310011B564</v>
          </cell>
          <cell r="B175">
            <v>1</v>
          </cell>
          <cell r="C175" t="str">
            <v>1.1.1</v>
          </cell>
          <cell r="D175" t="str">
            <v>OPKZP-PO1-SC111-2016-10</v>
          </cell>
          <cell r="E175" t="str">
            <v>odpady</v>
          </cell>
          <cell r="F175" t="str">
            <v>Obec Záhorská Ves</v>
          </cell>
          <cell r="G175" t="str">
            <v>Zberný dvor – Záhorská Ves</v>
          </cell>
          <cell r="H175" t="str">
            <v>017</v>
          </cell>
          <cell r="I175" t="str">
            <v>BA</v>
          </cell>
          <cell r="J175" t="str">
            <v>regionálny</v>
          </cell>
          <cell r="K175" t="str">
            <v>áno</v>
          </cell>
          <cell r="M175">
            <v>42753</v>
          </cell>
          <cell r="N175" t="str">
            <v>Realizácia</v>
          </cell>
          <cell r="P175" t="str">
            <v>https://www.crz.gov.sk/index.php?ID=2774452&amp;l=sk</v>
          </cell>
          <cell r="Q175" t="str">
            <v>https://crp.gov.sk/zberny-dvor-–-zahorska-ves/</v>
          </cell>
          <cell r="R175" t="str">
            <v>OPKZP-PO1-SC111-2016-10/92</v>
          </cell>
          <cell r="S175">
            <v>0.85</v>
          </cell>
          <cell r="T175">
            <v>0.1</v>
          </cell>
          <cell r="U175">
            <v>0.05</v>
          </cell>
          <cell r="V175" t="str">
            <v>verejné</v>
          </cell>
          <cell r="W175">
            <v>406360.26</v>
          </cell>
          <cell r="X175">
            <v>345406.22</v>
          </cell>
          <cell r="Y175">
            <v>40636.03</v>
          </cell>
          <cell r="Z175">
            <v>386042.25</v>
          </cell>
          <cell r="AA175">
            <v>20318.009999999998</v>
          </cell>
          <cell r="AB175">
            <v>406360.26</v>
          </cell>
          <cell r="AC175">
            <v>345406.22</v>
          </cell>
          <cell r="AD175">
            <v>40636.03</v>
          </cell>
          <cell r="AE175">
            <v>386042.25</v>
          </cell>
          <cell r="AF175">
            <v>20318.009999999998</v>
          </cell>
          <cell r="AJ175">
            <v>0</v>
          </cell>
          <cell r="AO175">
            <v>0</v>
          </cell>
          <cell r="AQ175">
            <v>0</v>
          </cell>
          <cell r="AR175">
            <v>0</v>
          </cell>
        </row>
        <row r="176">
          <cell r="A176" t="str">
            <v>310011B565</v>
          </cell>
          <cell r="B176">
            <v>1</v>
          </cell>
          <cell r="C176" t="str">
            <v>1.1.1</v>
          </cell>
          <cell r="D176" t="str">
            <v>OPKZP-PO1-SC111-2016-10</v>
          </cell>
          <cell r="E176" t="str">
            <v>odpady</v>
          </cell>
          <cell r="F176" t="str">
            <v>Obec Liptovské Revúce</v>
          </cell>
          <cell r="G176" t="str">
            <v>Zberný dvor odpadov – Liptovské Revúce</v>
          </cell>
          <cell r="H176" t="str">
            <v>017</v>
          </cell>
          <cell r="I176" t="str">
            <v>ZA</v>
          </cell>
          <cell r="J176" t="str">
            <v>regionálny</v>
          </cell>
          <cell r="K176" t="str">
            <v>áno</v>
          </cell>
          <cell r="M176">
            <v>42753</v>
          </cell>
          <cell r="N176" t="str">
            <v>Realizácia</v>
          </cell>
          <cell r="P176" t="str">
            <v>https://www.crz.gov.sk/index.php?ID=2773560&amp;l=sk</v>
          </cell>
          <cell r="Q176" t="str">
            <v>https://crp.gov.sk/zberny-dvor-odpadov-liptovske-revuce/</v>
          </cell>
          <cell r="R176" t="str">
            <v>OPKZP-PO1-SC111-2016-10/93</v>
          </cell>
          <cell r="S176">
            <v>0.85</v>
          </cell>
          <cell r="T176">
            <v>0.1</v>
          </cell>
          <cell r="U176">
            <v>0.05</v>
          </cell>
          <cell r="V176" t="str">
            <v>verejné</v>
          </cell>
          <cell r="W176">
            <v>530828.1</v>
          </cell>
          <cell r="X176">
            <v>451203.88</v>
          </cell>
          <cell r="Y176">
            <v>53082.81</v>
          </cell>
          <cell r="Z176">
            <v>504286.69</v>
          </cell>
          <cell r="AA176">
            <v>26541.41</v>
          </cell>
          <cell r="AB176">
            <v>528033.93000000005</v>
          </cell>
          <cell r="AC176">
            <v>448828.84</v>
          </cell>
          <cell r="AD176">
            <v>52803.39</v>
          </cell>
          <cell r="AE176">
            <v>501632.23000000004</v>
          </cell>
          <cell r="AF176">
            <v>26401.7</v>
          </cell>
          <cell r="AG176">
            <v>413627.33</v>
          </cell>
          <cell r="AH176">
            <v>351583.23050000001</v>
          </cell>
          <cell r="AI176">
            <v>41362.733000000007</v>
          </cell>
          <cell r="AJ176">
            <v>392945.96350000001</v>
          </cell>
          <cell r="AK176">
            <v>20681.366500000004</v>
          </cell>
          <cell r="AL176">
            <v>8314.7999999999993</v>
          </cell>
          <cell r="AM176">
            <v>7067.58</v>
          </cell>
          <cell r="AN176">
            <v>831.48</v>
          </cell>
          <cell r="AO176">
            <v>7899.0599999999995</v>
          </cell>
          <cell r="AP176">
            <v>415.74</v>
          </cell>
          <cell r="AQ176">
            <v>0</v>
          </cell>
          <cell r="AR176">
            <v>0</v>
          </cell>
        </row>
        <row r="177">
          <cell r="A177" t="str">
            <v>310011B568</v>
          </cell>
          <cell r="B177">
            <v>1</v>
          </cell>
          <cell r="C177" t="str">
            <v>1.1.1</v>
          </cell>
          <cell r="D177" t="str">
            <v>OPKZP-PO1-SC111-2016-10</v>
          </cell>
          <cell r="E177" t="str">
            <v>odpady</v>
          </cell>
          <cell r="F177" t="str">
            <v>Obec Horná Súča</v>
          </cell>
          <cell r="G177" t="str">
            <v>Zberný dvor odpadov Horná Súča</v>
          </cell>
          <cell r="H177" t="str">
            <v>017</v>
          </cell>
          <cell r="I177" t="str">
            <v>TN</v>
          </cell>
          <cell r="J177" t="str">
            <v>regionálny</v>
          </cell>
          <cell r="K177" t="str">
            <v>áno</v>
          </cell>
          <cell r="L177" t="str">
            <v>áno</v>
          </cell>
          <cell r="M177">
            <v>42741</v>
          </cell>
          <cell r="N177" t="str">
            <v>Realizácia</v>
          </cell>
          <cell r="P177" t="str">
            <v>https://www.crz.gov.sk/index.php?ID=2762437&amp;l=sk</v>
          </cell>
          <cell r="Q177" t="str">
            <v>https://crp.gov.sk/zberny-dvor-odpadov-horna-suca/</v>
          </cell>
          <cell r="R177" t="str">
            <v>OPKZP-PO1-SC111-2016-10/94</v>
          </cell>
          <cell r="S177">
            <v>0.85</v>
          </cell>
          <cell r="T177">
            <v>0.1</v>
          </cell>
          <cell r="U177">
            <v>0.05</v>
          </cell>
          <cell r="V177" t="str">
            <v>verejné</v>
          </cell>
          <cell r="W177">
            <v>1087863.94</v>
          </cell>
          <cell r="X177">
            <v>924684.35</v>
          </cell>
          <cell r="Y177">
            <v>108786.39</v>
          </cell>
          <cell r="Z177">
            <v>1033470.74</v>
          </cell>
          <cell r="AA177">
            <v>54393.2</v>
          </cell>
          <cell r="AB177">
            <v>1087863.94</v>
          </cell>
          <cell r="AC177">
            <v>924684.35</v>
          </cell>
          <cell r="AD177">
            <v>108786.39</v>
          </cell>
          <cell r="AE177">
            <v>1033470.74</v>
          </cell>
          <cell r="AF177">
            <v>54393.2</v>
          </cell>
          <cell r="AJ177">
            <v>0</v>
          </cell>
          <cell r="AO177">
            <v>0</v>
          </cell>
          <cell r="AQ177">
            <v>0</v>
          </cell>
          <cell r="AR177">
            <v>0</v>
          </cell>
        </row>
        <row r="178">
          <cell r="A178" t="str">
            <v>310011B569</v>
          </cell>
          <cell r="B178">
            <v>1</v>
          </cell>
          <cell r="C178" t="str">
            <v>1.1.1</v>
          </cell>
          <cell r="D178" t="str">
            <v>OPKZP-PO1-SC111-2016-10</v>
          </cell>
          <cell r="E178" t="str">
            <v>odpady</v>
          </cell>
          <cell r="F178" t="str">
            <v>Obec Podolie</v>
          </cell>
          <cell r="G178" t="str">
            <v>Zberný dvor Podolie</v>
          </cell>
          <cell r="H178" t="str">
            <v>017</v>
          </cell>
          <cell r="I178" t="str">
            <v>TN</v>
          </cell>
          <cell r="J178" t="str">
            <v>regionálny</v>
          </cell>
          <cell r="K178" t="str">
            <v>áno</v>
          </cell>
          <cell r="M178">
            <v>42761</v>
          </cell>
          <cell r="N178" t="str">
            <v>Mimoriadne ukončený</v>
          </cell>
          <cell r="O178">
            <v>42857</v>
          </cell>
          <cell r="P178" t="str">
            <v>https://www.crz.gov.sk/index.php?ID=2785336&amp;l=sk</v>
          </cell>
          <cell r="Q178" t="str">
            <v>https://crp.gov.sk/zberny-dvor-podolie/</v>
          </cell>
          <cell r="R178" t="str">
            <v>OPKZP-PO1-SC111-2016-10/95</v>
          </cell>
          <cell r="S178">
            <v>0.85</v>
          </cell>
          <cell r="T178">
            <v>0.1</v>
          </cell>
          <cell r="U178">
            <v>0.05</v>
          </cell>
          <cell r="V178" t="str">
            <v>verejné</v>
          </cell>
          <cell r="W178">
            <v>274562.52</v>
          </cell>
          <cell r="X178">
            <v>233378.14</v>
          </cell>
          <cell r="Y178">
            <v>27456.25</v>
          </cell>
          <cell r="Z178">
            <v>260834.39</v>
          </cell>
          <cell r="AA178">
            <v>13728.13</v>
          </cell>
          <cell r="AB178">
            <v>274562.52</v>
          </cell>
          <cell r="AC178">
            <v>233378.14</v>
          </cell>
          <cell r="AD178">
            <v>27456.25</v>
          </cell>
          <cell r="AE178">
            <v>260834.39</v>
          </cell>
          <cell r="AF178">
            <v>13728.13</v>
          </cell>
          <cell r="AJ178">
            <v>0</v>
          </cell>
          <cell r="AO178">
            <v>0</v>
          </cell>
          <cell r="AQ178">
            <v>0</v>
          </cell>
          <cell r="AR178">
            <v>0</v>
          </cell>
        </row>
        <row r="179">
          <cell r="A179" t="str">
            <v>310011B572</v>
          </cell>
          <cell r="B179">
            <v>1</v>
          </cell>
          <cell r="C179" t="str">
            <v>1.1.1</v>
          </cell>
          <cell r="D179" t="str">
            <v>OPKZP-PO1-SC111-2016-11</v>
          </cell>
          <cell r="E179" t="str">
            <v>odpady</v>
          </cell>
          <cell r="F179" t="str">
            <v>SLUŽBA, mestský podnik Stropkov</v>
          </cell>
          <cell r="G179" t="str">
            <v>Zhodnocovanie biologicky rozložiteľného komunálneho odpadu, Stropkov</v>
          </cell>
          <cell r="H179" t="str">
            <v>017</v>
          </cell>
          <cell r="I179" t="str">
            <v>PO</v>
          </cell>
          <cell r="J179" t="str">
            <v>regionálny</v>
          </cell>
          <cell r="K179" t="str">
            <v>áno</v>
          </cell>
          <cell r="M179">
            <v>42728</v>
          </cell>
          <cell r="N179" t="str">
            <v>Realizácia</v>
          </cell>
          <cell r="P179" t="str">
            <v>https://www.crz.gov.sk/index.php?ID=2746986&amp;l=sk</v>
          </cell>
          <cell r="Q179" t="str">
            <v>https://crp.gov.sk/zhodnocovanie-biologicky-rozlozitelneho-komunalneho-odpadu-stropkov/</v>
          </cell>
          <cell r="R179" t="str">
            <v>OPKZP-PO1-SC111-2016-11/21</v>
          </cell>
          <cell r="S179">
            <v>0.85</v>
          </cell>
          <cell r="T179">
            <v>0.1</v>
          </cell>
          <cell r="U179">
            <v>0.05</v>
          </cell>
          <cell r="V179" t="str">
            <v>verejné</v>
          </cell>
          <cell r="W179">
            <v>902203.05</v>
          </cell>
          <cell r="X179">
            <v>766872.59</v>
          </cell>
          <cell r="Y179">
            <v>90220.31</v>
          </cell>
          <cell r="Z179">
            <v>857092.89999999991</v>
          </cell>
          <cell r="AA179">
            <v>45110.15</v>
          </cell>
          <cell r="AB179">
            <v>902203.05</v>
          </cell>
          <cell r="AC179">
            <v>766872.59</v>
          </cell>
          <cell r="AD179">
            <v>90220.31</v>
          </cell>
          <cell r="AE179">
            <v>857092.89999999991</v>
          </cell>
          <cell r="AF179">
            <v>45110.15</v>
          </cell>
          <cell r="AJ179">
            <v>0</v>
          </cell>
          <cell r="AO179">
            <v>0</v>
          </cell>
          <cell r="AQ179">
            <v>0</v>
          </cell>
          <cell r="AR179">
            <v>0</v>
          </cell>
        </row>
        <row r="180">
          <cell r="A180" t="str">
            <v>310011B575</v>
          </cell>
          <cell r="B180">
            <v>1</v>
          </cell>
          <cell r="C180" t="str">
            <v>1.1.1</v>
          </cell>
          <cell r="D180" t="str">
            <v>OPKZP-PO1-SC111-2016-10</v>
          </cell>
          <cell r="E180" t="str">
            <v>odpady</v>
          </cell>
          <cell r="F180" t="str">
            <v>Obec Dolná Súča</v>
          </cell>
          <cell r="G180" t="str">
            <v>Intenzifikácia triedeného zberu v obci Dolná Súča</v>
          </cell>
          <cell r="H180" t="str">
            <v>017</v>
          </cell>
          <cell r="I180" t="str">
            <v>TN</v>
          </cell>
          <cell r="J180" t="str">
            <v>regionálny</v>
          </cell>
          <cell r="K180" t="str">
            <v>áno</v>
          </cell>
          <cell r="M180">
            <v>42741</v>
          </cell>
          <cell r="N180" t="str">
            <v>Realizácia</v>
          </cell>
          <cell r="P180" t="str">
            <v>https://www.crz.gov.sk/index.php?ID=2762450&amp;l=sk</v>
          </cell>
          <cell r="Q180" t="str">
            <v>https://crp.gov.sk/intenzifikacia-triedeneho-zberu-v-obci-dolna-suca/</v>
          </cell>
          <cell r="R180" t="str">
            <v>OPKZP-PO1-SC111-2016-10/96</v>
          </cell>
          <cell r="S180">
            <v>0.85</v>
          </cell>
          <cell r="T180">
            <v>0.1</v>
          </cell>
          <cell r="U180">
            <v>0.05</v>
          </cell>
          <cell r="V180" t="str">
            <v>verejné</v>
          </cell>
          <cell r="W180">
            <v>467117.21</v>
          </cell>
          <cell r="X180">
            <v>397049.63</v>
          </cell>
          <cell r="Y180">
            <v>46711.72</v>
          </cell>
          <cell r="Z180">
            <v>443761.35</v>
          </cell>
          <cell r="AA180">
            <v>23355.86</v>
          </cell>
          <cell r="AB180">
            <v>467117.21</v>
          </cell>
          <cell r="AC180">
            <v>397049.63</v>
          </cell>
          <cell r="AD180">
            <v>46711.72</v>
          </cell>
          <cell r="AE180">
            <v>443761.35</v>
          </cell>
          <cell r="AF180">
            <v>23355.86</v>
          </cell>
          <cell r="AJ180">
            <v>0</v>
          </cell>
          <cell r="AO180">
            <v>0</v>
          </cell>
          <cell r="AQ180">
            <v>0</v>
          </cell>
          <cell r="AR180">
            <v>0</v>
          </cell>
        </row>
        <row r="181">
          <cell r="A181" t="str">
            <v>310011B576</v>
          </cell>
          <cell r="B181">
            <v>1</v>
          </cell>
          <cell r="C181" t="str">
            <v>1.1.1</v>
          </cell>
          <cell r="D181" t="str">
            <v>OPKZP-PO1-SC111-2016-11</v>
          </cell>
          <cell r="E181" t="str">
            <v>odpady</v>
          </cell>
          <cell r="F181" t="str">
            <v>Obec Horná Súča</v>
          </cell>
          <cell r="G181" t="str">
            <v>Obecná kompostáreň Horná Súča</v>
          </cell>
          <cell r="H181" t="str">
            <v>017</v>
          </cell>
          <cell r="I181" t="str">
            <v>TN</v>
          </cell>
          <cell r="J181" t="str">
            <v>regionálny</v>
          </cell>
          <cell r="K181" t="str">
            <v>áno</v>
          </cell>
          <cell r="M181">
            <v>42741</v>
          </cell>
          <cell r="N181" t="str">
            <v>Realizácia</v>
          </cell>
          <cell r="P181" t="str">
            <v>https://www.crz.gov.sk/index.php?ID=2762597&amp;l=sk</v>
          </cell>
          <cell r="Q181" t="str">
            <v>https://crp.gov.sk/obecna-kompostaren-horna-suca/</v>
          </cell>
          <cell r="R181" t="str">
            <v>OPKZP-PO1-SC111-2016-11/22</v>
          </cell>
          <cell r="S181">
            <v>0.85</v>
          </cell>
          <cell r="T181">
            <v>0.1</v>
          </cell>
          <cell r="U181">
            <v>0.05</v>
          </cell>
          <cell r="V181" t="str">
            <v>verejné</v>
          </cell>
          <cell r="W181">
            <v>407702.48</v>
          </cell>
          <cell r="X181">
            <v>346547.11</v>
          </cell>
          <cell r="Y181">
            <v>40770.25</v>
          </cell>
          <cell r="Z181">
            <v>387317.36</v>
          </cell>
          <cell r="AA181">
            <v>20385.12</v>
          </cell>
          <cell r="AB181">
            <v>407702.48</v>
          </cell>
          <cell r="AC181">
            <v>346547.11</v>
          </cell>
          <cell r="AD181">
            <v>40770.25</v>
          </cell>
          <cell r="AE181">
            <v>387317.36</v>
          </cell>
          <cell r="AF181">
            <v>20385.12</v>
          </cell>
          <cell r="AJ181">
            <v>0</v>
          </cell>
          <cell r="AO181">
            <v>0</v>
          </cell>
          <cell r="AQ181">
            <v>0</v>
          </cell>
          <cell r="AR181">
            <v>0</v>
          </cell>
        </row>
        <row r="182">
          <cell r="A182" t="str">
            <v>310011B578</v>
          </cell>
          <cell r="B182">
            <v>1</v>
          </cell>
          <cell r="C182" t="str">
            <v>1.1.1</v>
          </cell>
          <cell r="D182" t="str">
            <v>OPKZP-PO1-SC111-2016-10</v>
          </cell>
          <cell r="E182" t="str">
            <v>odpady</v>
          </cell>
          <cell r="F182" t="str">
            <v>Mesto Brezno</v>
          </cell>
          <cell r="G182" t="str">
            <v>Zber a zhodnotenie BRO a DSO mesta Brezno</v>
          </cell>
          <cell r="H182" t="str">
            <v>017</v>
          </cell>
          <cell r="I182" t="str">
            <v>BB</v>
          </cell>
          <cell r="J182" t="str">
            <v>regionálny</v>
          </cell>
          <cell r="K182" t="str">
            <v>áno</v>
          </cell>
          <cell r="M182">
            <v>42754</v>
          </cell>
          <cell r="N182" t="str">
            <v>Aktivity nezačaté</v>
          </cell>
          <cell r="P182" t="str">
            <v>https://www.crz.gov.sk/index.php?ID=2776113&amp;l=sk</v>
          </cell>
          <cell r="Q182" t="str">
            <v>https://crp.gov.sk/zber-a-zhodnotenie-bro-a-dso-mesta-brezno/</v>
          </cell>
          <cell r="R182" t="str">
            <v>OPKZP-PO1-SC111-2016-10/97</v>
          </cell>
          <cell r="S182">
            <v>0.85</v>
          </cell>
          <cell r="T182">
            <v>0.1</v>
          </cell>
          <cell r="U182">
            <v>0.05</v>
          </cell>
          <cell r="V182" t="str">
            <v>verejné</v>
          </cell>
          <cell r="W182">
            <v>1093766.3999999999</v>
          </cell>
          <cell r="X182">
            <v>929701.44</v>
          </cell>
          <cell r="Y182">
            <v>109376.64</v>
          </cell>
          <cell r="Z182">
            <v>1039078.08</v>
          </cell>
          <cell r="AA182">
            <v>54688.32</v>
          </cell>
          <cell r="AB182">
            <v>1093766.3999999999</v>
          </cell>
          <cell r="AC182">
            <v>929701.44</v>
          </cell>
          <cell r="AD182">
            <v>109376.64</v>
          </cell>
          <cell r="AE182">
            <v>1039078.08</v>
          </cell>
          <cell r="AF182">
            <v>54688.32</v>
          </cell>
          <cell r="AJ182">
            <v>0</v>
          </cell>
          <cell r="AO182">
            <v>0</v>
          </cell>
          <cell r="AQ182">
            <v>0</v>
          </cell>
          <cell r="AR182">
            <v>0</v>
          </cell>
        </row>
        <row r="183">
          <cell r="A183" t="str">
            <v>310011B579</v>
          </cell>
          <cell r="B183">
            <v>1</v>
          </cell>
          <cell r="C183" t="str">
            <v>1.1.1</v>
          </cell>
          <cell r="D183" t="str">
            <v>OPKZP-PO1-SC111-2016-10</v>
          </cell>
          <cell r="E183" t="str">
            <v>odpady</v>
          </cell>
          <cell r="F183" t="str">
            <v>Obec Liešťany</v>
          </cell>
          <cell r="G183" t="str">
            <v>Zberný dvor v obci Liešťany</v>
          </cell>
          <cell r="H183" t="str">
            <v>017</v>
          </cell>
          <cell r="I183" t="str">
            <v>TN</v>
          </cell>
          <cell r="J183" t="str">
            <v>regionálny</v>
          </cell>
          <cell r="K183" t="str">
            <v>áno</v>
          </cell>
          <cell r="L183" t="str">
            <v>áno</v>
          </cell>
          <cell r="M183">
            <v>42753</v>
          </cell>
          <cell r="N183" t="str">
            <v>Realizácia</v>
          </cell>
          <cell r="P183" t="str">
            <v>https://www.crz.gov.sk/index.php?ID=2773606&amp;l=sk</v>
          </cell>
          <cell r="Q183" t="str">
            <v>https://crp.gov.sk/zberny-dvor-v-obci-liestany/</v>
          </cell>
          <cell r="R183" t="str">
            <v>OPKZP-PO1-SC111-2016-10/98</v>
          </cell>
          <cell r="S183">
            <v>0.85</v>
          </cell>
          <cell r="T183">
            <v>0.1</v>
          </cell>
          <cell r="U183">
            <v>0.05</v>
          </cell>
          <cell r="V183" t="str">
            <v>verejné</v>
          </cell>
          <cell r="W183">
            <v>387609.41</v>
          </cell>
          <cell r="X183">
            <v>329468</v>
          </cell>
          <cell r="Y183">
            <v>38760.94</v>
          </cell>
          <cell r="Z183">
            <v>368228.94</v>
          </cell>
          <cell r="AA183">
            <v>19380.47</v>
          </cell>
          <cell r="AB183">
            <v>387609.41</v>
          </cell>
          <cell r="AC183">
            <v>329468</v>
          </cell>
          <cell r="AD183">
            <v>38760.94</v>
          </cell>
          <cell r="AE183">
            <v>368228.94</v>
          </cell>
          <cell r="AF183">
            <v>19380.47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27793.200000000001</v>
          </cell>
          <cell r="AM183">
            <v>23624.22</v>
          </cell>
          <cell r="AN183">
            <v>2779.32</v>
          </cell>
          <cell r="AO183">
            <v>26403.54</v>
          </cell>
          <cell r="AP183">
            <v>1389.66</v>
          </cell>
          <cell r="AQ183">
            <v>0</v>
          </cell>
          <cell r="AR183">
            <v>0</v>
          </cell>
        </row>
        <row r="184">
          <cell r="A184" t="str">
            <v>310011B580</v>
          </cell>
          <cell r="B184">
            <v>1</v>
          </cell>
          <cell r="C184" t="str">
            <v>1.1.1</v>
          </cell>
          <cell r="D184" t="str">
            <v>OPKZP-PO1-SC111-2016-10</v>
          </cell>
          <cell r="E184" t="str">
            <v>odpady</v>
          </cell>
          <cell r="F184" t="str">
            <v>Obec Hontianske Moravce</v>
          </cell>
          <cell r="G184" t="str">
            <v>Zberný dvor Hontianske Moravce</v>
          </cell>
          <cell r="H184" t="str">
            <v>017</v>
          </cell>
          <cell r="I184" t="str">
            <v>BB</v>
          </cell>
          <cell r="J184" t="str">
            <v>regionálny</v>
          </cell>
          <cell r="K184" t="str">
            <v>áno</v>
          </cell>
          <cell r="M184">
            <v>42741</v>
          </cell>
          <cell r="N184" t="str">
            <v>Realizácia</v>
          </cell>
          <cell r="P184" t="str">
            <v>https://www.crz.gov.sk/index.php?ID=2761823&amp;l=sk</v>
          </cell>
          <cell r="Q184" t="str">
            <v>https://crp.gov.sk/zberny-dvor-hontianske-moravce/</v>
          </cell>
          <cell r="R184" t="str">
            <v>OPKZP-PO1-SC111-2016-10/99</v>
          </cell>
          <cell r="S184">
            <v>0.85</v>
          </cell>
          <cell r="T184">
            <v>0.1</v>
          </cell>
          <cell r="U184">
            <v>0.05</v>
          </cell>
          <cell r="V184" t="str">
            <v>verejné</v>
          </cell>
          <cell r="W184">
            <v>248613.11</v>
          </cell>
          <cell r="X184">
            <v>211321.14</v>
          </cell>
          <cell r="Y184">
            <v>24861.31</v>
          </cell>
          <cell r="Z184">
            <v>236182.45</v>
          </cell>
          <cell r="AA184">
            <v>12430.66</v>
          </cell>
          <cell r="AB184">
            <v>248613.11</v>
          </cell>
          <cell r="AC184">
            <v>211321.14</v>
          </cell>
          <cell r="AD184">
            <v>24861.31</v>
          </cell>
          <cell r="AE184">
            <v>236182.45</v>
          </cell>
          <cell r="AF184">
            <v>12430.66</v>
          </cell>
          <cell r="AJ184">
            <v>0</v>
          </cell>
          <cell r="AO184">
            <v>0</v>
          </cell>
          <cell r="AQ184">
            <v>0</v>
          </cell>
          <cell r="AR184">
            <v>0</v>
          </cell>
        </row>
        <row r="185">
          <cell r="A185" t="str">
            <v>310011B581</v>
          </cell>
          <cell r="B185">
            <v>1</v>
          </cell>
          <cell r="C185" t="str">
            <v>1.1.1</v>
          </cell>
          <cell r="D185" t="str">
            <v>OPKZP-PO1-SC111-2016-10</v>
          </cell>
          <cell r="E185" t="str">
            <v>odpady</v>
          </cell>
          <cell r="F185" t="str">
            <v>Združenie obcí VIESKY</v>
          </cell>
          <cell r="G185" t="str">
            <v>Zlepšenie systému separovaného zberu Združenia obcí VIESKY</v>
          </cell>
          <cell r="H185" t="str">
            <v>017</v>
          </cell>
          <cell r="I185" t="str">
            <v>TT</v>
          </cell>
          <cell r="J185" t="str">
            <v>regionálny</v>
          </cell>
          <cell r="K185" t="str">
            <v>áno</v>
          </cell>
          <cell r="M185">
            <v>42740</v>
          </cell>
          <cell r="N185" t="str">
            <v>Realizácia</v>
          </cell>
          <cell r="P185" t="str">
            <v>https://www.crz.gov.sk/index.php?ID=2760636&amp;l=sk</v>
          </cell>
          <cell r="Q185" t="str">
            <v>https://crp.gov.sk/zlepsenie-systemu-separovaneho-zberu-obci-viesky/</v>
          </cell>
          <cell r="R185" t="str">
            <v>OPKZP-PO1-SC111-2016-10/100</v>
          </cell>
          <cell r="S185">
            <v>0.85</v>
          </cell>
          <cell r="T185">
            <v>0.1</v>
          </cell>
          <cell r="U185">
            <v>0.05</v>
          </cell>
          <cell r="V185" t="str">
            <v>verejné</v>
          </cell>
          <cell r="W185">
            <v>757950.99</v>
          </cell>
          <cell r="X185">
            <v>644258.34</v>
          </cell>
          <cell r="Y185">
            <v>75795.100000000006</v>
          </cell>
          <cell r="Z185">
            <v>720053.44</v>
          </cell>
          <cell r="AA185">
            <v>37897.550000000003</v>
          </cell>
          <cell r="AB185">
            <v>757950.99</v>
          </cell>
          <cell r="AC185">
            <v>644258.34</v>
          </cell>
          <cell r="AD185">
            <v>75795.100000000006</v>
          </cell>
          <cell r="AE185">
            <v>720053.44</v>
          </cell>
          <cell r="AF185">
            <v>37897.550000000003</v>
          </cell>
          <cell r="AJ185">
            <v>0</v>
          </cell>
          <cell r="AO185">
            <v>0</v>
          </cell>
          <cell r="AQ185">
            <v>0</v>
          </cell>
          <cell r="AR185">
            <v>0</v>
          </cell>
        </row>
        <row r="186">
          <cell r="A186" t="str">
            <v>310011B584</v>
          </cell>
          <cell r="B186">
            <v>1</v>
          </cell>
          <cell r="C186" t="str">
            <v>1.1.1</v>
          </cell>
          <cell r="D186" t="str">
            <v>OPKZP-PO1-SC111-2016-10</v>
          </cell>
          <cell r="E186" t="str">
            <v>odpady</v>
          </cell>
          <cell r="F186" t="str">
            <v>Združenie obcí Púchovská dolina</v>
          </cell>
          <cell r="G186" t="str">
            <v>Intenzifikácia triedeného zberu združenia obcí Púchovskej Doliny</v>
          </cell>
          <cell r="H186" t="str">
            <v>017</v>
          </cell>
          <cell r="I186" t="str">
            <v>TN</v>
          </cell>
          <cell r="J186" t="str">
            <v>regionálny</v>
          </cell>
          <cell r="K186" t="str">
            <v>áno</v>
          </cell>
          <cell r="M186">
            <v>42755</v>
          </cell>
          <cell r="N186" t="str">
            <v>Realizácia</v>
          </cell>
          <cell r="P186" t="str">
            <v>https://www.crz.gov.sk/index.php?ID=2777237&amp;l=sk</v>
          </cell>
          <cell r="Q186" t="str">
            <v>https://crp.gov.sk/intenzifikacia-triedeneho-zberu-zdruzenia-obci-puchovskej-doliny/</v>
          </cell>
          <cell r="R186" t="str">
            <v>OPKZP-PO1-SC111-2016-10/101</v>
          </cell>
          <cell r="S186">
            <v>0.85</v>
          </cell>
          <cell r="T186">
            <v>0.1</v>
          </cell>
          <cell r="U186">
            <v>0.05</v>
          </cell>
          <cell r="V186" t="str">
            <v>verejné</v>
          </cell>
          <cell r="W186">
            <v>1361615.23</v>
          </cell>
          <cell r="X186">
            <v>1157372.95</v>
          </cell>
          <cell r="Y186">
            <v>136161.51999999999</v>
          </cell>
          <cell r="Z186">
            <v>1293534.47</v>
          </cell>
          <cell r="AA186">
            <v>68080.759999999995</v>
          </cell>
          <cell r="AB186">
            <v>1361615.23</v>
          </cell>
          <cell r="AC186">
            <v>1157372.95</v>
          </cell>
          <cell r="AD186">
            <v>136161.51999999999</v>
          </cell>
          <cell r="AE186">
            <v>1293534.47</v>
          </cell>
          <cell r="AF186">
            <v>68080.759999999995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684773.3600000001</v>
          </cell>
          <cell r="AM186">
            <v>582057.36</v>
          </cell>
          <cell r="AN186">
            <v>68477.33</v>
          </cell>
          <cell r="AO186">
            <v>650534.68999999994</v>
          </cell>
          <cell r="AP186">
            <v>34238.67</v>
          </cell>
          <cell r="AQ186">
            <v>275602.83000000007</v>
          </cell>
          <cell r="AR186">
            <v>234262.40999999997</v>
          </cell>
        </row>
        <row r="187">
          <cell r="A187" t="str">
            <v>310011B586</v>
          </cell>
          <cell r="B187">
            <v>1</v>
          </cell>
          <cell r="C187" t="str">
            <v>1.1.1</v>
          </cell>
          <cell r="D187" t="str">
            <v>OPKZP-PO1-SC111-2016-10</v>
          </cell>
          <cell r="E187" t="str">
            <v>odpady</v>
          </cell>
          <cell r="F187" t="str">
            <v>Obec Hrabušice</v>
          </cell>
          <cell r="G187" t="str">
            <v>„Zberný dvor“ v obci Hrabušice</v>
          </cell>
          <cell r="H187" t="str">
            <v>017</v>
          </cell>
          <cell r="I187" t="str">
            <v>KE</v>
          </cell>
          <cell r="J187" t="str">
            <v>regionálny</v>
          </cell>
          <cell r="K187" t="str">
            <v>áno</v>
          </cell>
          <cell r="M187">
            <v>42761</v>
          </cell>
          <cell r="N187" t="str">
            <v>Realizácia</v>
          </cell>
          <cell r="P187" t="str">
            <v>https://www.crz.gov.sk/index.php?ID=2785090&amp;l=sk</v>
          </cell>
          <cell r="Q187" t="str">
            <v>https://crp.gov.sk/zberny-dvor-v-obci-hrabusice/</v>
          </cell>
          <cell r="R187" t="str">
            <v>OPKZP-PO1-SC111-2016-10/102</v>
          </cell>
          <cell r="S187">
            <v>0.85</v>
          </cell>
          <cell r="T187">
            <v>0.1</v>
          </cell>
          <cell r="U187">
            <v>0.05</v>
          </cell>
          <cell r="V187" t="str">
            <v>verejné</v>
          </cell>
          <cell r="W187">
            <v>503906.12</v>
          </cell>
          <cell r="X187">
            <v>428320.2</v>
          </cell>
          <cell r="Y187">
            <v>50390.61</v>
          </cell>
          <cell r="Z187">
            <v>478710.81</v>
          </cell>
          <cell r="AA187">
            <v>25195.31</v>
          </cell>
          <cell r="AB187">
            <v>503906.12</v>
          </cell>
          <cell r="AC187">
            <v>428320.2</v>
          </cell>
          <cell r="AD187">
            <v>50390.61</v>
          </cell>
          <cell r="AE187">
            <v>478710.81</v>
          </cell>
          <cell r="AF187">
            <v>25195.31</v>
          </cell>
          <cell r="AJ187">
            <v>0</v>
          </cell>
          <cell r="AO187">
            <v>0</v>
          </cell>
          <cell r="AQ187">
            <v>0</v>
          </cell>
          <cell r="AR187">
            <v>0</v>
          </cell>
        </row>
        <row r="188">
          <cell r="A188" t="str">
            <v>310011B587</v>
          </cell>
          <cell r="B188">
            <v>1</v>
          </cell>
          <cell r="C188" t="str">
            <v>1.1.1</v>
          </cell>
          <cell r="D188" t="str">
            <v>OPKZP-PO1-SC111-2016-10</v>
          </cell>
          <cell r="E188" t="str">
            <v>odpady</v>
          </cell>
          <cell r="F188" t="str">
            <v>Obec Ľubotín</v>
          </cell>
          <cell r="G188" t="str">
            <v>Rozšírenie separovaného zberu v obci Ľubotín</v>
          </cell>
          <cell r="H188" t="str">
            <v>017</v>
          </cell>
          <cell r="I188" t="str">
            <v>PO</v>
          </cell>
          <cell r="J188" t="str">
            <v>regionálny</v>
          </cell>
          <cell r="K188" t="str">
            <v>áno</v>
          </cell>
          <cell r="M188">
            <v>42741</v>
          </cell>
          <cell r="N188" t="str">
            <v>Realizácia</v>
          </cell>
          <cell r="P188" t="str">
            <v>https://www.crz.gov.sk/index.php?ID=2761878&amp;l=sk</v>
          </cell>
          <cell r="Q188" t="str">
            <v>https://crp.gov.sk/79554-sk/skvalitnenie-triedeneho-zberu-komunalneho-odpadu-technika-pre-zvoz-a-spracovanie-biologicky-rozlozitelneho-komunalneho-odpadu/</v>
          </cell>
          <cell r="R188" t="str">
            <v>OPKZP-PO1-SC111-2016-10/103</v>
          </cell>
          <cell r="S188">
            <v>0.85</v>
          </cell>
          <cell r="T188">
            <v>0.1</v>
          </cell>
          <cell r="U188">
            <v>0.05</v>
          </cell>
          <cell r="V188" t="str">
            <v>verejné</v>
          </cell>
          <cell r="W188">
            <v>221094.39999999999</v>
          </cell>
          <cell r="X188">
            <v>187930.23999999999</v>
          </cell>
          <cell r="Y188">
            <v>22109.439999999999</v>
          </cell>
          <cell r="Z188">
            <v>210039.67999999999</v>
          </cell>
          <cell r="AA188">
            <v>11054.72</v>
          </cell>
          <cell r="AB188">
            <v>221094.39999999999</v>
          </cell>
          <cell r="AC188">
            <v>187930.23999999999</v>
          </cell>
          <cell r="AD188">
            <v>22109.439999999999</v>
          </cell>
          <cell r="AE188">
            <v>210039.67999999999</v>
          </cell>
          <cell r="AF188">
            <v>11054.72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51547.9</v>
          </cell>
          <cell r="AM188">
            <v>43815.72</v>
          </cell>
          <cell r="AN188">
            <v>5154.78</v>
          </cell>
          <cell r="AO188">
            <v>48970.5</v>
          </cell>
          <cell r="AP188">
            <v>2577.4</v>
          </cell>
          <cell r="AQ188">
            <v>0</v>
          </cell>
          <cell r="AR188">
            <v>0</v>
          </cell>
        </row>
        <row r="189">
          <cell r="A189" t="str">
            <v>310011B588</v>
          </cell>
          <cell r="B189">
            <v>1</v>
          </cell>
          <cell r="C189" t="str">
            <v>1.1.1</v>
          </cell>
          <cell r="D189" t="str">
            <v>OPKZP-PO1-SC111-2016-10</v>
          </cell>
          <cell r="E189" t="str">
            <v>odpady</v>
          </cell>
          <cell r="F189" t="str">
            <v>Obec Kvakovce</v>
          </cell>
          <cell r="G189" t="str">
            <v>Zvýšenie kapacity triedeného zberu komunálnych odpadov v obci Kvakovce.</v>
          </cell>
          <cell r="H189" t="str">
            <v>017</v>
          </cell>
          <cell r="I189" t="str">
            <v>PO</v>
          </cell>
          <cell r="J189" t="str">
            <v>regionálny</v>
          </cell>
          <cell r="K189" t="str">
            <v>áno</v>
          </cell>
          <cell r="M189">
            <v>42753</v>
          </cell>
          <cell r="N189" t="str">
            <v>Realizácia</v>
          </cell>
          <cell r="P189" t="str">
            <v>https://www.crz.gov.sk/index.php?ID=2773469&amp;l=sk</v>
          </cell>
          <cell r="Q189" t="str">
            <v>https://crp.gov.sk/zvysenie-kapacity-triedeneho-zberu-komunalnych-odpadov-v-obci-kvakovce/</v>
          </cell>
          <cell r="R189" t="str">
            <v>OPKZP-PO1-SC111-2016-10/104</v>
          </cell>
          <cell r="S189">
            <v>0.85</v>
          </cell>
          <cell r="T189">
            <v>0.1</v>
          </cell>
          <cell r="U189">
            <v>0.05</v>
          </cell>
          <cell r="V189" t="str">
            <v>verejné</v>
          </cell>
          <cell r="W189">
            <v>346374.86</v>
          </cell>
          <cell r="X189">
            <v>294418.63</v>
          </cell>
          <cell r="Y189">
            <v>34637.49</v>
          </cell>
          <cell r="Z189">
            <v>329056.12</v>
          </cell>
          <cell r="AA189">
            <v>17318.740000000002</v>
          </cell>
          <cell r="AB189">
            <v>346374.86</v>
          </cell>
          <cell r="AC189">
            <v>294418.63</v>
          </cell>
          <cell r="AD189">
            <v>34637.49</v>
          </cell>
          <cell r="AE189">
            <v>329056.12</v>
          </cell>
          <cell r="AF189">
            <v>17318.740000000002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19350</v>
          </cell>
          <cell r="AM189">
            <v>16447.5</v>
          </cell>
          <cell r="AN189">
            <v>1935</v>
          </cell>
          <cell r="AO189">
            <v>18382.5</v>
          </cell>
          <cell r="AP189">
            <v>967.5</v>
          </cell>
          <cell r="AQ189">
            <v>0</v>
          </cell>
          <cell r="AR189">
            <v>0</v>
          </cell>
        </row>
        <row r="190">
          <cell r="A190" t="str">
            <v>310011B589</v>
          </cell>
          <cell r="B190">
            <v>1</v>
          </cell>
          <cell r="C190" t="str">
            <v>1.1.1</v>
          </cell>
          <cell r="D190" t="str">
            <v>OPKZP-PO1-SC111-2016-10</v>
          </cell>
          <cell r="E190" t="str">
            <v>odpady</v>
          </cell>
          <cell r="F190" t="str">
            <v>Obec Štiavnik</v>
          </cell>
          <cell r="G190" t="str">
            <v>Nákup technológie do zberného dvora v obci Štiavnik</v>
          </cell>
          <cell r="H190" t="str">
            <v>017</v>
          </cell>
          <cell r="I190" t="str">
            <v>ZA</v>
          </cell>
          <cell r="J190" t="str">
            <v>regionálny</v>
          </cell>
          <cell r="K190" t="str">
            <v>áno</v>
          </cell>
          <cell r="L190" t="str">
            <v>áno</v>
          </cell>
          <cell r="M190">
            <v>42753</v>
          </cell>
          <cell r="N190" t="str">
            <v>Realizácia</v>
          </cell>
          <cell r="P190" t="str">
            <v>https://www.crz.gov.sk/index.php?ID=2773480&amp;l=sk</v>
          </cell>
          <cell r="Q190" t="str">
            <v>https://crp.gov.sk/nakup-technologie-do-zberneho-dvora-v-obci-stiavnik/</v>
          </cell>
          <cell r="R190" t="str">
            <v>OPKZP-PO1-SC111-2016-10/105</v>
          </cell>
          <cell r="S190">
            <v>0.85</v>
          </cell>
          <cell r="T190">
            <v>0.1</v>
          </cell>
          <cell r="U190">
            <v>0.05</v>
          </cell>
          <cell r="V190" t="str">
            <v>verejné</v>
          </cell>
          <cell r="W190">
            <v>322552</v>
          </cell>
          <cell r="X190">
            <v>274169.2</v>
          </cell>
          <cell r="Y190">
            <v>32255.200000000001</v>
          </cell>
          <cell r="Z190">
            <v>306424.40000000002</v>
          </cell>
          <cell r="AA190">
            <v>16127.6</v>
          </cell>
          <cell r="AB190">
            <v>322552</v>
          </cell>
          <cell r="AC190">
            <v>274169.2</v>
          </cell>
          <cell r="AD190">
            <v>32255.200000000001</v>
          </cell>
          <cell r="AE190">
            <v>306424.40000000002</v>
          </cell>
          <cell r="AF190">
            <v>16127.6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260676</v>
          </cell>
          <cell r="AM190">
            <v>221574.6</v>
          </cell>
          <cell r="AN190">
            <v>26067.599999999999</v>
          </cell>
          <cell r="AO190">
            <v>247642.2</v>
          </cell>
          <cell r="AP190">
            <v>13033.8</v>
          </cell>
          <cell r="AQ190">
            <v>260676</v>
          </cell>
          <cell r="AR190">
            <v>221574.6</v>
          </cell>
        </row>
        <row r="191">
          <cell r="A191" t="str">
            <v>310011B590</v>
          </cell>
          <cell r="B191">
            <v>1</v>
          </cell>
          <cell r="C191" t="str">
            <v>1.1.1</v>
          </cell>
          <cell r="D191" t="str">
            <v>OPKZP-PO1-SC111-2016-10</v>
          </cell>
          <cell r="E191" t="str">
            <v>odpady</v>
          </cell>
          <cell r="F191" t="str">
            <v>Obec Pucov</v>
          </cell>
          <cell r="G191" t="str">
            <v>Rozšírenie a zintenzívnenie separovaného zberu v obci Pucov</v>
          </cell>
          <cell r="H191" t="str">
            <v>017</v>
          </cell>
          <cell r="I191" t="str">
            <v>ZA</v>
          </cell>
          <cell r="J191" t="str">
            <v>regionálny</v>
          </cell>
          <cell r="K191" t="str">
            <v>áno</v>
          </cell>
          <cell r="M191">
            <v>42740</v>
          </cell>
          <cell r="N191" t="str">
            <v>Realizácia</v>
          </cell>
          <cell r="P191" t="str">
            <v>https://www.crz.gov.sk/index.php?ID=2761337&amp;l=sk</v>
          </cell>
          <cell r="Q191" t="str">
            <v>https://crp.gov.sk/rozsirenie-a-zintenzivnenie-separovaneho-zberu-v-obci-pucov/</v>
          </cell>
          <cell r="R191" t="str">
            <v>OPKZP-PO1-SC111-2016-10/106</v>
          </cell>
          <cell r="S191">
            <v>0.85</v>
          </cell>
          <cell r="T191">
            <v>0.1</v>
          </cell>
          <cell r="U191">
            <v>0.05</v>
          </cell>
          <cell r="V191" t="str">
            <v>verejné</v>
          </cell>
          <cell r="W191">
            <v>263214.88</v>
          </cell>
          <cell r="X191">
            <v>223732.65</v>
          </cell>
          <cell r="Y191">
            <v>26321.49</v>
          </cell>
          <cell r="Z191">
            <v>250054.13999999998</v>
          </cell>
          <cell r="AA191">
            <v>13160.74</v>
          </cell>
          <cell r="AB191">
            <v>263214.88</v>
          </cell>
          <cell r="AC191">
            <v>223732.65</v>
          </cell>
          <cell r="AD191">
            <v>26321.49</v>
          </cell>
          <cell r="AE191">
            <v>250054.13999999998</v>
          </cell>
          <cell r="AF191">
            <v>13160.74</v>
          </cell>
          <cell r="AG191">
            <v>106132.04</v>
          </cell>
          <cell r="AH191">
            <v>90212.233999999997</v>
          </cell>
          <cell r="AI191">
            <v>10613.204</v>
          </cell>
          <cell r="AJ191">
            <v>100825.43799999999</v>
          </cell>
          <cell r="AK191">
            <v>5306.6019999999999</v>
          </cell>
          <cell r="AL191">
            <v>120100</v>
          </cell>
          <cell r="AM191">
            <v>102085</v>
          </cell>
          <cell r="AN191">
            <v>12010</v>
          </cell>
          <cell r="AO191">
            <v>114095</v>
          </cell>
          <cell r="AP191">
            <v>6005</v>
          </cell>
          <cell r="AQ191">
            <v>0</v>
          </cell>
          <cell r="AR191">
            <v>0</v>
          </cell>
        </row>
        <row r="192">
          <cell r="A192" t="str">
            <v>310011B593</v>
          </cell>
          <cell r="B192">
            <v>1</v>
          </cell>
          <cell r="C192" t="str">
            <v>1.1.1</v>
          </cell>
          <cell r="D192" t="str">
            <v>OPKZP-PO1-SC111-2016-11</v>
          </cell>
          <cell r="E192" t="str">
            <v>odpady</v>
          </cell>
          <cell r="F192" t="str">
            <v>Obec Kendice</v>
          </cell>
          <cell r="G192" t="str">
            <v>Obecná kompostáreň pre obec Kendice</v>
          </cell>
          <cell r="H192" t="str">
            <v>017</v>
          </cell>
          <cell r="I192" t="str">
            <v>PO</v>
          </cell>
          <cell r="J192" t="str">
            <v>regionálny</v>
          </cell>
          <cell r="K192" t="str">
            <v>áno</v>
          </cell>
          <cell r="M192">
            <v>42867</v>
          </cell>
          <cell r="N192" t="str">
            <v>Realizácia</v>
          </cell>
          <cell r="P192" t="str">
            <v>https://www.crz.gov.sk/index.php?ID=2934668&amp;l=sk</v>
          </cell>
          <cell r="Q192" t="str">
            <v>https://crp.gov.sk/obecna-kompostaren-pre-obec-kendice/</v>
          </cell>
          <cell r="R192" t="str">
            <v>OPKZP-PO1-SC111-2016-11/25</v>
          </cell>
          <cell r="S192">
            <v>0.85</v>
          </cell>
          <cell r="T192">
            <v>0.1</v>
          </cell>
          <cell r="U192">
            <v>0.05</v>
          </cell>
          <cell r="V192" t="str">
            <v>verejné</v>
          </cell>
          <cell r="W192">
            <v>153270.91</v>
          </cell>
          <cell r="X192">
            <v>130280.27</v>
          </cell>
          <cell r="Y192">
            <v>15327.09</v>
          </cell>
          <cell r="Z192">
            <v>145607.36000000002</v>
          </cell>
          <cell r="AA192">
            <v>7663.55</v>
          </cell>
          <cell r="AB192">
            <v>153270.91</v>
          </cell>
          <cell r="AC192">
            <v>130280.27</v>
          </cell>
          <cell r="AD192">
            <v>15327.09</v>
          </cell>
          <cell r="AE192">
            <v>145607.36000000002</v>
          </cell>
          <cell r="AF192">
            <v>7663.55</v>
          </cell>
          <cell r="AJ192">
            <v>0</v>
          </cell>
          <cell r="AO192">
            <v>0</v>
          </cell>
          <cell r="AQ192">
            <v>0</v>
          </cell>
          <cell r="AR192">
            <v>0</v>
          </cell>
        </row>
        <row r="193">
          <cell r="A193" t="str">
            <v>310011B597</v>
          </cell>
          <cell r="B193">
            <v>1</v>
          </cell>
          <cell r="C193" t="str">
            <v>1.1.1</v>
          </cell>
          <cell r="D193" t="str">
            <v>OPKZP-PO1-SC111-2016-10</v>
          </cell>
          <cell r="E193" t="str">
            <v>odpady</v>
          </cell>
          <cell r="F193" t="str">
            <v>obec Búč</v>
          </cell>
          <cell r="G193" t="str">
            <v>Zberný dvor obce Búč</v>
          </cell>
          <cell r="H193" t="str">
            <v>017</v>
          </cell>
          <cell r="I193" t="str">
            <v>NR</v>
          </cell>
          <cell r="J193" t="str">
            <v>regionálny</v>
          </cell>
          <cell r="K193" t="str">
            <v>áno</v>
          </cell>
          <cell r="L193" t="str">
            <v>áno</v>
          </cell>
          <cell r="M193">
            <v>42754</v>
          </cell>
          <cell r="N193" t="str">
            <v>Realizácia</v>
          </cell>
          <cell r="P193" t="str">
            <v>https://www.crz.gov.sk/index.php?ID=2776187&amp;l=sk</v>
          </cell>
          <cell r="Q193" t="str">
            <v>https://crp.gov.sk/zberny-dvor-obce-buc/</v>
          </cell>
          <cell r="R193" t="str">
            <v>OPKZP-PO1-SC111-2016-10/107</v>
          </cell>
          <cell r="S193">
            <v>0.85</v>
          </cell>
          <cell r="T193">
            <v>0.1</v>
          </cell>
          <cell r="U193">
            <v>0.05</v>
          </cell>
          <cell r="V193" t="str">
            <v>verejné</v>
          </cell>
          <cell r="W193">
            <v>532094.38</v>
          </cell>
          <cell r="X193">
            <v>452280.22</v>
          </cell>
          <cell r="Y193">
            <v>53209.440000000002</v>
          </cell>
          <cell r="Z193">
            <v>505489.66</v>
          </cell>
          <cell r="AA193">
            <v>26604.720000000001</v>
          </cell>
          <cell r="AB193">
            <v>532094.38</v>
          </cell>
          <cell r="AC193">
            <v>452280.22</v>
          </cell>
          <cell r="AD193">
            <v>53209.440000000002</v>
          </cell>
          <cell r="AE193">
            <v>505489.66</v>
          </cell>
          <cell r="AF193">
            <v>26604.720000000001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364900.36</v>
          </cell>
          <cell r="AM193">
            <v>310165.31</v>
          </cell>
          <cell r="AN193">
            <v>36490.03</v>
          </cell>
          <cell r="AO193">
            <v>346655.33999999997</v>
          </cell>
          <cell r="AP193">
            <v>18245.02</v>
          </cell>
          <cell r="AQ193">
            <v>364900.36</v>
          </cell>
          <cell r="AR193">
            <v>310165.31</v>
          </cell>
        </row>
        <row r="194">
          <cell r="A194" t="str">
            <v>310011B598</v>
          </cell>
          <cell r="B194">
            <v>1</v>
          </cell>
          <cell r="C194" t="str">
            <v>1.1.1</v>
          </cell>
          <cell r="D194" t="str">
            <v>OPKZP-PO1-SC111-2016-10</v>
          </cell>
          <cell r="E194" t="str">
            <v>odpady</v>
          </cell>
          <cell r="F194" t="str">
            <v>Obec Hatné</v>
          </cell>
          <cell r="G194" t="str">
            <v>Triedený zber komunálnych odpadov v obci Hatné</v>
          </cell>
          <cell r="H194" t="str">
            <v>017</v>
          </cell>
          <cell r="I194" t="str">
            <v>TN</v>
          </cell>
          <cell r="J194" t="str">
            <v>regionálny</v>
          </cell>
          <cell r="K194" t="str">
            <v>áno</v>
          </cell>
          <cell r="M194">
            <v>42740</v>
          </cell>
          <cell r="N194" t="str">
            <v>Aktivity nezačaté</v>
          </cell>
          <cell r="P194" t="str">
            <v>https://www.crz.gov.sk/index.php?ID=2761347&amp;l=sk</v>
          </cell>
          <cell r="Q194" t="str">
            <v>https://crp.gov.sk/triedeny-zber-komunalnych-odpadov-v-obci-hatne/</v>
          </cell>
          <cell r="R194" t="str">
            <v>OPKZP-PO1-SC111-2016-10/108</v>
          </cell>
          <cell r="S194">
            <v>0.85</v>
          </cell>
          <cell r="T194">
            <v>0.1</v>
          </cell>
          <cell r="U194">
            <v>0.05</v>
          </cell>
          <cell r="V194" t="str">
            <v>verejné</v>
          </cell>
          <cell r="W194">
            <v>138792</v>
          </cell>
          <cell r="X194">
            <v>117973.2</v>
          </cell>
          <cell r="Y194">
            <v>13879.2</v>
          </cell>
          <cell r="Z194">
            <v>131852.4</v>
          </cell>
          <cell r="AA194">
            <v>6939.6</v>
          </cell>
          <cell r="AB194">
            <v>138792</v>
          </cell>
          <cell r="AC194">
            <v>117973.2</v>
          </cell>
          <cell r="AD194">
            <v>13879.2</v>
          </cell>
          <cell r="AE194">
            <v>131852.4</v>
          </cell>
          <cell r="AF194">
            <v>6939.6</v>
          </cell>
          <cell r="AJ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A195" t="str">
            <v>310011B599</v>
          </cell>
          <cell r="B195">
            <v>1</v>
          </cell>
          <cell r="C195" t="str">
            <v>1.1.1</v>
          </cell>
          <cell r="D195" t="str">
            <v>OPKZP-PO1-SC111-2016-10</v>
          </cell>
          <cell r="E195" t="str">
            <v>odpady</v>
          </cell>
          <cell r="F195" t="str">
            <v>Obec Slaská</v>
          </cell>
          <cell r="G195" t="str">
            <v>Nákup technológie pre triedený zber komunálnych odpadov v obci Slaská</v>
          </cell>
          <cell r="H195" t="str">
            <v>017</v>
          </cell>
          <cell r="I195" t="str">
            <v>BB</v>
          </cell>
          <cell r="J195" t="str">
            <v>regionálny</v>
          </cell>
          <cell r="K195" t="str">
            <v>áno</v>
          </cell>
          <cell r="L195" t="str">
            <v>áno</v>
          </cell>
          <cell r="M195">
            <v>42762</v>
          </cell>
          <cell r="N195" t="str">
            <v>Aktivity nezačaté</v>
          </cell>
          <cell r="P195" t="str">
            <v>https://www.crz.gov.sk/index.php?ID=2786293&amp;l=sk</v>
          </cell>
          <cell r="Q195" t="str">
            <v>https://crp.gov.sk/nakup-technologie-pre-triedeny-zber-komunalnych-odpadov-v-obci-slaska/</v>
          </cell>
          <cell r="R195" t="str">
            <v>OPKZP-PO1-SC111-2016-10/109</v>
          </cell>
          <cell r="S195">
            <v>0.85</v>
          </cell>
          <cell r="T195">
            <v>0.1</v>
          </cell>
          <cell r="U195">
            <v>0.05</v>
          </cell>
          <cell r="V195" t="str">
            <v>verejné</v>
          </cell>
          <cell r="W195">
            <v>318002</v>
          </cell>
          <cell r="X195">
            <v>270301.7</v>
          </cell>
          <cell r="Y195">
            <v>31800.2</v>
          </cell>
          <cell r="Z195">
            <v>302101.90000000002</v>
          </cell>
          <cell r="AA195">
            <v>15900.1</v>
          </cell>
          <cell r="AB195">
            <v>318002</v>
          </cell>
          <cell r="AC195">
            <v>270301.7</v>
          </cell>
          <cell r="AD195">
            <v>31800.2</v>
          </cell>
          <cell r="AE195">
            <v>302101.90000000002</v>
          </cell>
          <cell r="AF195">
            <v>15900.1</v>
          </cell>
          <cell r="AJ195">
            <v>0</v>
          </cell>
          <cell r="AO195">
            <v>0</v>
          </cell>
          <cell r="AQ195">
            <v>0</v>
          </cell>
          <cell r="AR195">
            <v>0</v>
          </cell>
        </row>
        <row r="196">
          <cell r="A196" t="str">
            <v>310011B601</v>
          </cell>
          <cell r="B196">
            <v>1</v>
          </cell>
          <cell r="C196" t="str">
            <v>1.1.1</v>
          </cell>
          <cell r="D196" t="str">
            <v>OPKZP-PO1-SC111-2016-10</v>
          </cell>
          <cell r="E196" t="str">
            <v>odpady</v>
          </cell>
          <cell r="F196" t="str">
            <v>obec Veľký Kýr</v>
          </cell>
          <cell r="G196" t="str">
            <v>Zberný dvor Veľký Kýr</v>
          </cell>
          <cell r="H196" t="str">
            <v>017</v>
          </cell>
          <cell r="I196" t="str">
            <v>NR</v>
          </cell>
          <cell r="J196" t="str">
            <v>regionálny</v>
          </cell>
          <cell r="K196" t="str">
            <v>áno</v>
          </cell>
          <cell r="L196" t="str">
            <v>áno</v>
          </cell>
          <cell r="M196">
            <v>42746</v>
          </cell>
          <cell r="N196" t="str">
            <v>Realizácia</v>
          </cell>
          <cell r="P196" t="str">
            <v>https://www.crz.gov.sk/index.php?ID=2765132&amp;l=sk</v>
          </cell>
          <cell r="Q196" t="str">
            <v>https://crp.gov.sk/zberny-dvor-velky-kyr/</v>
          </cell>
          <cell r="R196" t="str">
            <v>OPKZP-PO1-SC111-2016-10/110</v>
          </cell>
          <cell r="S196">
            <v>0.85</v>
          </cell>
          <cell r="T196">
            <v>0.1</v>
          </cell>
          <cell r="U196">
            <v>0.05</v>
          </cell>
          <cell r="V196" t="str">
            <v>verejné</v>
          </cell>
          <cell r="W196">
            <v>391526.95</v>
          </cell>
          <cell r="X196">
            <v>332797.90000000002</v>
          </cell>
          <cell r="Y196">
            <v>39152.699999999997</v>
          </cell>
          <cell r="Z196">
            <v>371950.60000000003</v>
          </cell>
          <cell r="AA196">
            <v>19576.349999999999</v>
          </cell>
          <cell r="AB196">
            <v>391526.95</v>
          </cell>
          <cell r="AC196">
            <v>332797.90000000002</v>
          </cell>
          <cell r="AD196">
            <v>39152.699999999997</v>
          </cell>
          <cell r="AE196">
            <v>371950.60000000003</v>
          </cell>
          <cell r="AF196">
            <v>19576.349999999999</v>
          </cell>
          <cell r="AJ196">
            <v>0</v>
          </cell>
          <cell r="AO196">
            <v>0</v>
          </cell>
          <cell r="AQ196">
            <v>0</v>
          </cell>
          <cell r="AR196">
            <v>0</v>
          </cell>
        </row>
        <row r="197">
          <cell r="A197" t="str">
            <v>310011B602</v>
          </cell>
          <cell r="B197">
            <v>1</v>
          </cell>
          <cell r="C197" t="str">
            <v>1.1.1</v>
          </cell>
          <cell r="D197" t="str">
            <v>OPKZP-PO1-SC111-2016-11</v>
          </cell>
          <cell r="E197" t="str">
            <v>odpady</v>
          </cell>
          <cell r="F197" t="str">
            <v>Obec Malé Lednice</v>
          </cell>
          <cell r="G197" t="str">
            <v>Zhodnocovanie biologicky rozložiteľného komunálneho odpadu v obci Malé Lednice</v>
          </cell>
          <cell r="H197" t="str">
            <v>017</v>
          </cell>
          <cell r="I197" t="str">
            <v>TN</v>
          </cell>
          <cell r="J197" t="str">
            <v>regionálny</v>
          </cell>
          <cell r="K197" t="str">
            <v>áno</v>
          </cell>
          <cell r="M197">
            <v>42868</v>
          </cell>
          <cell r="N197" t="str">
            <v>Realizácia</v>
          </cell>
          <cell r="P197" t="str">
            <v>https://www.crz.gov.sk/index.php?ID=2935343&amp;l=sk</v>
          </cell>
          <cell r="Q197" t="str">
            <v>https://crp.gov.sk/zhodnocovanie-biologicky-rozlozitelneho-komunalneho-odpadu-v-obci-male-lednice/</v>
          </cell>
          <cell r="R197" t="str">
            <v>OPKZP-PO1-SC111-2016-11/26</v>
          </cell>
          <cell r="S197">
            <v>0.85</v>
          </cell>
          <cell r="T197">
            <v>0.1</v>
          </cell>
          <cell r="U197">
            <v>0.05</v>
          </cell>
          <cell r="V197" t="str">
            <v>verejné</v>
          </cell>
          <cell r="W197">
            <v>89753.13</v>
          </cell>
          <cell r="X197">
            <v>76290.16</v>
          </cell>
          <cell r="Y197">
            <v>8975.31</v>
          </cell>
          <cell r="Z197">
            <v>85265.47</v>
          </cell>
          <cell r="AA197">
            <v>4487.66</v>
          </cell>
          <cell r="AB197">
            <v>89753.13</v>
          </cell>
          <cell r="AC197">
            <v>76290.16</v>
          </cell>
          <cell r="AD197">
            <v>8975.31</v>
          </cell>
          <cell r="AE197">
            <v>85265.47</v>
          </cell>
          <cell r="AF197">
            <v>4487.66</v>
          </cell>
          <cell r="AJ197">
            <v>0</v>
          </cell>
          <cell r="AO197">
            <v>0</v>
          </cell>
          <cell r="AQ197">
            <v>0</v>
          </cell>
          <cell r="AR197">
            <v>0</v>
          </cell>
        </row>
        <row r="198">
          <cell r="A198" t="str">
            <v>310011B608</v>
          </cell>
          <cell r="B198">
            <v>1</v>
          </cell>
          <cell r="C198" t="str">
            <v>1.1.1</v>
          </cell>
          <cell r="D198" t="str">
            <v>OPKZP-PO1-SC111-2016-11</v>
          </cell>
          <cell r="E198" t="str">
            <v>odpady</v>
          </cell>
          <cell r="F198" t="str">
            <v>Technické služby mesta Prešov a.s.</v>
          </cell>
          <cell r="G198" t="str">
            <v>Skvalitnenie triedeného zberu komunálneho odpadu.- technika pre zvoz a spracovanie biologicky rozložiteľného komunálneho odpadu.</v>
          </cell>
          <cell r="H198" t="str">
            <v>017</v>
          </cell>
          <cell r="I198" t="str">
            <v>PO</v>
          </cell>
          <cell r="J198" t="str">
            <v>regionálny</v>
          </cell>
          <cell r="K198" t="str">
            <v>áno</v>
          </cell>
          <cell r="M198">
            <v>42740</v>
          </cell>
          <cell r="N198" t="str">
            <v>Aktivity nezačaté</v>
          </cell>
          <cell r="P198" t="str">
            <v>https://www.crz.gov.sk/index.php?ID=2760487&amp;l=sk</v>
          </cell>
          <cell r="Q198" t="str">
            <v>https://crp.gov.sk/skvalitnenie-triedeneho-zberu-komunalneho-odpadu-technika-pre-zvoz-a-spracovanie-biologicky-rozlozitelneho-komunalneho-odpadu/</v>
          </cell>
          <cell r="R198" t="str">
            <v>OPKZP-PO1-SC111-2016-11/23</v>
          </cell>
          <cell r="S198">
            <v>0.85</v>
          </cell>
          <cell r="T198">
            <v>0.1</v>
          </cell>
          <cell r="U198">
            <v>0.05</v>
          </cell>
          <cell r="V198" t="str">
            <v>súkromné</v>
          </cell>
          <cell r="W198">
            <v>872866.65</v>
          </cell>
          <cell r="X198">
            <v>741936.65</v>
          </cell>
          <cell r="Y198">
            <v>87286.67</v>
          </cell>
          <cell r="Z198">
            <v>829223.32000000007</v>
          </cell>
          <cell r="AA198">
            <v>43643.33</v>
          </cell>
          <cell r="AB198">
            <v>872866.65</v>
          </cell>
          <cell r="AC198">
            <v>741936.65</v>
          </cell>
          <cell r="AD198">
            <v>87286.67</v>
          </cell>
          <cell r="AE198">
            <v>829223.32000000007</v>
          </cell>
          <cell r="AF198">
            <v>43643.33</v>
          </cell>
          <cell r="AJ198">
            <v>0</v>
          </cell>
          <cell r="AO198">
            <v>0</v>
          </cell>
          <cell r="AQ198">
            <v>0</v>
          </cell>
          <cell r="AR198">
            <v>0</v>
          </cell>
        </row>
        <row r="199">
          <cell r="A199" t="str">
            <v>310011B612</v>
          </cell>
          <cell r="B199">
            <v>1</v>
          </cell>
          <cell r="C199" t="str">
            <v>1.1.1</v>
          </cell>
          <cell r="D199" t="str">
            <v>OPKZP-PO1-SC111-2016-10</v>
          </cell>
          <cell r="E199" t="str">
            <v>odpady</v>
          </cell>
          <cell r="F199" t="str">
            <v>Obec Šoporňa</v>
          </cell>
          <cell r="G199" t="str">
            <v>Zberný dvor Šoporňa</v>
          </cell>
          <cell r="H199" t="str">
            <v>017</v>
          </cell>
          <cell r="I199" t="str">
            <v>TT</v>
          </cell>
          <cell r="J199" t="str">
            <v>regionálny</v>
          </cell>
          <cell r="K199" t="str">
            <v>áno</v>
          </cell>
          <cell r="M199">
            <v>42741</v>
          </cell>
          <cell r="N199" t="str">
            <v>Realizácia</v>
          </cell>
          <cell r="P199" t="str">
            <v>https://www.crz.gov.sk/index.php?ID=2762554&amp;l=sk</v>
          </cell>
          <cell r="Q199" t="str">
            <v>https://crp.gov.sk/zberny-dvor-soporna/</v>
          </cell>
          <cell r="R199" t="str">
            <v>OPKZP-PO1-SC111-2016-10/111</v>
          </cell>
          <cell r="S199">
            <v>0.85</v>
          </cell>
          <cell r="T199">
            <v>0.1</v>
          </cell>
          <cell r="U199">
            <v>0.05</v>
          </cell>
          <cell r="V199" t="str">
            <v>verejné</v>
          </cell>
          <cell r="W199">
            <v>288558.77</v>
          </cell>
          <cell r="X199">
            <v>245274.95</v>
          </cell>
          <cell r="Y199">
            <v>28855.88</v>
          </cell>
          <cell r="Z199">
            <v>274130.83</v>
          </cell>
          <cell r="AA199">
            <v>14427.94</v>
          </cell>
          <cell r="AB199">
            <v>288558.77</v>
          </cell>
          <cell r="AC199">
            <v>245274.95</v>
          </cell>
          <cell r="AD199">
            <v>28855.88</v>
          </cell>
          <cell r="AE199">
            <v>274130.83</v>
          </cell>
          <cell r="AF199">
            <v>14427.94</v>
          </cell>
          <cell r="AJ199">
            <v>0</v>
          </cell>
          <cell r="AO199">
            <v>0</v>
          </cell>
          <cell r="AQ199">
            <v>0</v>
          </cell>
          <cell r="AR199">
            <v>0</v>
          </cell>
        </row>
        <row r="200">
          <cell r="A200" t="str">
            <v>310011B614</v>
          </cell>
          <cell r="B200">
            <v>1</v>
          </cell>
          <cell r="C200" t="str">
            <v>1.1.1</v>
          </cell>
          <cell r="D200" t="str">
            <v>OPKZP-PO1-SC111-2016-10</v>
          </cell>
          <cell r="E200" t="str">
            <v>odpady</v>
          </cell>
          <cell r="F200" t="str">
            <v>Obec Jablonov nad Turňou</v>
          </cell>
          <cell r="G200" t="str">
            <v>Zberný dvor odpadu v obci Jablonov nad Turňou</v>
          </cell>
          <cell r="H200" t="str">
            <v>017</v>
          </cell>
          <cell r="I200" t="str">
            <v>KE</v>
          </cell>
          <cell r="J200" t="str">
            <v>regionálny</v>
          </cell>
          <cell r="K200" t="str">
            <v>áno</v>
          </cell>
          <cell r="M200">
            <v>42773</v>
          </cell>
          <cell r="N200" t="str">
            <v>Realizácia</v>
          </cell>
          <cell r="P200" t="str">
            <v>https://www.crz.gov.sk/index.php?ID=2801121&amp;l=sk</v>
          </cell>
          <cell r="Q200" t="str">
            <v>https://crp.gov.sk/79960-sk/skvalitnenie-triedeneho-zberu-komunalneho-odpadu-technika-pre-zvoz-a-spracovanie-biologicky-rozlozitelneho-komunalneho-odpadu/</v>
          </cell>
          <cell r="R200" t="str">
            <v>OPKZP-PO1-SC111-2016-10/112</v>
          </cell>
          <cell r="S200">
            <v>0.85</v>
          </cell>
          <cell r="T200">
            <v>0.1</v>
          </cell>
          <cell r="U200">
            <v>0.05</v>
          </cell>
          <cell r="V200" t="str">
            <v>verejné</v>
          </cell>
          <cell r="W200">
            <v>275574.73</v>
          </cell>
          <cell r="X200">
            <v>234238.52</v>
          </cell>
          <cell r="Y200">
            <v>27557.47</v>
          </cell>
          <cell r="Z200">
            <v>261795.99</v>
          </cell>
          <cell r="AA200">
            <v>13778.74</v>
          </cell>
          <cell r="AB200">
            <v>274651.63</v>
          </cell>
          <cell r="AC200">
            <v>233453.89</v>
          </cell>
          <cell r="AD200">
            <v>27465.16</v>
          </cell>
          <cell r="AE200">
            <v>260919.05000000002</v>
          </cell>
          <cell r="AF200">
            <v>13732.58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208873.1</v>
          </cell>
          <cell r="AM200">
            <v>177542.14</v>
          </cell>
          <cell r="AN200">
            <v>20887.3</v>
          </cell>
          <cell r="AO200">
            <v>198429.44</v>
          </cell>
          <cell r="AP200">
            <v>10443.66</v>
          </cell>
          <cell r="AQ200">
            <v>208873.1</v>
          </cell>
          <cell r="AR200">
            <v>177542.14</v>
          </cell>
        </row>
        <row r="201">
          <cell r="A201" t="str">
            <v>310011B748</v>
          </cell>
          <cell r="B201">
            <v>1</v>
          </cell>
          <cell r="C201" t="str">
            <v>1.1.1</v>
          </cell>
          <cell r="D201" t="str">
            <v>OPKZP-PO1-SC111-2016-11</v>
          </cell>
          <cell r="E201" t="str">
            <v>odpady</v>
          </cell>
          <cell r="F201" t="str">
            <v>Obec Motešice</v>
          </cell>
          <cell r="G201" t="str">
            <v>Zhodnocovanie biologicky rozložiteľného komunálneho odpadu v obci Motešice</v>
          </cell>
          <cell r="H201" t="str">
            <v>017</v>
          </cell>
          <cell r="I201" t="str">
            <v>TN</v>
          </cell>
          <cell r="J201" t="str">
            <v>regionálny</v>
          </cell>
          <cell r="K201" t="str">
            <v>áno</v>
          </cell>
          <cell r="M201">
            <v>42879</v>
          </cell>
          <cell r="N201" t="str">
            <v>Realizácia</v>
          </cell>
          <cell r="P201" t="str">
            <v>https://www.crz.gov.sk/index.php?ID=2949339&amp;l=sk</v>
          </cell>
          <cell r="Q201" t="str">
            <v>https://crp.gov.sk/zhodnocovanie-biologicky-rozlozitelneho-komunalneho-odpadu-v-obci-motesice/</v>
          </cell>
          <cell r="R201" t="str">
            <v>OPKZP-PO1-SC111-2016-11/27</v>
          </cell>
          <cell r="S201">
            <v>0.85</v>
          </cell>
          <cell r="T201">
            <v>0.1</v>
          </cell>
          <cell r="U201">
            <v>0.05</v>
          </cell>
          <cell r="V201" t="str">
            <v>verejné</v>
          </cell>
          <cell r="W201">
            <v>186849.93</v>
          </cell>
          <cell r="X201">
            <v>158822.44</v>
          </cell>
          <cell r="Y201">
            <v>18684.990000000002</v>
          </cell>
          <cell r="Z201">
            <v>177507.43</v>
          </cell>
          <cell r="AA201">
            <v>9342.5</v>
          </cell>
          <cell r="AB201">
            <v>186849.93</v>
          </cell>
          <cell r="AC201">
            <v>158822.44</v>
          </cell>
          <cell r="AD201">
            <v>18684.990000000002</v>
          </cell>
          <cell r="AE201">
            <v>177507.43</v>
          </cell>
          <cell r="AF201">
            <v>9342.5</v>
          </cell>
          <cell r="AJ201">
            <v>0</v>
          </cell>
          <cell r="AO201">
            <v>0</v>
          </cell>
          <cell r="AQ201">
            <v>0</v>
          </cell>
          <cell r="AR201">
            <v>0</v>
          </cell>
        </row>
        <row r="202">
          <cell r="A202" t="str">
            <v>310011B868</v>
          </cell>
          <cell r="B202">
            <v>1</v>
          </cell>
          <cell r="C202" t="str">
            <v>1.1.1</v>
          </cell>
          <cell r="D202" t="str">
            <v>OPKZP-PO1-SC111-2016-11</v>
          </cell>
          <cell r="E202" t="str">
            <v>odpady</v>
          </cell>
          <cell r="F202" t="str">
            <v>Obec Klčov</v>
          </cell>
          <cell r="G202" t="str">
            <v>Zhodnocovanie biologicky rozložiteľného komunálneho odpadu v obci Klčov</v>
          </cell>
          <cell r="H202" t="str">
            <v>017</v>
          </cell>
          <cell r="I202" t="str">
            <v>PO</v>
          </cell>
          <cell r="J202" t="str">
            <v>regionálny</v>
          </cell>
          <cell r="K202" t="str">
            <v>áno</v>
          </cell>
          <cell r="M202">
            <v>42868</v>
          </cell>
          <cell r="N202" t="str">
            <v>Aktivity nezačaté</v>
          </cell>
          <cell r="P202" t="str">
            <v>https://www.crz.gov.sk/index.php?ID=2935459&amp;l=sk</v>
          </cell>
          <cell r="Q202" t="str">
            <v>https://crp.gov.sk/zhodnocovanie-biologicky-rozlozitelneho-komunalneho-odpadu-v-obci-klcov/</v>
          </cell>
          <cell r="R202" t="str">
            <v>OPKZP-PO1-SC111-2016-11/28</v>
          </cell>
          <cell r="S202">
            <v>0.85</v>
          </cell>
          <cell r="T202">
            <v>0.1</v>
          </cell>
          <cell r="U202">
            <v>0.05</v>
          </cell>
          <cell r="V202" t="str">
            <v>verejné</v>
          </cell>
          <cell r="W202">
            <v>87377.11</v>
          </cell>
          <cell r="X202">
            <v>74270.539999999994</v>
          </cell>
          <cell r="Y202">
            <v>8737.7099999999991</v>
          </cell>
          <cell r="Z202">
            <v>83008.25</v>
          </cell>
          <cell r="AA202">
            <v>4368.8599999999997</v>
          </cell>
          <cell r="AB202">
            <v>87377.11</v>
          </cell>
          <cell r="AC202">
            <v>74270.539999999994</v>
          </cell>
          <cell r="AD202">
            <v>8737.7099999999991</v>
          </cell>
          <cell r="AE202">
            <v>83008.25</v>
          </cell>
          <cell r="AF202">
            <v>4368.8599999999997</v>
          </cell>
          <cell r="AJ202">
            <v>0</v>
          </cell>
          <cell r="AO202">
            <v>0</v>
          </cell>
          <cell r="AQ202">
            <v>0</v>
          </cell>
          <cell r="AR202">
            <v>0</v>
          </cell>
        </row>
        <row r="203">
          <cell r="A203" t="str">
            <v>310011B885</v>
          </cell>
          <cell r="B203">
            <v>1</v>
          </cell>
          <cell r="C203" t="str">
            <v>1.1.1</v>
          </cell>
          <cell r="D203" t="str">
            <v>OPKZP-PO1-SC111-2016-11</v>
          </cell>
          <cell r="E203" t="str">
            <v>odpady</v>
          </cell>
          <cell r="F203" t="str">
            <v>Obec Ňagov</v>
          </cell>
          <cell r="G203" t="str">
            <v>Zhodnocovanie biologicky rozložiteľného komunálneho odpadu v obci Ňagov</v>
          </cell>
          <cell r="H203" t="str">
            <v>017</v>
          </cell>
          <cell r="I203" t="str">
            <v>PO</v>
          </cell>
          <cell r="J203" t="str">
            <v>regionálny</v>
          </cell>
          <cell r="K203" t="str">
            <v>áno</v>
          </cell>
          <cell r="M203">
            <v>42879</v>
          </cell>
          <cell r="N203" t="str">
            <v>Aktivity nezačaté</v>
          </cell>
          <cell r="P203" t="str">
            <v>https://www.crz.gov.sk/index.php?ID=2949363&amp;l=sk</v>
          </cell>
          <cell r="Q203" t="str">
            <v>https://crp.gov.sk/zhodnocovanie-biologicky-rozlozitelneho-komunalneho-odpadu-v-obci-nagov/</v>
          </cell>
          <cell r="R203" t="str">
            <v>OPKZP-PO1-SC111-2016-11/29</v>
          </cell>
          <cell r="S203">
            <v>0.85</v>
          </cell>
          <cell r="T203">
            <v>0.1</v>
          </cell>
          <cell r="U203">
            <v>0.05</v>
          </cell>
          <cell r="V203" t="str">
            <v>verejné</v>
          </cell>
          <cell r="W203">
            <v>86968.81</v>
          </cell>
          <cell r="X203">
            <v>73923.490000000005</v>
          </cell>
          <cell r="Y203">
            <v>8696.8799999999992</v>
          </cell>
          <cell r="Z203">
            <v>82620.37000000001</v>
          </cell>
          <cell r="AA203">
            <v>4348.4399999999996</v>
          </cell>
          <cell r="AB203">
            <v>86968.81</v>
          </cell>
          <cell r="AC203">
            <v>73923.490000000005</v>
          </cell>
          <cell r="AD203">
            <v>8696.8799999999992</v>
          </cell>
          <cell r="AE203">
            <v>82620.37000000001</v>
          </cell>
          <cell r="AF203">
            <v>4348.4399999999996</v>
          </cell>
          <cell r="AJ203">
            <v>0</v>
          </cell>
          <cell r="AO203">
            <v>0</v>
          </cell>
          <cell r="AQ203">
            <v>0</v>
          </cell>
          <cell r="AR203">
            <v>0</v>
          </cell>
        </row>
        <row r="204">
          <cell r="A204" t="str">
            <v>310011B919</v>
          </cell>
          <cell r="B204">
            <v>1</v>
          </cell>
          <cell r="C204" t="str">
            <v>1.1.1</v>
          </cell>
          <cell r="D204" t="str">
            <v>OPKZP-PO1-SC111-2016-10</v>
          </cell>
          <cell r="E204" t="str">
            <v>odpady</v>
          </cell>
          <cell r="F204" t="str">
            <v>Mesto Gbely</v>
          </cell>
          <cell r="G204" t="str">
            <v>Zberný dvor odpadov Gbely – druhá etapa</v>
          </cell>
          <cell r="H204" t="str">
            <v>017</v>
          </cell>
          <cell r="I204" t="str">
            <v>TT</v>
          </cell>
          <cell r="J204" t="str">
            <v>regionálny</v>
          </cell>
          <cell r="K204" t="str">
            <v>áno</v>
          </cell>
          <cell r="M204">
            <v>42769</v>
          </cell>
          <cell r="N204" t="str">
            <v>Realizácia</v>
          </cell>
          <cell r="P204" t="str">
            <v>https://www.crz.gov.sk/index.php?ID=2797944&amp;l=sk</v>
          </cell>
          <cell r="Q204" t="str">
            <v>https://crp.gov.sk/zberny-dvor-odpadov-gbely-–-druha-etapa/</v>
          </cell>
          <cell r="R204" t="str">
            <v>OPKZP-PO1-SC111-2016-10/114</v>
          </cell>
          <cell r="S204">
            <v>0.85</v>
          </cell>
          <cell r="T204">
            <v>0.1</v>
          </cell>
          <cell r="U204">
            <v>0.05</v>
          </cell>
          <cell r="V204" t="str">
            <v>verejné</v>
          </cell>
          <cell r="W204">
            <v>234229.23</v>
          </cell>
          <cell r="X204">
            <v>199094.85</v>
          </cell>
          <cell r="Y204">
            <v>23422.92</v>
          </cell>
          <cell r="Z204">
            <v>222517.77000000002</v>
          </cell>
          <cell r="AA204">
            <v>11711.46</v>
          </cell>
          <cell r="AB204">
            <v>234229.23</v>
          </cell>
          <cell r="AC204">
            <v>199094.85</v>
          </cell>
          <cell r="AD204">
            <v>23422.92</v>
          </cell>
          <cell r="AE204">
            <v>222517.77000000002</v>
          </cell>
          <cell r="AF204">
            <v>11711.46</v>
          </cell>
          <cell r="AJ204">
            <v>0</v>
          </cell>
          <cell r="AO204">
            <v>0</v>
          </cell>
          <cell r="AQ204">
            <v>0</v>
          </cell>
          <cell r="AR204">
            <v>0</v>
          </cell>
        </row>
        <row r="205">
          <cell r="A205" t="str">
            <v>310011B942</v>
          </cell>
          <cell r="B205">
            <v>1</v>
          </cell>
          <cell r="C205" t="str">
            <v>1.4.1</v>
          </cell>
          <cell r="D205" t="str">
            <v>OPKZP-PO1-SC141-2016-14</v>
          </cell>
          <cell r="E205" t="str">
            <v>vzduch</v>
          </cell>
          <cell r="F205" t="str">
            <v>U. S. Steel Košice, s.r.o.</v>
          </cell>
          <cell r="G205" t="str">
            <v>Kontrola emisií pre rudné mosty VP3 – Prestavba EO34</v>
          </cell>
          <cell r="H205" t="str">
            <v>083</v>
          </cell>
          <cell r="I205" t="str">
            <v>KE</v>
          </cell>
          <cell r="J205" t="str">
            <v>regionálny</v>
          </cell>
          <cell r="K205" t="str">
            <v>áno</v>
          </cell>
          <cell r="M205">
            <v>42703</v>
          </cell>
          <cell r="N205" t="str">
            <v>Realizácia</v>
          </cell>
          <cell r="P205" t="str">
            <v>https://www.crz.gov.sk/index.php?ID=2703150&amp;l=sk</v>
          </cell>
          <cell r="Q205" t="str">
            <v>https://crp.gov.sk/kontrola-emisii-pre-rudne-mosty-vp3-prestavba-eo34/</v>
          </cell>
          <cell r="R205" t="str">
            <v>OPKZP-PO1-SC141-2016-14/02</v>
          </cell>
          <cell r="S205">
            <v>0.85</v>
          </cell>
          <cell r="T205">
            <v>0.05</v>
          </cell>
          <cell r="U205">
            <v>0.1</v>
          </cell>
          <cell r="V205" t="str">
            <v>súkromné</v>
          </cell>
          <cell r="W205">
            <v>5088418.59</v>
          </cell>
          <cell r="X205">
            <v>4325155.8</v>
          </cell>
          <cell r="Y205">
            <v>254420.93</v>
          </cell>
          <cell r="Z205">
            <v>4579576.7299999995</v>
          </cell>
          <cell r="AA205">
            <v>508841.86</v>
          </cell>
          <cell r="AB205">
            <v>5088418.59</v>
          </cell>
          <cell r="AC205">
            <v>4325155.8</v>
          </cell>
          <cell r="AD205">
            <v>254420.93</v>
          </cell>
          <cell r="AE205">
            <v>4579576.7299999995</v>
          </cell>
          <cell r="AF205">
            <v>508841.86</v>
          </cell>
          <cell r="AJ205">
            <v>0</v>
          </cell>
          <cell r="AO205">
            <v>0</v>
          </cell>
          <cell r="AQ205">
            <v>0</v>
          </cell>
          <cell r="AR205">
            <v>0</v>
          </cell>
        </row>
        <row r="206">
          <cell r="A206" t="str">
            <v>310011B952</v>
          </cell>
          <cell r="B206">
            <v>1</v>
          </cell>
          <cell r="C206" t="str">
            <v>1.1.1</v>
          </cell>
          <cell r="D206" t="str">
            <v>OPKZP-PO1-SC111-2016-11</v>
          </cell>
          <cell r="E206" t="str">
            <v>odpady</v>
          </cell>
          <cell r="F206" t="str">
            <v>Obec Vinné</v>
          </cell>
          <cell r="G206" t="str">
            <v>Zberný dvor Vinné - výstavba zariadenia pre zhodnocovanie BRO</v>
          </cell>
          <cell r="H206" t="str">
            <v>017</v>
          </cell>
          <cell r="I206" t="str">
            <v>KE</v>
          </cell>
          <cell r="J206" t="str">
            <v>regionálny</v>
          </cell>
          <cell r="K206" t="str">
            <v>áno</v>
          </cell>
          <cell r="M206">
            <v>42879</v>
          </cell>
          <cell r="N206" t="str">
            <v>Aktivity nezačaté</v>
          </cell>
          <cell r="P206" t="str">
            <v>https://www.crz.gov.sk/index.php?ID=2949325&amp;l=sk</v>
          </cell>
          <cell r="Q206" t="str">
            <v>https://crp.gov.sk/zberny-dvor-vinne-vystavba-zariadenia-pre-zhodnocovanie-bro/</v>
          </cell>
          <cell r="R206" t="str">
            <v>OPKZP-PO1-SC111-2016-11/30</v>
          </cell>
          <cell r="S206">
            <v>0.85</v>
          </cell>
          <cell r="T206">
            <v>0.1</v>
          </cell>
          <cell r="U206">
            <v>0.05</v>
          </cell>
          <cell r="V206" t="str">
            <v>verejné</v>
          </cell>
          <cell r="W206">
            <v>350736.2</v>
          </cell>
          <cell r="X206">
            <v>298125.77</v>
          </cell>
          <cell r="Y206">
            <v>35073.620000000003</v>
          </cell>
          <cell r="Z206">
            <v>333199.39</v>
          </cell>
          <cell r="AA206">
            <v>17536.810000000001</v>
          </cell>
          <cell r="AB206">
            <v>350736.2</v>
          </cell>
          <cell r="AC206">
            <v>298125.77</v>
          </cell>
          <cell r="AD206">
            <v>35073.620000000003</v>
          </cell>
          <cell r="AE206">
            <v>333199.39</v>
          </cell>
          <cell r="AF206">
            <v>17536.810000000001</v>
          </cell>
          <cell r="AJ206">
            <v>0</v>
          </cell>
          <cell r="AO206">
            <v>0</v>
          </cell>
          <cell r="AQ206">
            <v>0</v>
          </cell>
          <cell r="AR206">
            <v>0</v>
          </cell>
        </row>
        <row r="207">
          <cell r="A207" t="str">
            <v>310011B967</v>
          </cell>
          <cell r="B207">
            <v>1</v>
          </cell>
          <cell r="C207" t="str">
            <v>1.1.1</v>
          </cell>
          <cell r="D207" t="str">
            <v>OPKZP-PO1-SC111-2016-11</v>
          </cell>
          <cell r="E207" t="str">
            <v>odpady</v>
          </cell>
          <cell r="F207" t="str">
            <v>VEPOS, spol. s.r.o.</v>
          </cell>
          <cell r="G207" t="str">
            <v>Rozšírenie zberu BRO pre mesto Vráble</v>
          </cell>
          <cell r="H207" t="str">
            <v>017</v>
          </cell>
          <cell r="I207" t="str">
            <v>NR</v>
          </cell>
          <cell r="J207" t="str">
            <v>regionálny</v>
          </cell>
          <cell r="K207" t="str">
            <v>áno</v>
          </cell>
          <cell r="M207">
            <v>42880</v>
          </cell>
          <cell r="N207" t="str">
            <v>Aktivity nezačaté</v>
          </cell>
          <cell r="P207" t="str">
            <v>https://www.crz.gov.sk/index.php?ID=2951426&amp;l=sk</v>
          </cell>
          <cell r="Q207" t="str">
            <v>https://crp.gov.sk/rozsirenie-zberu-bro-pre-mesto-vrable/</v>
          </cell>
          <cell r="R207" t="str">
            <v>OPKZP-PO1-SC111-2016-11/31</v>
          </cell>
          <cell r="S207">
            <v>0.85</v>
          </cell>
          <cell r="T207">
            <v>0.1</v>
          </cell>
          <cell r="U207">
            <v>0.05</v>
          </cell>
          <cell r="V207" t="str">
            <v>súkromné</v>
          </cell>
          <cell r="W207">
            <v>381281.25</v>
          </cell>
          <cell r="X207">
            <v>324089.06</v>
          </cell>
          <cell r="Y207">
            <v>38128.129999999997</v>
          </cell>
          <cell r="Z207">
            <v>362217.19</v>
          </cell>
          <cell r="AA207">
            <v>19064.060000000001</v>
          </cell>
          <cell r="AB207">
            <v>381281.25</v>
          </cell>
          <cell r="AC207">
            <v>324089.06</v>
          </cell>
          <cell r="AD207">
            <v>38128.129999999997</v>
          </cell>
          <cell r="AE207">
            <v>362217.19</v>
          </cell>
          <cell r="AF207">
            <v>19064.060000000001</v>
          </cell>
          <cell r="AJ207">
            <v>0</v>
          </cell>
          <cell r="AO207">
            <v>0</v>
          </cell>
          <cell r="AQ207">
            <v>0</v>
          </cell>
          <cell r="AR207">
            <v>0</v>
          </cell>
        </row>
        <row r="208">
          <cell r="A208" t="str">
            <v>310011C041</v>
          </cell>
          <cell r="B208">
            <v>1</v>
          </cell>
          <cell r="C208" t="str">
            <v>1.1.1</v>
          </cell>
          <cell r="D208" t="str">
            <v>OPKZP-PO1-SC111-2016-10</v>
          </cell>
          <cell r="E208" t="str">
            <v>odpady</v>
          </cell>
          <cell r="F208" t="str">
            <v>Obec Ipeľské Predmostie</v>
          </cell>
          <cell r="G208" t="str">
            <v>Zefektívnenie triedeného zberu v obci Ipeľské Predmostie</v>
          </cell>
          <cell r="H208" t="str">
            <v>017</v>
          </cell>
          <cell r="I208" t="str">
            <v>BB</v>
          </cell>
          <cell r="J208" t="str">
            <v>regionálny</v>
          </cell>
          <cell r="K208" t="str">
            <v>áno</v>
          </cell>
          <cell r="M208">
            <v>42761</v>
          </cell>
          <cell r="N208" t="str">
            <v>Realizácia</v>
          </cell>
          <cell r="P208" t="str">
            <v>https://www.crz.gov.sk/index.php?ID=2785169&amp;l=sk</v>
          </cell>
          <cell r="Q208" t="str">
            <v>https://crp.gov.sk/zefektivnenie-triedeneho-zberu-v-obci-ipelske-predmostie/</v>
          </cell>
          <cell r="R208" t="str">
            <v>OPKZP-PO1-SC111-2016-10/115</v>
          </cell>
          <cell r="S208">
            <v>0.85</v>
          </cell>
          <cell r="T208">
            <v>0.1</v>
          </cell>
          <cell r="U208">
            <v>0.05</v>
          </cell>
          <cell r="V208" t="str">
            <v>verejné</v>
          </cell>
          <cell r="W208">
            <v>85697.24</v>
          </cell>
          <cell r="X208">
            <v>72842.649999999994</v>
          </cell>
          <cell r="Y208">
            <v>8569.73</v>
          </cell>
          <cell r="Z208">
            <v>81412.37999999999</v>
          </cell>
          <cell r="AA208">
            <v>4284.8599999999997</v>
          </cell>
          <cell r="AB208">
            <v>85697.24</v>
          </cell>
          <cell r="AC208">
            <v>72842.649999999994</v>
          </cell>
          <cell r="AD208">
            <v>8569.73</v>
          </cell>
          <cell r="AE208">
            <v>81412.37999999999</v>
          </cell>
          <cell r="AF208">
            <v>4284.8599999999997</v>
          </cell>
          <cell r="AG208">
            <v>84957.6</v>
          </cell>
          <cell r="AH208">
            <v>72213.960000000006</v>
          </cell>
          <cell r="AI208">
            <v>8495.76</v>
          </cell>
          <cell r="AJ208">
            <v>80709.72</v>
          </cell>
          <cell r="AK208">
            <v>4247.88</v>
          </cell>
          <cell r="AO208">
            <v>0</v>
          </cell>
          <cell r="AQ208">
            <v>0</v>
          </cell>
          <cell r="AR208">
            <v>0</v>
          </cell>
        </row>
        <row r="209">
          <cell r="A209" t="str">
            <v>310011C064</v>
          </cell>
          <cell r="B209">
            <v>1</v>
          </cell>
          <cell r="C209" t="str">
            <v>1.1.1</v>
          </cell>
          <cell r="D209" t="str">
            <v>OPKZP-PO1-SC111-2016-10</v>
          </cell>
          <cell r="E209" t="str">
            <v>odpady</v>
          </cell>
          <cell r="F209" t="str">
            <v>Obec Lula</v>
          </cell>
          <cell r="G209" t="str">
            <v>Zberný dvor - Lula</v>
          </cell>
          <cell r="H209" t="str">
            <v>017</v>
          </cell>
          <cell r="I209" t="str">
            <v>NR</v>
          </cell>
          <cell r="J209" t="str">
            <v>regionálny</v>
          </cell>
          <cell r="K209" t="str">
            <v>áno</v>
          </cell>
          <cell r="M209">
            <v>42761</v>
          </cell>
          <cell r="N209" t="str">
            <v>Realizácia</v>
          </cell>
          <cell r="P209" t="str">
            <v>https://www.crz.gov.sk/index.php?ID=2785194&amp;l=sk</v>
          </cell>
          <cell r="Q209" t="str">
            <v>https://crp.gov.sk/zberny-dvor-%E2%80%93-lula/</v>
          </cell>
          <cell r="R209" t="str">
            <v>OPKZP-PO1-SC111-2016-10/117</v>
          </cell>
          <cell r="S209">
            <v>0.85</v>
          </cell>
          <cell r="T209">
            <v>0.1</v>
          </cell>
          <cell r="U209">
            <v>0.05</v>
          </cell>
          <cell r="V209" t="str">
            <v>verejné</v>
          </cell>
          <cell r="W209">
            <v>127126.07</v>
          </cell>
          <cell r="X209">
            <v>108057.16</v>
          </cell>
          <cell r="Y209">
            <v>12712.61</v>
          </cell>
          <cell r="Z209">
            <v>120769.77</v>
          </cell>
          <cell r="AA209">
            <v>6356.3</v>
          </cell>
          <cell r="AB209">
            <v>127126.07</v>
          </cell>
          <cell r="AC209">
            <v>108057.16</v>
          </cell>
          <cell r="AD209">
            <v>12712.61</v>
          </cell>
          <cell r="AE209">
            <v>120769.77</v>
          </cell>
          <cell r="AF209">
            <v>6356.3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58984.67</v>
          </cell>
          <cell r="AM209">
            <v>50136.97</v>
          </cell>
          <cell r="AN209">
            <v>5898.4699999999993</v>
          </cell>
          <cell r="AO209">
            <v>56035.44</v>
          </cell>
          <cell r="AP209">
            <v>2949.23</v>
          </cell>
          <cell r="AQ209">
            <v>22987.009999999995</v>
          </cell>
          <cell r="AR209">
            <v>19538.960000000003</v>
          </cell>
        </row>
        <row r="210">
          <cell r="A210" t="str">
            <v>310011C076</v>
          </cell>
          <cell r="B210">
            <v>1</v>
          </cell>
          <cell r="C210" t="str">
            <v>1.1.1</v>
          </cell>
          <cell r="D210" t="str">
            <v>OPKZP-PO1-SC111-2016-10</v>
          </cell>
          <cell r="E210" t="str">
            <v>odpady</v>
          </cell>
          <cell r="F210" t="str">
            <v>Obec Valaliky</v>
          </cell>
          <cell r="G210" t="str">
            <v>Podpora triedeného zberu komunálnych odpadov v obci Valaliky</v>
          </cell>
          <cell r="H210" t="str">
            <v>017</v>
          </cell>
          <cell r="I210" t="str">
            <v>KE</v>
          </cell>
          <cell r="J210" t="str">
            <v>regionálny</v>
          </cell>
          <cell r="K210" t="str">
            <v>áno</v>
          </cell>
          <cell r="M210">
            <v>42762</v>
          </cell>
          <cell r="N210" t="str">
            <v>Realizácia</v>
          </cell>
          <cell r="P210" t="str">
            <v>https://www.crz.gov.sk/index.php?ID=2786358&amp;l=sk</v>
          </cell>
          <cell r="Q210" t="str">
            <v>https://crp.gov.sk/podpora-triedeneho-zberu-komunalnych-odpadov-v-obci-valaliky/</v>
          </cell>
          <cell r="R210" t="str">
            <v>OPKZP-PO1-SC111-2016-10/113</v>
          </cell>
          <cell r="S210">
            <v>0.85</v>
          </cell>
          <cell r="T210">
            <v>0.1</v>
          </cell>
          <cell r="U210">
            <v>0.05</v>
          </cell>
          <cell r="V210" t="str">
            <v>verejné</v>
          </cell>
          <cell r="W210">
            <v>104878</v>
          </cell>
          <cell r="X210">
            <v>89146.3</v>
          </cell>
          <cell r="Y210">
            <v>10487.8</v>
          </cell>
          <cell r="Z210">
            <v>99634.1</v>
          </cell>
          <cell r="AA210">
            <v>5243.9</v>
          </cell>
          <cell r="AB210">
            <v>104878</v>
          </cell>
          <cell r="AC210">
            <v>89146.3</v>
          </cell>
          <cell r="AD210">
            <v>10487.8</v>
          </cell>
          <cell r="AE210">
            <v>99634.1</v>
          </cell>
          <cell r="AF210">
            <v>5243.9</v>
          </cell>
          <cell r="AJ210">
            <v>0</v>
          </cell>
          <cell r="AO210">
            <v>0</v>
          </cell>
          <cell r="AQ210">
            <v>0</v>
          </cell>
          <cell r="AR210">
            <v>0</v>
          </cell>
        </row>
        <row r="211">
          <cell r="A211" t="str">
            <v>310011C096</v>
          </cell>
          <cell r="B211">
            <v>1</v>
          </cell>
          <cell r="C211" t="str">
            <v>1.1.1</v>
          </cell>
          <cell r="D211" t="str">
            <v>OPKZP-PO1-SC111-2016-11</v>
          </cell>
          <cell r="E211" t="str">
            <v>odpady</v>
          </cell>
          <cell r="F211" t="str">
            <v>Obec Oslany</v>
          </cell>
          <cell r="G211" t="str">
            <v>Zhodnotenie biologicky rozložiteľného odpadu v obci Oslany, Oslany, p.č. 1419/2</v>
          </cell>
          <cell r="H211" t="str">
            <v>017</v>
          </cell>
          <cell r="I211" t="str">
            <v>TN</v>
          </cell>
          <cell r="J211" t="str">
            <v>regionálny</v>
          </cell>
          <cell r="K211" t="str">
            <v>áno</v>
          </cell>
          <cell r="M211">
            <v>42871</v>
          </cell>
          <cell r="N211" t="str">
            <v>Realizácia</v>
          </cell>
          <cell r="P211" t="str">
            <v>https://www.crz.gov.sk/index.php?ID=2936698&amp;l=sk</v>
          </cell>
          <cell r="Q211" t="str">
            <v>https://crp.gov.sk/zhodnotenie-biologicky-rozlozitelneho-odpadu-v-obci-oslany-oslany-pc-14192/</v>
          </cell>
          <cell r="R211" t="str">
            <v>OPKZP-PO1-SC111-2016-11/32</v>
          </cell>
          <cell r="S211">
            <v>0.85</v>
          </cell>
          <cell r="T211">
            <v>0.1</v>
          </cell>
          <cell r="U211">
            <v>0.05</v>
          </cell>
          <cell r="V211" t="str">
            <v>verejné</v>
          </cell>
          <cell r="W211">
            <v>404883.81</v>
          </cell>
          <cell r="X211">
            <v>344151.24</v>
          </cell>
          <cell r="Y211">
            <v>40488.379999999997</v>
          </cell>
          <cell r="Z211">
            <v>384639.62</v>
          </cell>
          <cell r="AA211">
            <v>20244.189999999999</v>
          </cell>
          <cell r="AB211">
            <v>404883.81</v>
          </cell>
          <cell r="AC211">
            <v>344151.24</v>
          </cell>
          <cell r="AD211">
            <v>40488.379999999997</v>
          </cell>
          <cell r="AE211">
            <v>384639.62</v>
          </cell>
          <cell r="AF211">
            <v>20244.189999999999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48670.63</v>
          </cell>
          <cell r="AM211">
            <v>41370.04</v>
          </cell>
          <cell r="AN211">
            <v>4867.0600000000004</v>
          </cell>
          <cell r="AO211">
            <v>46237.1</v>
          </cell>
          <cell r="AP211">
            <v>2433.5300000000002</v>
          </cell>
          <cell r="AQ211">
            <v>48670.63</v>
          </cell>
          <cell r="AR211">
            <v>41370.04</v>
          </cell>
        </row>
        <row r="212">
          <cell r="A212" t="str">
            <v>310011C124</v>
          </cell>
          <cell r="B212">
            <v>1</v>
          </cell>
          <cell r="C212" t="str">
            <v>1.1.1</v>
          </cell>
          <cell r="D212" t="str">
            <v>OPKZP-PO1-SC111-2016-11</v>
          </cell>
          <cell r="E212" t="str">
            <v>odpady</v>
          </cell>
          <cell r="F212" t="str">
            <v>Mesto Tisovec</v>
          </cell>
          <cell r="G212" t="str">
            <v>Mestská kompostáreň Rudov dvor</v>
          </cell>
          <cell r="H212" t="str">
            <v>017</v>
          </cell>
          <cell r="I212" t="str">
            <v>BB</v>
          </cell>
          <cell r="J212" t="str">
            <v>regionálny</v>
          </cell>
          <cell r="K212" t="str">
            <v>áno</v>
          </cell>
          <cell r="M212">
            <v>42868</v>
          </cell>
          <cell r="N212" t="str">
            <v>Realizácia</v>
          </cell>
          <cell r="P212" t="str">
            <v>https://www.crz.gov.sk/index.php?ID=2935600&amp;l=sk</v>
          </cell>
          <cell r="Q212" t="str">
            <v>https://crp.gov.sk/mestska-kompostaren-rudov-dvor/</v>
          </cell>
          <cell r="R212" t="str">
            <v>OPKZP-PO1-SC111-2016-11/33</v>
          </cell>
          <cell r="S212">
            <v>0.85</v>
          </cell>
          <cell r="T212">
            <v>0.1</v>
          </cell>
          <cell r="U212">
            <v>0.05</v>
          </cell>
          <cell r="V212" t="str">
            <v>verejné</v>
          </cell>
          <cell r="W212">
            <v>591551.16</v>
          </cell>
          <cell r="X212">
            <v>502818.48</v>
          </cell>
          <cell r="Y212">
            <v>59155.12</v>
          </cell>
          <cell r="Z212">
            <v>561973.6</v>
          </cell>
          <cell r="AA212">
            <v>29577.56</v>
          </cell>
          <cell r="AB212">
            <v>591551.16</v>
          </cell>
          <cell r="AC212">
            <v>502818.48</v>
          </cell>
          <cell r="AD212">
            <v>59155.12</v>
          </cell>
          <cell r="AE212">
            <v>561973.6</v>
          </cell>
          <cell r="AF212">
            <v>29577.56</v>
          </cell>
          <cell r="AG212">
            <v>96806.28</v>
          </cell>
          <cell r="AH212">
            <v>82285.338000000003</v>
          </cell>
          <cell r="AI212">
            <v>9680.6280000000006</v>
          </cell>
          <cell r="AJ212">
            <v>91965.966</v>
          </cell>
          <cell r="AK212">
            <v>4840.3140000000003</v>
          </cell>
          <cell r="AL212">
            <v>38000</v>
          </cell>
          <cell r="AM212">
            <v>32300</v>
          </cell>
          <cell r="AN212">
            <v>3800</v>
          </cell>
          <cell r="AO212">
            <v>36100</v>
          </cell>
          <cell r="AP212">
            <v>1900</v>
          </cell>
          <cell r="AQ212">
            <v>38000</v>
          </cell>
          <cell r="AR212">
            <v>32300</v>
          </cell>
        </row>
        <row r="213">
          <cell r="A213" t="str">
            <v>310011C128</v>
          </cell>
          <cell r="B213">
            <v>1</v>
          </cell>
          <cell r="C213" t="str">
            <v>1.1.1</v>
          </cell>
          <cell r="D213" t="str">
            <v>OPKZP-PO1-SC111-2016-11</v>
          </cell>
          <cell r="E213" t="str">
            <v>odpady</v>
          </cell>
          <cell r="F213" t="str">
            <v>Obec Dolné Saliby</v>
          </cell>
          <cell r="G213" t="str">
            <v>Kompostáreň pre zhodnocovanie biologicky rozložiteľného komunálneho odpadu v obci Dolné Saliby</v>
          </cell>
          <cell r="H213" t="str">
            <v>017</v>
          </cell>
          <cell r="I213" t="str">
            <v>TT</v>
          </cell>
          <cell r="J213" t="str">
            <v>regionálny</v>
          </cell>
          <cell r="K213" t="str">
            <v>áno</v>
          </cell>
          <cell r="M213">
            <v>42879</v>
          </cell>
          <cell r="N213" t="str">
            <v>Realizácia</v>
          </cell>
          <cell r="P213" t="str">
            <v>https://www.crz.gov.sk/index.php?ID=2949259&amp;l=sk</v>
          </cell>
          <cell r="Q213" t="str">
            <v>https://crp.gov.sk/kompostaren-pre-zhodnocovanie-biologicky-rozlozitelneho-komunalneho-odpadu-v-obci-dolne-saliby/</v>
          </cell>
          <cell r="R213" t="str">
            <v>OPKZP-PO1-SC111-2016-11/34</v>
          </cell>
          <cell r="S213">
            <v>0.85</v>
          </cell>
          <cell r="T213">
            <v>0.1</v>
          </cell>
          <cell r="U213">
            <v>0.05</v>
          </cell>
          <cell r="V213" t="str">
            <v>verejné</v>
          </cell>
          <cell r="W213">
            <v>111536.36</v>
          </cell>
          <cell r="X213">
            <v>94805.9</v>
          </cell>
          <cell r="Y213">
            <v>11153.64</v>
          </cell>
          <cell r="Z213">
            <v>105959.54</v>
          </cell>
          <cell r="AA213">
            <v>5576.82</v>
          </cell>
          <cell r="AB213">
            <v>111536.36</v>
          </cell>
          <cell r="AC213">
            <v>94805.9</v>
          </cell>
          <cell r="AD213">
            <v>11153.64</v>
          </cell>
          <cell r="AE213">
            <v>105959.54</v>
          </cell>
          <cell r="AF213">
            <v>5576.82</v>
          </cell>
          <cell r="AJ213">
            <v>0</v>
          </cell>
          <cell r="AO213">
            <v>0</v>
          </cell>
          <cell r="AQ213">
            <v>0</v>
          </cell>
          <cell r="AR213">
            <v>0</v>
          </cell>
        </row>
        <row r="214">
          <cell r="A214" t="str">
            <v>310011C146</v>
          </cell>
          <cell r="B214">
            <v>1</v>
          </cell>
          <cell r="C214" t="str">
            <v>1.1.1</v>
          </cell>
          <cell r="D214" t="str">
            <v>OPKZP-PO1-SC111-2016-11</v>
          </cell>
          <cell r="E214" t="str">
            <v>odpady</v>
          </cell>
          <cell r="F214" t="str">
            <v>Obec Jastrabie nad Topľou</v>
          </cell>
          <cell r="G214" t="str">
            <v>Kompostáreň na zhodnocovanie biologicky rozložiteľného odpadu v obci Jastrabie nad Topľou</v>
          </cell>
          <cell r="H214" t="str">
            <v>017</v>
          </cell>
          <cell r="I214" t="str">
            <v>PO</v>
          </cell>
          <cell r="J214" t="str">
            <v>regionálny</v>
          </cell>
          <cell r="K214" t="str">
            <v>áno</v>
          </cell>
          <cell r="M214">
            <v>43013</v>
          </cell>
          <cell r="N214" t="str">
            <v>Aktivity nezačaté</v>
          </cell>
          <cell r="P214" t="str">
            <v>https://www.crz.gov.sk/index.php?ID=3124733&amp;l=sk</v>
          </cell>
          <cell r="Q214" t="str">
            <v>https://crp.gov.sk/opkzp-po1-sc111-2016-1135/</v>
          </cell>
          <cell r="R214" t="str">
            <v>OPKZP-PO1-SC111-2016-11/35</v>
          </cell>
          <cell r="S214">
            <v>0.85</v>
          </cell>
          <cell r="T214">
            <v>0.1</v>
          </cell>
          <cell r="U214">
            <v>0.05</v>
          </cell>
          <cell r="V214" t="str">
            <v>verejné</v>
          </cell>
          <cell r="W214">
            <v>186883.5</v>
          </cell>
          <cell r="X214">
            <v>158850.97</v>
          </cell>
          <cell r="Y214">
            <v>18688.349999999999</v>
          </cell>
          <cell r="Z214">
            <v>177539.32</v>
          </cell>
          <cell r="AA214">
            <v>9344.18</v>
          </cell>
          <cell r="AB214">
            <v>186883.5</v>
          </cell>
          <cell r="AC214">
            <v>158850.97</v>
          </cell>
          <cell r="AD214">
            <v>18688.349999999999</v>
          </cell>
          <cell r="AE214">
            <v>177539.32</v>
          </cell>
          <cell r="AF214">
            <v>9344.18</v>
          </cell>
        </row>
        <row r="215">
          <cell r="A215" t="str">
            <v>310011C156</v>
          </cell>
          <cell r="B215">
            <v>1</v>
          </cell>
          <cell r="C215" t="str">
            <v>1.1.1</v>
          </cell>
          <cell r="D215" t="str">
            <v>OPKZP-PO1-SC111-2016-11</v>
          </cell>
          <cell r="E215" t="str">
            <v>odpady</v>
          </cell>
          <cell r="F215" t="str">
            <v>Technické služby, príspevková organizácia mesta</v>
          </cell>
          <cell r="G215" t="str">
            <v>Vybudovanie zberného dvora v meste Bojnice</v>
          </cell>
          <cell r="H215" t="str">
            <v>017</v>
          </cell>
          <cell r="I215" t="str">
            <v>TN</v>
          </cell>
          <cell r="J215" t="str">
            <v>regionálny</v>
          </cell>
          <cell r="K215" t="str">
            <v>áno</v>
          </cell>
          <cell r="M215">
            <v>42871</v>
          </cell>
          <cell r="N215" t="str">
            <v>Mimoriadne ukončený</v>
          </cell>
          <cell r="O215">
            <v>43038</v>
          </cell>
          <cell r="P215" t="str">
            <v>https://www.crz.gov.sk/index.php?ID=2936705&amp;l=sk</v>
          </cell>
          <cell r="Q215" t="str">
            <v>https://crp.gov.sk/vybudovanie-zberneho-dvora-v-meste-bojnice/</v>
          </cell>
          <cell r="R215" t="str">
            <v>OPKZP-PO1-SC111-2016-11/36</v>
          </cell>
          <cell r="S215">
            <v>0.85</v>
          </cell>
          <cell r="T215">
            <v>0.1</v>
          </cell>
          <cell r="U215">
            <v>0.05</v>
          </cell>
          <cell r="V215" t="str">
            <v>verejné</v>
          </cell>
          <cell r="W215">
            <v>471958.48</v>
          </cell>
          <cell r="X215">
            <v>401164.71</v>
          </cell>
          <cell r="Y215">
            <v>47195.85</v>
          </cell>
          <cell r="Z215">
            <v>448360.56</v>
          </cell>
          <cell r="AA215">
            <v>23597.919999999998</v>
          </cell>
          <cell r="AB215">
            <v>471958.48</v>
          </cell>
          <cell r="AC215">
            <v>401164.71</v>
          </cell>
          <cell r="AD215">
            <v>47195.85</v>
          </cell>
          <cell r="AE215">
            <v>448360.56</v>
          </cell>
          <cell r="AF215">
            <v>23597.919999999998</v>
          </cell>
          <cell r="AJ215">
            <v>0</v>
          </cell>
          <cell r="AO215">
            <v>0</v>
          </cell>
          <cell r="AQ215">
            <v>0</v>
          </cell>
          <cell r="AR215">
            <v>0</v>
          </cell>
        </row>
        <row r="216">
          <cell r="A216" t="str">
            <v>310011C158</v>
          </cell>
          <cell r="B216">
            <v>1</v>
          </cell>
          <cell r="C216" t="str">
            <v>1.4.2</v>
          </cell>
          <cell r="D216" t="str">
            <v>OPKZP-PO1-SC142-2015-3</v>
          </cell>
          <cell r="E216" t="str">
            <v>odpady</v>
          </cell>
          <cell r="F216" t="str">
            <v>Ministerstvo životného prostredia SR</v>
          </cell>
          <cell r="G216" t="str">
            <v>Geologický prieskum vybraných pravdepodobných environmentálnych záťaží</v>
          </cell>
          <cell r="H216" t="str">
            <v>089</v>
          </cell>
          <cell r="I216" t="str">
            <v>všetky kraje</v>
          </cell>
          <cell r="J216" t="str">
            <v>nadregionálny</v>
          </cell>
          <cell r="K216" t="str">
            <v>áno</v>
          </cell>
          <cell r="M216">
            <v>42726</v>
          </cell>
          <cell r="N216" t="str">
            <v>Realizácia</v>
          </cell>
          <cell r="P216" t="str">
            <v>-</v>
          </cell>
          <cell r="Q216" t="str">
            <v>www.crp.gov.sk/geologicky-prieskum-vybranych-pravdepodobnych-environmentalnych-zatazi/</v>
          </cell>
          <cell r="R216" t="str">
            <v>OPKZP-PO1-SC142-2015-3/01</v>
          </cell>
          <cell r="S216">
            <v>0.85</v>
          </cell>
          <cell r="T216">
            <v>0.15</v>
          </cell>
          <cell r="U216">
            <v>0</v>
          </cell>
          <cell r="V216" t="str">
            <v>bez VZ</v>
          </cell>
          <cell r="W216">
            <v>9127293.620000001</v>
          </cell>
          <cell r="X216">
            <v>7758199.5800000001</v>
          </cell>
          <cell r="Y216">
            <v>1369094.04</v>
          </cell>
          <cell r="Z216">
            <v>9127293.620000001</v>
          </cell>
          <cell r="AA216">
            <v>0</v>
          </cell>
          <cell r="AB216">
            <v>9127293.620000001</v>
          </cell>
          <cell r="AC216">
            <v>7758199.5800000001</v>
          </cell>
          <cell r="AD216">
            <v>1369094.04</v>
          </cell>
          <cell r="AE216">
            <v>9127293.620000001</v>
          </cell>
          <cell r="AF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200000</v>
          </cell>
          <cell r="AM216">
            <v>170000</v>
          </cell>
          <cell r="AN216">
            <v>30000</v>
          </cell>
          <cell r="AO216">
            <v>200000</v>
          </cell>
          <cell r="AP216">
            <v>0</v>
          </cell>
          <cell r="AQ216">
            <v>0</v>
          </cell>
          <cell r="AR216">
            <v>0</v>
          </cell>
        </row>
        <row r="217">
          <cell r="A217" t="str">
            <v>310011C166</v>
          </cell>
          <cell r="B217">
            <v>1</v>
          </cell>
          <cell r="C217" t="str">
            <v>1.1.1</v>
          </cell>
          <cell r="D217" t="str">
            <v>OPKZP-PO1-SC111-2016-11</v>
          </cell>
          <cell r="E217" t="str">
            <v>odpady</v>
          </cell>
          <cell r="F217" t="str">
            <v>Združenie obcí Kľakovskej doliny</v>
          </cell>
          <cell r="G217" t="str">
            <v>Zhodnocovanie biologicky rozložiteľného komunálneho odpadu v Kľakovskej doline</v>
          </cell>
          <cell r="H217" t="str">
            <v>017</v>
          </cell>
          <cell r="I217" t="str">
            <v>BB</v>
          </cell>
          <cell r="J217" t="str">
            <v>regionálny</v>
          </cell>
          <cell r="K217" t="str">
            <v>áno</v>
          </cell>
          <cell r="M217">
            <v>42916</v>
          </cell>
          <cell r="N217" t="str">
            <v>Aktivity nezačaté</v>
          </cell>
          <cell r="P217" t="str">
            <v>https://www.crz.gov.sk/index.php?ID=3003135&amp;l=sk</v>
          </cell>
          <cell r="Q217" t="str">
            <v>https://crp.gov.sk/zhodnocovanie-biologicky-rozlozitelneho-komunalneho-odpadu-v-klakovskej-doline/</v>
          </cell>
          <cell r="R217" t="str">
            <v>OPKZP-PO1-SC111-2016-11/37</v>
          </cell>
          <cell r="S217">
            <v>0.85</v>
          </cell>
          <cell r="T217">
            <v>0.1</v>
          </cell>
          <cell r="U217">
            <v>0.05</v>
          </cell>
          <cell r="V217" t="str">
            <v>verejné</v>
          </cell>
          <cell r="W217">
            <v>521064</v>
          </cell>
          <cell r="X217">
            <v>442904.4</v>
          </cell>
          <cell r="Y217">
            <v>52106.400000000001</v>
          </cell>
          <cell r="Z217">
            <v>495010.80000000005</v>
          </cell>
          <cell r="AA217">
            <v>26053.200000000001</v>
          </cell>
          <cell r="AB217">
            <v>521064</v>
          </cell>
          <cell r="AC217">
            <v>442904.4</v>
          </cell>
          <cell r="AD217">
            <v>52106.400000000001</v>
          </cell>
          <cell r="AE217">
            <v>495010.80000000005</v>
          </cell>
          <cell r="AF217">
            <v>26053.200000000001</v>
          </cell>
          <cell r="AJ217">
            <v>0</v>
          </cell>
          <cell r="AO217">
            <v>0</v>
          </cell>
          <cell r="AQ217">
            <v>0</v>
          </cell>
          <cell r="AR217">
            <v>0</v>
          </cell>
        </row>
        <row r="218">
          <cell r="A218" t="str">
            <v>310011C168</v>
          </cell>
          <cell r="B218">
            <v>1</v>
          </cell>
          <cell r="C218" t="str">
            <v>1.1.1</v>
          </cell>
          <cell r="D218" t="str">
            <v>OPKZP-PO1-SC111-2016-11</v>
          </cell>
          <cell r="E218" t="str">
            <v>odpady</v>
          </cell>
          <cell r="F218" t="str">
            <v>TSM Dubnica nad Váhom, s.r.o.</v>
          </cell>
          <cell r="G218" t="str">
            <v>Zberný dvor, Dubnica nad Váhom</v>
          </cell>
          <cell r="H218" t="str">
            <v>017</v>
          </cell>
          <cell r="I218" t="str">
            <v>TN</v>
          </cell>
          <cell r="J218" t="str">
            <v>regionálny</v>
          </cell>
          <cell r="K218" t="str">
            <v>áno</v>
          </cell>
          <cell r="M218">
            <v>42878</v>
          </cell>
          <cell r="N218" t="str">
            <v>Aktivity nezačaté</v>
          </cell>
          <cell r="P218" t="str">
            <v>https://www.crz.gov.sk/index.php?ID=2946769&amp;l=sk</v>
          </cell>
          <cell r="Q218" t="str">
            <v>https://crp.gov.sk/zberny-dvor-dubnica-nad-vahom/</v>
          </cell>
          <cell r="R218" t="str">
            <v>OPKZP-PO1-SC111-2016-11/38</v>
          </cell>
          <cell r="S218">
            <v>0.85</v>
          </cell>
          <cell r="T218">
            <v>0.1</v>
          </cell>
          <cell r="U218">
            <v>0.05</v>
          </cell>
          <cell r="V218" t="str">
            <v>súkromné</v>
          </cell>
          <cell r="W218">
            <v>1554421.01</v>
          </cell>
          <cell r="X218">
            <v>1321257.8600000001</v>
          </cell>
          <cell r="Y218">
            <v>155442.1</v>
          </cell>
          <cell r="Z218">
            <v>1476699.9600000002</v>
          </cell>
          <cell r="AA218">
            <v>77721.05</v>
          </cell>
          <cell r="AB218">
            <v>1554421.01</v>
          </cell>
          <cell r="AC218">
            <v>1321257.8600000001</v>
          </cell>
          <cell r="AD218">
            <v>155442.1</v>
          </cell>
          <cell r="AE218">
            <v>1476699.9600000002</v>
          </cell>
          <cell r="AF218">
            <v>77721.05</v>
          </cell>
          <cell r="AJ218">
            <v>0</v>
          </cell>
          <cell r="AO218">
            <v>0</v>
          </cell>
          <cell r="AQ218">
            <v>0</v>
          </cell>
          <cell r="AR218">
            <v>0</v>
          </cell>
        </row>
        <row r="219">
          <cell r="A219" t="str">
            <v>310011C169</v>
          </cell>
          <cell r="B219">
            <v>1</v>
          </cell>
          <cell r="C219" t="str">
            <v>1.1.1</v>
          </cell>
          <cell r="D219" t="str">
            <v>OPKZP-PO1-SC111-2016-11</v>
          </cell>
          <cell r="E219" t="str">
            <v>odpady</v>
          </cell>
          <cell r="F219" t="str">
            <v>Podnik služieb Opatovce nad Nitrou, s. r. o.</v>
          </cell>
          <cell r="G219" t="str">
            <v>Vybudovanie zberného dvora v obci Opatovce nad Nitrou</v>
          </cell>
          <cell r="H219" t="str">
            <v>017</v>
          </cell>
          <cell r="I219" t="str">
            <v>TN</v>
          </cell>
          <cell r="J219" t="str">
            <v>regionálny</v>
          </cell>
          <cell r="K219" t="str">
            <v>áno</v>
          </cell>
          <cell r="M219">
            <v>42878</v>
          </cell>
          <cell r="N219" t="str">
            <v>Realizácia</v>
          </cell>
          <cell r="P219" t="str">
            <v>https://www.crz.gov.sk/index.php?ID=2946332&amp;l=sk</v>
          </cell>
          <cell r="Q219" t="str">
            <v>https://crp.gov.sk/vybudovanie-zberneho-dvora-v-obci-opatovce-nad-nitrou/</v>
          </cell>
          <cell r="R219" t="str">
            <v>OPKZP-PO1-SC111-2016-11/39</v>
          </cell>
          <cell r="S219">
            <v>0.85</v>
          </cell>
          <cell r="T219">
            <v>0.1</v>
          </cell>
          <cell r="U219">
            <v>0.05</v>
          </cell>
          <cell r="V219" t="str">
            <v>súkromné</v>
          </cell>
          <cell r="W219">
            <v>1182000.97</v>
          </cell>
          <cell r="X219">
            <v>1004700.82</v>
          </cell>
          <cell r="Y219">
            <v>118200.1</v>
          </cell>
          <cell r="Z219">
            <v>1122900.92</v>
          </cell>
          <cell r="AA219">
            <v>59100.05</v>
          </cell>
          <cell r="AB219">
            <v>1182000.97</v>
          </cell>
          <cell r="AC219">
            <v>1004700.82</v>
          </cell>
          <cell r="AD219">
            <v>118200.1</v>
          </cell>
          <cell r="AE219">
            <v>1122900.92</v>
          </cell>
          <cell r="AF219">
            <v>59100.05</v>
          </cell>
          <cell r="AJ219">
            <v>0</v>
          </cell>
          <cell r="AO219">
            <v>0</v>
          </cell>
          <cell r="AQ219">
            <v>0</v>
          </cell>
          <cell r="AR219">
            <v>0</v>
          </cell>
        </row>
        <row r="220">
          <cell r="A220" t="str">
            <v>310011C174</v>
          </cell>
          <cell r="B220">
            <v>1</v>
          </cell>
          <cell r="C220" t="str">
            <v>1.1.1</v>
          </cell>
          <cell r="D220" t="str">
            <v>OPKZP-PO1-SC111-2016-11</v>
          </cell>
          <cell r="E220" t="str">
            <v>odpady</v>
          </cell>
          <cell r="F220" t="str">
            <v>Mestský podnik služieb Turzovka</v>
          </cell>
          <cell r="G220" t="str">
            <v>Podpora triedeného zberu KO, Turzovka</v>
          </cell>
          <cell r="H220" t="str">
            <v>017</v>
          </cell>
          <cell r="I220" t="str">
            <v>ZA</v>
          </cell>
          <cell r="J220" t="str">
            <v>regionálny</v>
          </cell>
          <cell r="K220" t="str">
            <v>áno</v>
          </cell>
          <cell r="M220">
            <v>42880</v>
          </cell>
          <cell r="N220" t="str">
            <v>Realizácia</v>
          </cell>
          <cell r="P220" t="str">
            <v>https://www.crz.gov.sk/index.php?ID=2951424&amp;l=sk</v>
          </cell>
          <cell r="Q220" t="str">
            <v>https://crp.gov.sk/podpora-triedeneho-zberu-ko-turzovka/</v>
          </cell>
          <cell r="R220" t="str">
            <v>OPKZP-PO1-SC111-2016-11/40</v>
          </cell>
          <cell r="S220">
            <v>0.85</v>
          </cell>
          <cell r="T220">
            <v>0.1</v>
          </cell>
          <cell r="U220">
            <v>0.05</v>
          </cell>
          <cell r="V220" t="str">
            <v>verejné</v>
          </cell>
          <cell r="W220">
            <v>213164</v>
          </cell>
          <cell r="X220">
            <v>181189.4</v>
          </cell>
          <cell r="Y220">
            <v>21316.400000000001</v>
          </cell>
          <cell r="Z220">
            <v>202505.8</v>
          </cell>
          <cell r="AA220">
            <v>10658.2</v>
          </cell>
          <cell r="AB220">
            <v>213164</v>
          </cell>
          <cell r="AC220">
            <v>181189.4</v>
          </cell>
          <cell r="AD220">
            <v>21316.400000000001</v>
          </cell>
          <cell r="AE220">
            <v>202505.8</v>
          </cell>
          <cell r="AF220">
            <v>10658.2</v>
          </cell>
          <cell r="AJ220">
            <v>0</v>
          </cell>
          <cell r="AO220">
            <v>0</v>
          </cell>
          <cell r="AQ220">
            <v>0</v>
          </cell>
          <cell r="AR220">
            <v>0</v>
          </cell>
        </row>
        <row r="221">
          <cell r="A221" t="str">
            <v>310011C176</v>
          </cell>
          <cell r="B221">
            <v>1</v>
          </cell>
          <cell r="C221" t="str">
            <v>1.1.1</v>
          </cell>
          <cell r="D221" t="str">
            <v>OPKZP-PO1-SC111-2016-11</v>
          </cell>
          <cell r="E221" t="str">
            <v>odpady</v>
          </cell>
          <cell r="F221" t="str">
            <v>Obec Cerovo</v>
          </cell>
          <cell r="G221" t="str">
            <v>Kompostáreň - Bioodpad</v>
          </cell>
          <cell r="H221" t="str">
            <v>017</v>
          </cell>
          <cell r="I221" t="str">
            <v>BB</v>
          </cell>
          <cell r="J221" t="str">
            <v>regionálny</v>
          </cell>
          <cell r="K221" t="str">
            <v>áno</v>
          </cell>
          <cell r="M221">
            <v>42879</v>
          </cell>
          <cell r="N221" t="str">
            <v>Realizácia</v>
          </cell>
          <cell r="P221" t="str">
            <v>https://www.crz.gov.sk/index.php?ID=2949304&amp;l=sk</v>
          </cell>
          <cell r="Q221" t="str">
            <v>https://crp.gov.sk/kompostaren-bioodpad/</v>
          </cell>
          <cell r="R221" t="str">
            <v>OPKZP-PO1-SC111-2016-11/41</v>
          </cell>
          <cell r="S221">
            <v>0.85</v>
          </cell>
          <cell r="T221">
            <v>0.1</v>
          </cell>
          <cell r="U221">
            <v>0.05</v>
          </cell>
          <cell r="V221" t="str">
            <v>verejné</v>
          </cell>
          <cell r="W221">
            <v>110738.49</v>
          </cell>
          <cell r="X221">
            <v>94127.72</v>
          </cell>
          <cell r="Y221">
            <v>11073.85</v>
          </cell>
          <cell r="Z221">
            <v>105201.57</v>
          </cell>
          <cell r="AA221">
            <v>5536.92</v>
          </cell>
          <cell r="AB221">
            <v>110738.49</v>
          </cell>
          <cell r="AC221">
            <v>94127.72</v>
          </cell>
          <cell r="AD221">
            <v>11073.85</v>
          </cell>
          <cell r="AE221">
            <v>105201.57</v>
          </cell>
          <cell r="AF221">
            <v>5536.92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55000</v>
          </cell>
          <cell r="AM221">
            <v>46750</v>
          </cell>
          <cell r="AN221">
            <v>5500</v>
          </cell>
          <cell r="AO221">
            <v>52250</v>
          </cell>
          <cell r="AP221">
            <v>2750</v>
          </cell>
          <cell r="AQ221">
            <v>55000</v>
          </cell>
          <cell r="AR221">
            <v>46750</v>
          </cell>
        </row>
        <row r="222">
          <cell r="A222" t="str">
            <v>310011C191</v>
          </cell>
          <cell r="B222">
            <v>1</v>
          </cell>
          <cell r="C222" t="str">
            <v>1.1.1</v>
          </cell>
          <cell r="D222" t="str">
            <v>OPKZP-PO1-SC111-2016-11</v>
          </cell>
          <cell r="E222" t="str">
            <v>odpady</v>
          </cell>
          <cell r="F222" t="str">
            <v>Mesto Prievidza</v>
          </cell>
          <cell r="G222" t="str">
            <v>Zhodnocovanie biologicky rozložiteľného odpadu v Prievidzi</v>
          </cell>
          <cell r="H222" t="str">
            <v>017</v>
          </cell>
          <cell r="I222" t="str">
            <v>TN</v>
          </cell>
          <cell r="J222" t="str">
            <v>regionálny</v>
          </cell>
          <cell r="K222" t="str">
            <v>áno</v>
          </cell>
          <cell r="M222">
            <v>42879</v>
          </cell>
          <cell r="N222" t="str">
            <v>Aktivity nezačaté</v>
          </cell>
          <cell r="P222" t="str">
            <v>https://www.crz.gov.sk/index.php?ID=2948600&amp;l=sk</v>
          </cell>
          <cell r="Q222" t="str">
            <v>https://crp.gov.sk/zhodnocovanie-biologicky-rozlozitelneho-odpadu-v-prievidzi/</v>
          </cell>
          <cell r="R222" t="str">
            <v>OPKZP-PO1-SC111-2016-11/42</v>
          </cell>
          <cell r="S222">
            <v>0.85</v>
          </cell>
          <cell r="T222">
            <v>0.1</v>
          </cell>
          <cell r="U222">
            <v>0.05</v>
          </cell>
          <cell r="V222" t="str">
            <v>verejné</v>
          </cell>
          <cell r="W222">
            <v>2452802.4</v>
          </cell>
          <cell r="X222">
            <v>2084882.04</v>
          </cell>
          <cell r="Y222">
            <v>245280.24</v>
          </cell>
          <cell r="Z222">
            <v>2330162.2800000003</v>
          </cell>
          <cell r="AA222">
            <v>122640.12</v>
          </cell>
          <cell r="AB222">
            <v>2452802.4</v>
          </cell>
          <cell r="AC222">
            <v>2084882.04</v>
          </cell>
          <cell r="AD222">
            <v>245280.24</v>
          </cell>
          <cell r="AE222">
            <v>2330162.2800000003</v>
          </cell>
          <cell r="AF222">
            <v>122640.12</v>
          </cell>
          <cell r="AJ222">
            <v>0</v>
          </cell>
          <cell r="AO222">
            <v>0</v>
          </cell>
          <cell r="AQ222">
            <v>0</v>
          </cell>
          <cell r="AR222">
            <v>0</v>
          </cell>
        </row>
        <row r="223">
          <cell r="A223" t="str">
            <v>310011C193</v>
          </cell>
          <cell r="B223">
            <v>1</v>
          </cell>
          <cell r="C223" t="str">
            <v>1.1.1</v>
          </cell>
          <cell r="D223" t="str">
            <v>OPKZP-PO1-SC111-2016-11</v>
          </cell>
          <cell r="E223" t="str">
            <v>odpady</v>
          </cell>
          <cell r="F223" t="str">
            <v>Mesto Piešťany</v>
          </cell>
          <cell r="G223" t="str">
            <v>Vybudovanie kompostárne v meste Piešťany</v>
          </cell>
          <cell r="H223" t="str">
            <v>017</v>
          </cell>
          <cell r="I223" t="str">
            <v>TT</v>
          </cell>
          <cell r="J223" t="str">
            <v>regionálny</v>
          </cell>
          <cell r="K223" t="str">
            <v>áno</v>
          </cell>
          <cell r="M223">
            <v>42868</v>
          </cell>
          <cell r="N223" t="str">
            <v>Realizácia</v>
          </cell>
          <cell r="P223" t="str">
            <v>https://www.crz.gov.sk/index.php?ID=2935544&amp;l=sk</v>
          </cell>
          <cell r="Q223" t="str">
            <v>https://crp.gov.sk/vybudovanie-kompostarne-v-meste-piestany/</v>
          </cell>
          <cell r="R223" t="str">
            <v>OPKZP-PO1-SC111-2016-11/43</v>
          </cell>
          <cell r="S223">
            <v>0.85</v>
          </cell>
          <cell r="T223">
            <v>0.1</v>
          </cell>
          <cell r="U223">
            <v>0.05</v>
          </cell>
          <cell r="V223" t="str">
            <v>verejné</v>
          </cell>
          <cell r="W223">
            <v>1707856.71</v>
          </cell>
          <cell r="X223">
            <v>1451678.2</v>
          </cell>
          <cell r="Y223">
            <v>170785.67</v>
          </cell>
          <cell r="Z223">
            <v>1622463.8699999999</v>
          </cell>
          <cell r="AA223">
            <v>85392.84</v>
          </cell>
          <cell r="AB223">
            <v>1707856.71</v>
          </cell>
          <cell r="AC223">
            <v>1451678.2</v>
          </cell>
          <cell r="AD223">
            <v>170785.67</v>
          </cell>
          <cell r="AE223">
            <v>1622463.8699999999</v>
          </cell>
          <cell r="AF223">
            <v>85392.84</v>
          </cell>
          <cell r="AJ223">
            <v>0</v>
          </cell>
          <cell r="AO223">
            <v>0</v>
          </cell>
          <cell r="AQ223">
            <v>0</v>
          </cell>
          <cell r="AR223">
            <v>0</v>
          </cell>
        </row>
        <row r="224">
          <cell r="A224" t="str">
            <v>310011C195</v>
          </cell>
          <cell r="B224">
            <v>1</v>
          </cell>
          <cell r="C224" t="str">
            <v>1.1.1</v>
          </cell>
          <cell r="D224" t="str">
            <v>OPKZP-PO1-SC111-2016-11</v>
          </cell>
          <cell r="E224" t="str">
            <v>odpady</v>
          </cell>
          <cell r="F224" t="str">
            <v>Obec Brehy</v>
          </cell>
          <cell r="G224" t="str">
            <v>Zhodnocovanie biologicky rozložiteľného komunálneho odpadu v obci Brehy</v>
          </cell>
          <cell r="H224" t="str">
            <v>017</v>
          </cell>
          <cell r="I224" t="str">
            <v>BB</v>
          </cell>
          <cell r="J224" t="str">
            <v>regionálny</v>
          </cell>
          <cell r="K224" t="str">
            <v>áno</v>
          </cell>
          <cell r="M224">
            <v>42882</v>
          </cell>
          <cell r="N224" t="str">
            <v>Aktivity nezačaté</v>
          </cell>
          <cell r="P224" t="str">
            <v>https://www.crz.gov.sk/index.php?ID=2955556&amp;l=sk</v>
          </cell>
          <cell r="Q224" t="str">
            <v>https://crp.gov.sk/zhodnocovanie-biologicky-rozlozitelneho-komunalneho-odpadu-v-obci-brehy/</v>
          </cell>
          <cell r="R224" t="str">
            <v>OPKZP-PO1-SC111-2016-11/44</v>
          </cell>
          <cell r="S224">
            <v>0.85</v>
          </cell>
          <cell r="T224">
            <v>0.1</v>
          </cell>
          <cell r="U224">
            <v>0.05</v>
          </cell>
          <cell r="V224" t="str">
            <v>verejné</v>
          </cell>
          <cell r="W224">
            <v>481752</v>
          </cell>
          <cell r="X224">
            <v>409489.2</v>
          </cell>
          <cell r="Y224">
            <v>48175.199999999997</v>
          </cell>
          <cell r="Z224">
            <v>457664.4</v>
          </cell>
          <cell r="AA224">
            <v>24087.599999999999</v>
          </cell>
          <cell r="AB224">
            <v>481752</v>
          </cell>
          <cell r="AC224">
            <v>409489.2</v>
          </cell>
          <cell r="AD224">
            <v>48175.199999999997</v>
          </cell>
          <cell r="AE224">
            <v>457664.4</v>
          </cell>
          <cell r="AF224">
            <v>24087.599999999999</v>
          </cell>
          <cell r="AJ224">
            <v>0</v>
          </cell>
          <cell r="AO224">
            <v>0</v>
          </cell>
          <cell r="AQ224">
            <v>0</v>
          </cell>
          <cell r="AR224">
            <v>0</v>
          </cell>
        </row>
        <row r="225">
          <cell r="A225" t="str">
            <v>310011C199</v>
          </cell>
          <cell r="B225">
            <v>1</v>
          </cell>
          <cell r="C225" t="str">
            <v>1.1.1</v>
          </cell>
          <cell r="D225" t="str">
            <v>OPKZP-PO1-SC111-2016-11</v>
          </cell>
          <cell r="E225" t="str">
            <v>odpady</v>
          </cell>
          <cell r="F225" t="str">
            <v>Obec Kálnica</v>
          </cell>
          <cell r="G225" t="str">
            <v>Zhodnocovanie biologicky rozložiteľného komunálneho odpadu v obci Kálnica</v>
          </cell>
          <cell r="H225" t="str">
            <v>017</v>
          </cell>
          <cell r="I225" t="str">
            <v>TN</v>
          </cell>
          <cell r="J225" t="str">
            <v>regionálny</v>
          </cell>
          <cell r="K225" t="str">
            <v>áno</v>
          </cell>
          <cell r="M225">
            <v>42879</v>
          </cell>
          <cell r="N225" t="str">
            <v>Aktivity nezačaté</v>
          </cell>
          <cell r="P225" t="str">
            <v>https://www.crz.gov.sk/index.php?ID=2949356&amp;l=sk</v>
          </cell>
          <cell r="Q225" t="str">
            <v>https://crp.gov.sk/zhodnocovanie-biologicky-rozlozitelneho-komunalneho-odpadu-v-obci-kalnica/</v>
          </cell>
          <cell r="R225" t="str">
            <v>OPKZP-PO1-SC111-2016-11/45</v>
          </cell>
          <cell r="S225">
            <v>0.85</v>
          </cell>
          <cell r="T225">
            <v>0.1</v>
          </cell>
          <cell r="U225">
            <v>0.05</v>
          </cell>
          <cell r="V225" t="str">
            <v>verejné</v>
          </cell>
          <cell r="W225">
            <v>267140</v>
          </cell>
          <cell r="X225">
            <v>227069</v>
          </cell>
          <cell r="Y225">
            <v>26714</v>
          </cell>
          <cell r="Z225">
            <v>253783</v>
          </cell>
          <cell r="AA225">
            <v>13357</v>
          </cell>
          <cell r="AB225">
            <v>267140</v>
          </cell>
          <cell r="AC225">
            <v>227069</v>
          </cell>
          <cell r="AD225">
            <v>26714</v>
          </cell>
          <cell r="AE225">
            <v>253783</v>
          </cell>
          <cell r="AF225">
            <v>13357</v>
          </cell>
          <cell r="AJ225">
            <v>0</v>
          </cell>
          <cell r="AO225">
            <v>0</v>
          </cell>
          <cell r="AQ225">
            <v>0</v>
          </cell>
          <cell r="AR225">
            <v>0</v>
          </cell>
        </row>
        <row r="226">
          <cell r="A226" t="str">
            <v>310011C204</v>
          </cell>
          <cell r="B226">
            <v>1</v>
          </cell>
          <cell r="C226" t="str">
            <v>1.1.1</v>
          </cell>
          <cell r="D226" t="str">
            <v>OPKZP-PO1-SC111-2016-11</v>
          </cell>
          <cell r="E226" t="str">
            <v>odpady</v>
          </cell>
          <cell r="F226" t="str">
            <v>Obec Bajany</v>
          </cell>
          <cell r="G226" t="str">
            <v>Kompostáreň na zhodnocovanie biologicky rozložiteľného odpadu v obci Bajany</v>
          </cell>
          <cell r="H226" t="str">
            <v>017</v>
          </cell>
          <cell r="I226" t="str">
            <v>KE</v>
          </cell>
          <cell r="J226" t="str">
            <v>regionálny</v>
          </cell>
          <cell r="K226" t="str">
            <v>áno</v>
          </cell>
          <cell r="M226">
            <v>43014</v>
          </cell>
          <cell r="N226" t="str">
            <v>Realizácia</v>
          </cell>
          <cell r="P226" t="str">
            <v>https://www.crz.gov.sk/index.php?ID=3126398&amp;l=sk</v>
          </cell>
          <cell r="Q226" t="str">
            <v>https://crp.gov.sk/opkzp-po1-sc111-2016-1146/</v>
          </cell>
          <cell r="R226" t="str">
            <v>OPKZP-PO1-SC111-2016-11/46</v>
          </cell>
          <cell r="S226">
            <v>0.85</v>
          </cell>
          <cell r="T226">
            <v>0.1</v>
          </cell>
          <cell r="U226">
            <v>0.05</v>
          </cell>
          <cell r="V226" t="str">
            <v>verejné</v>
          </cell>
          <cell r="W226">
            <v>187138.25</v>
          </cell>
          <cell r="X226">
            <v>159067.51</v>
          </cell>
          <cell r="Y226">
            <v>18713.830000000002</v>
          </cell>
          <cell r="Z226">
            <v>177781.34000000003</v>
          </cell>
          <cell r="AA226">
            <v>9356.91</v>
          </cell>
          <cell r="AB226">
            <v>187138.25</v>
          </cell>
          <cell r="AC226">
            <v>159067.51</v>
          </cell>
          <cell r="AD226">
            <v>18713.830000000002</v>
          </cell>
          <cell r="AE226">
            <v>177781.34000000003</v>
          </cell>
          <cell r="AF226">
            <v>9356.91</v>
          </cell>
          <cell r="AJ226">
            <v>0</v>
          </cell>
          <cell r="AO226">
            <v>0</v>
          </cell>
          <cell r="AQ226">
            <v>0</v>
          </cell>
          <cell r="AR226">
            <v>0</v>
          </cell>
        </row>
        <row r="227">
          <cell r="A227" t="str">
            <v>310011C209</v>
          </cell>
          <cell r="B227">
            <v>1</v>
          </cell>
          <cell r="C227" t="str">
            <v>1.1.1</v>
          </cell>
          <cell r="D227" t="str">
            <v>OPKZP-PO1-SC111-2016-11</v>
          </cell>
          <cell r="E227" t="str">
            <v>odpady</v>
          </cell>
          <cell r="F227" t="str">
            <v>Technické služby Obce Bošany s.r.o.</v>
          </cell>
          <cell r="G227" t="str">
            <v>Vybudovanie zberného dvora a rozšírenie triedeného zberu odpadu v Bošanoch</v>
          </cell>
          <cell r="H227" t="str">
            <v>017</v>
          </cell>
          <cell r="I227" t="str">
            <v>TN</v>
          </cell>
          <cell r="J227" t="str">
            <v>regionálny</v>
          </cell>
          <cell r="K227" t="str">
            <v>áno</v>
          </cell>
          <cell r="M227">
            <v>42867</v>
          </cell>
          <cell r="N227" t="str">
            <v>Aktivity nezačaté</v>
          </cell>
          <cell r="P227" t="str">
            <v>https://www.crz.gov.sk/index.php?ID=2934858&amp;l=sk</v>
          </cell>
          <cell r="Q227" t="str">
            <v>https://crp.gov.sk/vybudovanie-zberneho-dvora-a-rozsirenie-triedeneho-zberu-odpadu-v-bosanoch/</v>
          </cell>
          <cell r="R227" t="str">
            <v>OPKZP-PO1-SC111-2016-11/47</v>
          </cell>
          <cell r="S227">
            <v>0.85</v>
          </cell>
          <cell r="T227">
            <v>0.1</v>
          </cell>
          <cell r="U227">
            <v>0.05</v>
          </cell>
          <cell r="V227" t="str">
            <v>súkromné</v>
          </cell>
          <cell r="W227">
            <v>559365.47</v>
          </cell>
          <cell r="X227">
            <v>475460.65</v>
          </cell>
          <cell r="Y227">
            <v>55936.55</v>
          </cell>
          <cell r="Z227">
            <v>531397.20000000007</v>
          </cell>
          <cell r="AA227">
            <v>27968.27</v>
          </cell>
          <cell r="AB227">
            <v>559365.47</v>
          </cell>
          <cell r="AC227">
            <v>475460.65</v>
          </cell>
          <cell r="AD227">
            <v>55936.55</v>
          </cell>
          <cell r="AE227">
            <v>531397.20000000007</v>
          </cell>
          <cell r="AF227">
            <v>27968.27</v>
          </cell>
          <cell r="AJ227">
            <v>0</v>
          </cell>
          <cell r="AO227">
            <v>0</v>
          </cell>
          <cell r="AQ227">
            <v>0</v>
          </cell>
          <cell r="AR227">
            <v>0</v>
          </cell>
        </row>
        <row r="228">
          <cell r="A228" t="str">
            <v>310011C210</v>
          </cell>
          <cell r="B228">
            <v>1</v>
          </cell>
          <cell r="C228" t="str">
            <v>1.1.1</v>
          </cell>
          <cell r="D228" t="str">
            <v>OPKZP-PO1-SC111-2016-11</v>
          </cell>
          <cell r="E228" t="str">
            <v>odpady</v>
          </cell>
          <cell r="F228" t="str">
            <v>Mesto Topoľčany</v>
          </cell>
          <cell r="G228" t="str">
            <v>Rozšírenie a intenzifikácia prevádzky kompostárne bioodpadov mesta Topoľčany</v>
          </cell>
          <cell r="H228" t="str">
            <v>017</v>
          </cell>
          <cell r="I228" t="str">
            <v>NR</v>
          </cell>
          <cell r="J228" t="str">
            <v>regionálny</v>
          </cell>
          <cell r="K228" t="str">
            <v>áno</v>
          </cell>
          <cell r="M228">
            <v>42867</v>
          </cell>
          <cell r="N228" t="str">
            <v>Realizácia</v>
          </cell>
          <cell r="P228" t="str">
            <v>https://www.crz.gov.sk/index.php?ID=2934818&amp;l=sk</v>
          </cell>
          <cell r="Q228" t="str">
            <v>https://crp.gov.sk/rozsirenie-a-intenzifikacia-prevadzky-kompostarne-bioodpadov-mesta-topolcany/</v>
          </cell>
          <cell r="R228" t="str">
            <v>OPKZP-PO1-SC111-2016-11/48</v>
          </cell>
          <cell r="S228">
            <v>0.85</v>
          </cell>
          <cell r="T228">
            <v>0.1</v>
          </cell>
          <cell r="U228">
            <v>0.05</v>
          </cell>
          <cell r="V228" t="str">
            <v>verejné</v>
          </cell>
          <cell r="W228">
            <v>1294929.55</v>
          </cell>
          <cell r="X228">
            <v>1100690.1100000001</v>
          </cell>
          <cell r="Y228">
            <v>129492.96</v>
          </cell>
          <cell r="Z228">
            <v>1230183.07</v>
          </cell>
          <cell r="AA228">
            <v>64746.48</v>
          </cell>
          <cell r="AB228">
            <v>1294929.55</v>
          </cell>
          <cell r="AC228">
            <v>1100690.1100000001</v>
          </cell>
          <cell r="AD228">
            <v>129492.96</v>
          </cell>
          <cell r="AE228">
            <v>1230183.07</v>
          </cell>
          <cell r="AF228">
            <v>64746.48</v>
          </cell>
          <cell r="AJ228">
            <v>0</v>
          </cell>
          <cell r="AO228">
            <v>0</v>
          </cell>
          <cell r="AQ228">
            <v>0</v>
          </cell>
          <cell r="AR228">
            <v>0</v>
          </cell>
        </row>
        <row r="229">
          <cell r="A229" t="str">
            <v>310011C213</v>
          </cell>
          <cell r="B229">
            <v>1</v>
          </cell>
          <cell r="C229" t="str">
            <v>1.1.1</v>
          </cell>
          <cell r="D229" t="str">
            <v>OPKZP-PO1-SC111-2016-11</v>
          </cell>
          <cell r="E229" t="str">
            <v>odpady</v>
          </cell>
          <cell r="F229" t="str">
            <v>Mesto Hanušovce nad Topľou</v>
          </cell>
          <cell r="G229" t="str">
            <v>Kompostáreň na zhodnocovanie biologicky rozložiteľného odpadu v meste Hanušovce nad Topľou</v>
          </cell>
          <cell r="H229" t="str">
            <v>017</v>
          </cell>
          <cell r="I229" t="str">
            <v>PO</v>
          </cell>
          <cell r="J229" t="str">
            <v>regionálny</v>
          </cell>
          <cell r="K229" t="str">
            <v>áno</v>
          </cell>
          <cell r="M229">
            <v>42867</v>
          </cell>
          <cell r="N229" t="str">
            <v>Realizácia</v>
          </cell>
          <cell r="P229" t="str">
            <v>https://www.crz.gov.sk/index.php?ID=2934775&amp;l=sk</v>
          </cell>
          <cell r="Q229" t="str">
            <v>https://crp.gov.sk/kompostaren-na-zhodnocovanie-biologicky-rozlozitelneho-odpadu-v-meste-hanusovce-nad-toplou/</v>
          </cell>
          <cell r="R229" t="str">
            <v>OPKZP-PO1-SC111-2016-11/49</v>
          </cell>
          <cell r="S229">
            <v>0.85</v>
          </cell>
          <cell r="T229">
            <v>0.1</v>
          </cell>
          <cell r="U229">
            <v>0.05</v>
          </cell>
          <cell r="V229" t="str">
            <v>verejné</v>
          </cell>
          <cell r="W229">
            <v>172628.58</v>
          </cell>
          <cell r="X229">
            <v>146734.29</v>
          </cell>
          <cell r="Y229">
            <v>17262.86</v>
          </cell>
          <cell r="Z229">
            <v>163997.15000000002</v>
          </cell>
          <cell r="AA229">
            <v>8631.43</v>
          </cell>
          <cell r="AB229">
            <v>172628.58</v>
          </cell>
          <cell r="AC229">
            <v>146734.29</v>
          </cell>
          <cell r="AD229">
            <v>17262.86</v>
          </cell>
          <cell r="AE229">
            <v>163997.15000000002</v>
          </cell>
          <cell r="AF229">
            <v>8631.43</v>
          </cell>
          <cell r="AJ229">
            <v>0</v>
          </cell>
          <cell r="AO229">
            <v>0</v>
          </cell>
          <cell r="AQ229">
            <v>0</v>
          </cell>
          <cell r="AR229">
            <v>0</v>
          </cell>
        </row>
        <row r="230">
          <cell r="A230" t="str">
            <v>310011C215</v>
          </cell>
          <cell r="B230">
            <v>1</v>
          </cell>
          <cell r="C230" t="str">
            <v>1.1.1</v>
          </cell>
          <cell r="D230" t="str">
            <v>OPKZP-PO1-SC111-2016-11</v>
          </cell>
          <cell r="E230" t="str">
            <v>odpady</v>
          </cell>
          <cell r="F230" t="str">
            <v>Obec Lužianky</v>
          </cell>
          <cell r="G230" t="str">
            <v>Zhodnocovanie biologicky rozložiteľného komunálneho odpadu obce Lužianky</v>
          </cell>
          <cell r="H230" t="str">
            <v>017</v>
          </cell>
          <cell r="I230" t="str">
            <v>NR</v>
          </cell>
          <cell r="J230" t="str">
            <v>regionálny</v>
          </cell>
          <cell r="K230" t="str">
            <v>áno</v>
          </cell>
          <cell r="M230">
            <v>42867</v>
          </cell>
          <cell r="N230" t="str">
            <v>Aktivity nezačaté</v>
          </cell>
          <cell r="P230" t="str">
            <v>https://www.crz.gov.sk/index.php?ID=2934877&amp;l=sk</v>
          </cell>
          <cell r="Q230" t="str">
            <v>https://crp.gov.sk/zhodnotenie-biologicky-rozlozitelneho-komunalneho-odpadu-obce-luzianky/</v>
          </cell>
          <cell r="R230" t="str">
            <v>OPKZP-PO1-SC111-2016-11/50</v>
          </cell>
          <cell r="S230">
            <v>0.85</v>
          </cell>
          <cell r="T230">
            <v>0.1</v>
          </cell>
          <cell r="U230">
            <v>0.05</v>
          </cell>
          <cell r="V230" t="str">
            <v>verejné</v>
          </cell>
          <cell r="W230">
            <v>344843.44</v>
          </cell>
          <cell r="X230">
            <v>293116.92</v>
          </cell>
          <cell r="Y230">
            <v>34484.35</v>
          </cell>
          <cell r="Z230">
            <v>327601.26999999996</v>
          </cell>
          <cell r="AA230">
            <v>17242.169999999998</v>
          </cell>
          <cell r="AB230">
            <v>344843.44</v>
          </cell>
          <cell r="AC230">
            <v>293116.92</v>
          </cell>
          <cell r="AD230">
            <v>34484.35</v>
          </cell>
          <cell r="AE230">
            <v>327601.26999999996</v>
          </cell>
          <cell r="AF230">
            <v>17242.169999999998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28682.240000000002</v>
          </cell>
          <cell r="AM230">
            <v>24379.9</v>
          </cell>
          <cell r="AN230">
            <v>2868.23</v>
          </cell>
          <cell r="AO230">
            <v>27248.13</v>
          </cell>
          <cell r="AP230">
            <v>1434.11</v>
          </cell>
          <cell r="AQ230">
            <v>0</v>
          </cell>
          <cell r="AR230">
            <v>0</v>
          </cell>
        </row>
        <row r="231">
          <cell r="A231" t="str">
            <v>310011C228</v>
          </cell>
          <cell r="B231">
            <v>1</v>
          </cell>
          <cell r="C231" t="str">
            <v>1.1.1</v>
          </cell>
          <cell r="D231" t="str">
            <v>OPKZP-PO1-SC111-2016-11</v>
          </cell>
          <cell r="E231" t="str">
            <v>odpady</v>
          </cell>
          <cell r="F231" t="str">
            <v>Odvoz a likvidácia odpadu a.s.</v>
          </cell>
          <cell r="G231" t="str">
            <v>Zber a zhodnotenie BRO mesta Bratislava - I. etapa</v>
          </cell>
          <cell r="H231" t="str">
            <v>017</v>
          </cell>
          <cell r="I231" t="str">
            <v>BA</v>
          </cell>
          <cell r="J231" t="str">
            <v>regionálny</v>
          </cell>
          <cell r="K231" t="str">
            <v>áno</v>
          </cell>
          <cell r="M231">
            <v>42878</v>
          </cell>
          <cell r="N231" t="str">
            <v>Aktivity nezačaté</v>
          </cell>
          <cell r="P231" t="str">
            <v>https://www.crz.gov.sk/index.php?ID=2946165&amp;l=sk</v>
          </cell>
          <cell r="Q231" t="str">
            <v>https://crp.gov.sk/zber-a-zhodnotenie-bro-mesta-bratislava-i-etapa/</v>
          </cell>
          <cell r="R231" t="str">
            <v>OPKZP-PO1-SC111-2016-11/51</v>
          </cell>
          <cell r="S231">
            <v>0.85</v>
          </cell>
          <cell r="T231">
            <v>0.1</v>
          </cell>
          <cell r="U231">
            <v>0.05</v>
          </cell>
          <cell r="V231" t="str">
            <v>súkromné</v>
          </cell>
          <cell r="W231">
            <v>1578910.02</v>
          </cell>
          <cell r="X231">
            <v>1342073.52</v>
          </cell>
          <cell r="Y231">
            <v>157891</v>
          </cell>
          <cell r="Z231">
            <v>1499964.52</v>
          </cell>
          <cell r="AA231">
            <v>78945.5</v>
          </cell>
          <cell r="AB231">
            <v>1578910.02</v>
          </cell>
          <cell r="AC231">
            <v>1342073.52</v>
          </cell>
          <cell r="AD231">
            <v>157891</v>
          </cell>
          <cell r="AE231">
            <v>1499964.52</v>
          </cell>
          <cell r="AF231">
            <v>78945.5</v>
          </cell>
          <cell r="AJ231">
            <v>0</v>
          </cell>
          <cell r="AO231">
            <v>0</v>
          </cell>
          <cell r="AQ231">
            <v>0</v>
          </cell>
          <cell r="AR231">
            <v>0</v>
          </cell>
        </row>
        <row r="232">
          <cell r="A232" t="str">
            <v>310011C797</v>
          </cell>
          <cell r="B232">
            <v>1</v>
          </cell>
          <cell r="C232" t="str">
            <v>1.2.3</v>
          </cell>
          <cell r="D232" t="str">
            <v>OPKZP-PO1-SC123-2015-8</v>
          </cell>
          <cell r="E232" t="str">
            <v>povodne</v>
          </cell>
          <cell r="F232" t="str">
            <v>SLOVENSKÝ VODOHOSPODÁRSKY PODNIK, štátny podnik</v>
          </cell>
          <cell r="G232" t="str">
            <v>Monitorovanie fyzikálno-chemických a biologických prvkov kvality vôd v rokoch 2016 - 2020</v>
          </cell>
          <cell r="H232" t="str">
            <v>021</v>
          </cell>
          <cell r="I232" t="str">
            <v>všetky kraje</v>
          </cell>
          <cell r="J232" t="str">
            <v>nadregionálny</v>
          </cell>
          <cell r="K232" t="str">
            <v>áno</v>
          </cell>
          <cell r="M232">
            <v>42787</v>
          </cell>
          <cell r="N232" t="str">
            <v>Realizácia</v>
          </cell>
          <cell r="P232" t="str">
            <v>https://www.crz.gov.sk/index.php?ID=2821403&amp;l=sk</v>
          </cell>
          <cell r="Q232" t="str">
            <v>https://crp.gov.sk/monitorovanie-fyzikalno-chemickych-a-biologickych-prvkov-kvality-vod-v-rokoch-2016-2020/</v>
          </cell>
          <cell r="R232" t="str">
            <v>OPKZP-PO1-SC123-2015-8/04</v>
          </cell>
          <cell r="S232">
            <v>0.85</v>
          </cell>
          <cell r="T232">
            <v>0.15</v>
          </cell>
          <cell r="U232">
            <v>0</v>
          </cell>
          <cell r="V232" t="str">
            <v>bez VZ</v>
          </cell>
          <cell r="W232">
            <v>4259333.45</v>
          </cell>
          <cell r="X232">
            <v>3620433.43</v>
          </cell>
          <cell r="Y232">
            <v>638900.02</v>
          </cell>
          <cell r="Z232">
            <v>4259333.45</v>
          </cell>
          <cell r="AA232">
            <v>0</v>
          </cell>
          <cell r="AB232">
            <v>4259333.45</v>
          </cell>
          <cell r="AC232">
            <v>3620433.43</v>
          </cell>
          <cell r="AD232">
            <v>638900.02</v>
          </cell>
          <cell r="AE232">
            <v>4259333.45</v>
          </cell>
          <cell r="AF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442641.39</v>
          </cell>
          <cell r="AM232">
            <v>376245.19</v>
          </cell>
          <cell r="AN232">
            <v>66396.2</v>
          </cell>
          <cell r="AO232">
            <v>442641.39</v>
          </cell>
          <cell r="AP232">
            <v>0</v>
          </cell>
          <cell r="AQ232">
            <v>0</v>
          </cell>
          <cell r="AR232">
            <v>0</v>
          </cell>
        </row>
        <row r="233">
          <cell r="A233" t="str">
            <v>310011C895</v>
          </cell>
          <cell r="B233">
            <v>1</v>
          </cell>
          <cell r="C233" t="str">
            <v>1.4.1</v>
          </cell>
          <cell r="D233" t="str">
            <v>OPKZP-PO1-SC141-2015-7</v>
          </cell>
          <cell r="E233" t="str">
            <v>vzduch</v>
          </cell>
          <cell r="F233" t="str">
            <v>U. S. Steel Košice, s.r.o.</v>
          </cell>
          <cell r="G233" t="str">
            <v>Kontrola emisií pre rudné mosty VP2</v>
          </cell>
          <cell r="H233" t="str">
            <v>083</v>
          </cell>
          <cell r="I233" t="str">
            <v>KE</v>
          </cell>
          <cell r="J233" t="str">
            <v>regionálny</v>
          </cell>
          <cell r="K233" t="str">
            <v>áno</v>
          </cell>
          <cell r="M233">
            <v>42773</v>
          </cell>
          <cell r="N233" t="str">
            <v>Realizácia</v>
          </cell>
          <cell r="P233" t="str">
            <v>https://www.crz.gov.sk/index.php?ID=2801434&amp;l=sk</v>
          </cell>
          <cell r="Q233" t="str">
            <v>https://crp.gov.sk/kontrola-emisii-pre-rudne-mosty-vp2/</v>
          </cell>
          <cell r="R233" t="str">
            <v>OPKZP-PO1-SC141-2015-7/06</v>
          </cell>
          <cell r="S233">
            <v>0.55000000000000004</v>
          </cell>
          <cell r="T233">
            <v>0</v>
          </cell>
          <cell r="U233">
            <v>0.45</v>
          </cell>
          <cell r="V233" t="str">
            <v>súkromné</v>
          </cell>
          <cell r="W233">
            <v>11846820</v>
          </cell>
          <cell r="X233">
            <v>6515751</v>
          </cell>
          <cell r="Y233">
            <v>0</v>
          </cell>
          <cell r="Z233">
            <v>6515751</v>
          </cell>
          <cell r="AA233">
            <v>5331069</v>
          </cell>
          <cell r="AB233">
            <v>8983348</v>
          </cell>
          <cell r="AC233">
            <v>4940841.4000000004</v>
          </cell>
          <cell r="AD233">
            <v>0</v>
          </cell>
          <cell r="AE233">
            <v>4940841.4000000004</v>
          </cell>
          <cell r="AF233">
            <v>4042506.6</v>
          </cell>
          <cell r="AJ233">
            <v>0</v>
          </cell>
          <cell r="AO233">
            <v>0</v>
          </cell>
          <cell r="AQ233">
            <v>0</v>
          </cell>
          <cell r="AR233">
            <v>0</v>
          </cell>
        </row>
        <row r="234">
          <cell r="A234" t="str">
            <v>310011C955</v>
          </cell>
          <cell r="B234">
            <v>1</v>
          </cell>
          <cell r="C234" t="str">
            <v>1.4.1</v>
          </cell>
          <cell r="D234" t="str">
            <v>OPKZP-PO1-SC141-2015-7</v>
          </cell>
          <cell r="E234" t="str">
            <v>vzduch</v>
          </cell>
          <cell r="F234" t="str">
            <v>U. S. Steel Košice, s.r.o.</v>
          </cell>
          <cell r="G234" t="str">
            <v>Odprášenie koksovej služby VKB1</v>
          </cell>
          <cell r="H234" t="str">
            <v>083</v>
          </cell>
          <cell r="I234" t="str">
            <v>KE</v>
          </cell>
          <cell r="J234" t="str">
            <v>regionálny</v>
          </cell>
          <cell r="K234" t="str">
            <v>áno</v>
          </cell>
          <cell r="M234">
            <v>42773</v>
          </cell>
          <cell r="N234" t="str">
            <v>Aktivity nezačaté</v>
          </cell>
          <cell r="P234" t="str">
            <v>https://www.crz.gov.sk/index.php?ID=2800930&amp;l=sk</v>
          </cell>
          <cell r="Q234" t="str">
            <v>https://crp.gov.sk/odprasenie-koksovej-sluzby-vkb1/</v>
          </cell>
          <cell r="R234" t="str">
            <v>OPKZP-PO1-SC141-2015-7/07</v>
          </cell>
          <cell r="S234">
            <v>0.55000000000000004</v>
          </cell>
          <cell r="T234">
            <v>0</v>
          </cell>
          <cell r="U234">
            <v>0.45</v>
          </cell>
          <cell r="V234" t="str">
            <v>súkromné</v>
          </cell>
          <cell r="W234">
            <v>7979165.0700000003</v>
          </cell>
          <cell r="X234">
            <v>4388540.79</v>
          </cell>
          <cell r="Y234">
            <v>0</v>
          </cell>
          <cell r="Z234">
            <v>4388540.79</v>
          </cell>
          <cell r="AA234">
            <v>3590624.28</v>
          </cell>
          <cell r="AB234">
            <v>7979165.0700000003</v>
          </cell>
          <cell r="AC234">
            <v>4388540.79</v>
          </cell>
          <cell r="AD234">
            <v>0</v>
          </cell>
          <cell r="AE234">
            <v>4388540.79</v>
          </cell>
          <cell r="AF234">
            <v>3590624.28</v>
          </cell>
          <cell r="AJ234">
            <v>0</v>
          </cell>
          <cell r="AO234">
            <v>0</v>
          </cell>
          <cell r="AQ234">
            <v>0</v>
          </cell>
          <cell r="AR234">
            <v>0</v>
          </cell>
        </row>
        <row r="235">
          <cell r="A235" t="str">
            <v>310011C958</v>
          </cell>
          <cell r="B235">
            <v>1</v>
          </cell>
          <cell r="C235" t="str">
            <v>1.4.1</v>
          </cell>
          <cell r="D235" t="str">
            <v>OPKZP-PO1-SC141-2015-7</v>
          </cell>
          <cell r="E235" t="str">
            <v>vzduch</v>
          </cell>
          <cell r="F235" t="str">
            <v>U. S. Steel Košice, s.r.o.</v>
          </cell>
          <cell r="G235" t="str">
            <v>Odprášenie koksovej služby VKB3</v>
          </cell>
          <cell r="H235" t="str">
            <v>083</v>
          </cell>
          <cell r="I235" t="str">
            <v>KE</v>
          </cell>
          <cell r="J235" t="str">
            <v>regionálny</v>
          </cell>
          <cell r="K235" t="str">
            <v>áno</v>
          </cell>
          <cell r="M235">
            <v>42773</v>
          </cell>
          <cell r="N235" t="str">
            <v>Aktivity nezačaté</v>
          </cell>
          <cell r="P235" t="str">
            <v>https://www.crz.gov.sk/index.php?ID=2801337&amp;l=sk</v>
          </cell>
          <cell r="Q235" t="str">
            <v>https://crp.gov.sk/odprasenie-koksovej-sluzby-vkb3/</v>
          </cell>
          <cell r="R235" t="str">
            <v>OPKZP-PO1-SC141-2015-7/08</v>
          </cell>
          <cell r="S235">
            <v>0.55000000000000004</v>
          </cell>
          <cell r="T235">
            <v>0</v>
          </cell>
          <cell r="U235">
            <v>0.45</v>
          </cell>
          <cell r="V235" t="str">
            <v>súkromné</v>
          </cell>
          <cell r="W235">
            <v>6863943.5899999999</v>
          </cell>
          <cell r="X235">
            <v>3775168.97</v>
          </cell>
          <cell r="Y235">
            <v>0</v>
          </cell>
          <cell r="Z235">
            <v>3775168.97</v>
          </cell>
          <cell r="AA235">
            <v>3088774.62</v>
          </cell>
          <cell r="AB235">
            <v>6863943.5899999999</v>
          </cell>
          <cell r="AC235">
            <v>3775168.97</v>
          </cell>
          <cell r="AD235">
            <v>0</v>
          </cell>
          <cell r="AE235">
            <v>3775168.97</v>
          </cell>
          <cell r="AF235">
            <v>3088774.62</v>
          </cell>
          <cell r="AJ235">
            <v>0</v>
          </cell>
          <cell r="AO235">
            <v>0</v>
          </cell>
          <cell r="AQ235">
            <v>0</v>
          </cell>
          <cell r="AR235">
            <v>0</v>
          </cell>
        </row>
        <row r="236">
          <cell r="A236" t="str">
            <v>310011C989</v>
          </cell>
          <cell r="B236">
            <v>1</v>
          </cell>
          <cell r="C236" t="str">
            <v>1.4.1</v>
          </cell>
          <cell r="D236" t="str">
            <v>OPKZP-PO1-SC141-2015-7</v>
          </cell>
          <cell r="E236" t="str">
            <v>vzduch</v>
          </cell>
          <cell r="F236" t="str">
            <v>U. S. Steel Košice, s.r.o.</v>
          </cell>
          <cell r="G236" t="str">
            <v>Odprášenie Úpravne uhlia</v>
          </cell>
          <cell r="H236" t="str">
            <v>083</v>
          </cell>
          <cell r="I236" t="str">
            <v>KE</v>
          </cell>
          <cell r="J236" t="str">
            <v>regionálny</v>
          </cell>
          <cell r="K236" t="str">
            <v>áno</v>
          </cell>
          <cell r="M236">
            <v>42773</v>
          </cell>
          <cell r="N236" t="str">
            <v>Aktivity nezačaté</v>
          </cell>
          <cell r="P236" t="str">
            <v>https://www.crz.gov.sk/index.php?ID=2800774&amp;l=sk</v>
          </cell>
          <cell r="Q236" t="str">
            <v>https://crp.gov.sk/odprasenie-upravne-uhlia/</v>
          </cell>
          <cell r="R236" t="str">
            <v>OPKZP-PO1-SC141-2015-7/09</v>
          </cell>
          <cell r="S236">
            <v>0.55000000000000004</v>
          </cell>
          <cell r="T236">
            <v>0</v>
          </cell>
          <cell r="U236">
            <v>0.45</v>
          </cell>
          <cell r="V236" t="str">
            <v>súkromné</v>
          </cell>
          <cell r="W236">
            <v>684450</v>
          </cell>
          <cell r="X236">
            <v>376447.5</v>
          </cell>
          <cell r="Y236">
            <v>0</v>
          </cell>
          <cell r="Z236">
            <v>376447.5</v>
          </cell>
          <cell r="AA236">
            <v>308002.5</v>
          </cell>
          <cell r="AB236">
            <v>684450</v>
          </cell>
          <cell r="AC236">
            <v>376447.5</v>
          </cell>
          <cell r="AD236">
            <v>0</v>
          </cell>
          <cell r="AE236">
            <v>376447.5</v>
          </cell>
          <cell r="AF236">
            <v>308002.5</v>
          </cell>
          <cell r="AJ236">
            <v>0</v>
          </cell>
          <cell r="AO236">
            <v>0</v>
          </cell>
          <cell r="AQ236">
            <v>0</v>
          </cell>
          <cell r="AR236">
            <v>0</v>
          </cell>
        </row>
        <row r="237">
          <cell r="A237" t="str">
            <v>310011C992</v>
          </cell>
          <cell r="B237">
            <v>1</v>
          </cell>
          <cell r="C237" t="str">
            <v>1.4.1</v>
          </cell>
          <cell r="D237" t="str">
            <v>OPKZP-PO1-SC141-2015-7</v>
          </cell>
          <cell r="E237" t="str">
            <v>vzduch</v>
          </cell>
          <cell r="F237" t="str">
            <v>U. S. Steel Košice, s.r.o.</v>
          </cell>
          <cell r="G237" t="str">
            <v>Odprášenie OC2 – Odsírenie SUZE</v>
          </cell>
          <cell r="H237" t="str">
            <v>083</v>
          </cell>
          <cell r="I237" t="str">
            <v>KE</v>
          </cell>
          <cell r="J237" t="str">
            <v>regionálny</v>
          </cell>
          <cell r="K237" t="str">
            <v>áno</v>
          </cell>
          <cell r="M237">
            <v>42773</v>
          </cell>
          <cell r="N237" t="str">
            <v>Aktivity nezačaté</v>
          </cell>
          <cell r="P237" t="str">
            <v>https://www.crz.gov.sk/index.php?ID=2801073&amp;l=sk</v>
          </cell>
          <cell r="Q237" t="str">
            <v>https://crp.gov.sk/odprasenie-oc2-–-odsirenie-suze/</v>
          </cell>
          <cell r="R237" t="str">
            <v>OPKZP-PO1-SC141-2015-7/10</v>
          </cell>
          <cell r="S237">
            <v>0.55000000000000004</v>
          </cell>
          <cell r="T237">
            <v>0</v>
          </cell>
          <cell r="U237">
            <v>0.45</v>
          </cell>
          <cell r="V237" t="str">
            <v>súkromné</v>
          </cell>
          <cell r="W237">
            <v>7178627.8200000003</v>
          </cell>
          <cell r="X237">
            <v>3948245.3</v>
          </cell>
          <cell r="Y237">
            <v>0</v>
          </cell>
          <cell r="Z237">
            <v>3948245.3</v>
          </cell>
          <cell r="AA237">
            <v>3230382.52</v>
          </cell>
          <cell r="AB237">
            <v>7178627.8200000003</v>
          </cell>
          <cell r="AC237">
            <v>3948245.3</v>
          </cell>
          <cell r="AD237">
            <v>0</v>
          </cell>
          <cell r="AE237">
            <v>3948245.3</v>
          </cell>
          <cell r="AF237">
            <v>3230382.52</v>
          </cell>
          <cell r="AJ237">
            <v>0</v>
          </cell>
          <cell r="AO237">
            <v>0</v>
          </cell>
          <cell r="AQ237">
            <v>0</v>
          </cell>
          <cell r="AR237">
            <v>0</v>
          </cell>
        </row>
        <row r="238">
          <cell r="A238" t="str">
            <v>310011D534</v>
          </cell>
          <cell r="B238">
            <v>1</v>
          </cell>
          <cell r="C238" t="str">
            <v>1.1.1</v>
          </cell>
          <cell r="D238" t="str">
            <v>OPKZP-PO1-SC111-2016-16</v>
          </cell>
          <cell r="E238" t="str">
            <v>odpady</v>
          </cell>
          <cell r="F238" t="str">
            <v>ZEDKO, s.r.o.</v>
          </cell>
          <cell r="G238" t="str">
            <v>Zvýšenie miery recyklácie elektroodpadu v spoločnosti ZEDKO, s.r.o.</v>
          </cell>
          <cell r="H238" t="str">
            <v>017</v>
          </cell>
          <cell r="I238" t="str">
            <v>BB</v>
          </cell>
          <cell r="J238" t="str">
            <v>regionálny</v>
          </cell>
          <cell r="K238" t="str">
            <v>áno</v>
          </cell>
          <cell r="M238">
            <v>43012</v>
          </cell>
          <cell r="N238" t="str">
            <v>Aktivity nezačaté</v>
          </cell>
          <cell r="P238" t="str">
            <v xml:space="preserve">https://www.crz.gov.sk/index.php?ID=3122855&amp;l=sk </v>
          </cell>
          <cell r="Q238" t="str">
            <v xml:space="preserve">https://crp.gov.sk/zvysenie-miery-recyklacie-elektroodpadu-v-spolocnosti-zedko-sro/ </v>
          </cell>
          <cell r="R238" t="str">
            <v>OPKZP-PO1-SC111-2016-16/04</v>
          </cell>
          <cell r="S238">
            <v>0.55000000000000004</v>
          </cell>
          <cell r="T238">
            <v>0</v>
          </cell>
          <cell r="U238">
            <v>0.45</v>
          </cell>
          <cell r="V238" t="str">
            <v>súkromné</v>
          </cell>
          <cell r="W238">
            <v>463310.51</v>
          </cell>
          <cell r="X238">
            <v>254820.78</v>
          </cell>
          <cell r="Y238">
            <v>0</v>
          </cell>
          <cell r="Z238">
            <v>254820.78</v>
          </cell>
          <cell r="AA238">
            <v>208489.73</v>
          </cell>
          <cell r="AB238">
            <v>463310.51</v>
          </cell>
          <cell r="AC238">
            <v>254820.78</v>
          </cell>
          <cell r="AD238">
            <v>0</v>
          </cell>
          <cell r="AE238">
            <v>254820.78</v>
          </cell>
          <cell r="AF238">
            <v>208489.73</v>
          </cell>
          <cell r="AJ238">
            <v>0</v>
          </cell>
          <cell r="AO238">
            <v>0</v>
          </cell>
          <cell r="AQ238">
            <v>0</v>
          </cell>
          <cell r="AR238">
            <v>0</v>
          </cell>
        </row>
        <row r="239">
          <cell r="A239" t="str">
            <v>310011D589</v>
          </cell>
          <cell r="B239">
            <v>1</v>
          </cell>
          <cell r="C239" t="str">
            <v>1.1.1</v>
          </cell>
          <cell r="D239" t="str">
            <v>OPKZP-PO1-SC111-2016-16</v>
          </cell>
          <cell r="E239" t="str">
            <v>odpady</v>
          </cell>
          <cell r="F239" t="str">
            <v>AGRO CS Slovakia, a.s.</v>
          </cell>
          <cell r="G239" t="str">
            <v>Zhodnocovanie biologicky rozložiteľného odpadu vo výrobe spoločnosti AGRO CS Slovakia, a.s.</v>
          </cell>
          <cell r="H239" t="str">
            <v>019</v>
          </cell>
          <cell r="I239" t="str">
            <v>BB</v>
          </cell>
          <cell r="J239" t="str">
            <v>regionálny</v>
          </cell>
          <cell r="K239" t="str">
            <v>áno</v>
          </cell>
          <cell r="M239">
            <v>43027</v>
          </cell>
          <cell r="N239" t="str">
            <v>Aktivity nezačaté</v>
          </cell>
          <cell r="P239" t="str">
            <v>https://www.crz.gov.sk/index.php?ID=3154463&amp;l=sk</v>
          </cell>
          <cell r="Q239" t="str">
            <v>https://crp.gov.sk/zhodnocovanie-biologicky-rozlozitelneho-odpadu-vo-vyrobe-spolocnosti-agro-cs-slovakia-as/</v>
          </cell>
          <cell r="R239" t="str">
            <v>OPKZP-PO1-SC111-2016-16/03</v>
          </cell>
          <cell r="S239">
            <v>0.35</v>
          </cell>
          <cell r="T239">
            <v>0</v>
          </cell>
          <cell r="U239">
            <v>0.65</v>
          </cell>
          <cell r="V239" t="str">
            <v>súkromné</v>
          </cell>
          <cell r="W239">
            <v>2061553.34</v>
          </cell>
          <cell r="X239">
            <v>721543.67</v>
          </cell>
          <cell r="Y239">
            <v>0</v>
          </cell>
          <cell r="Z239">
            <v>721543.67</v>
          </cell>
          <cell r="AA239">
            <v>1340009.67</v>
          </cell>
          <cell r="AB239">
            <v>2061553.34</v>
          </cell>
          <cell r="AC239">
            <v>721543.67</v>
          </cell>
          <cell r="AD239">
            <v>0</v>
          </cell>
          <cell r="AE239">
            <v>721543.67</v>
          </cell>
          <cell r="AF239">
            <v>1340009.67</v>
          </cell>
          <cell r="AJ239">
            <v>0</v>
          </cell>
          <cell r="AO239">
            <v>0</v>
          </cell>
          <cell r="AQ239">
            <v>0</v>
          </cell>
          <cell r="AR239">
            <v>0</v>
          </cell>
        </row>
        <row r="240">
          <cell r="A240" t="str">
            <v>310011D635</v>
          </cell>
          <cell r="B240">
            <v>1</v>
          </cell>
          <cell r="C240" t="str">
            <v>1.1.1</v>
          </cell>
          <cell r="D240" t="str">
            <v>OPKZP-PO1-SC111-2016-12</v>
          </cell>
          <cell r="E240" t="str">
            <v>odpady</v>
          </cell>
          <cell r="F240" t="str">
            <v>Ministerstvo životného prostredia SR</v>
          </cell>
          <cell r="G240" t="str">
            <v>Vybudovanie a zavedenie jednotného environmentálneho monitorovacieho a informačného systému v odpadovom hospodárstve.</v>
          </cell>
          <cell r="H240" t="str">
            <v>017
018
019</v>
          </cell>
          <cell r="I240" t="str">
            <v>všetky kraje</v>
          </cell>
          <cell r="J240" t="str">
            <v>nadregionálny</v>
          </cell>
          <cell r="K240" t="str">
            <v>áno</v>
          </cell>
          <cell r="M240">
            <v>42952</v>
          </cell>
          <cell r="N240" t="str">
            <v>Realizácia</v>
          </cell>
          <cell r="P240" t="str">
            <v>-</v>
          </cell>
          <cell r="Q240" t="str">
            <v>https://crp.gov.sk/vybudovanie-a-zavedenie-jednotneho-environmentalneho-monitorovacieho-a-informacneho-systemu-v-odpadovom-hospodarstve/</v>
          </cell>
          <cell r="R240" t="str">
            <v>OPKZP-PO1-SC142-2015-12/01</v>
          </cell>
          <cell r="S240">
            <v>0.85</v>
          </cell>
          <cell r="T240">
            <v>0.15</v>
          </cell>
          <cell r="U240">
            <v>0</v>
          </cell>
          <cell r="V240" t="str">
            <v>bez VZ</v>
          </cell>
          <cell r="W240">
            <v>18807963.93</v>
          </cell>
          <cell r="X240">
            <v>15986769.34</v>
          </cell>
          <cell r="Y240">
            <v>2821194.59</v>
          </cell>
          <cell r="Z240">
            <v>18807963.93</v>
          </cell>
          <cell r="AA240">
            <v>0</v>
          </cell>
          <cell r="AB240">
            <v>18807963.93</v>
          </cell>
          <cell r="AC240">
            <v>15986769.34</v>
          </cell>
          <cell r="AD240">
            <v>2821194.59</v>
          </cell>
          <cell r="AE240">
            <v>18807963.93</v>
          </cell>
          <cell r="AF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3873.61</v>
          </cell>
          <cell r="AM240">
            <v>3292.55</v>
          </cell>
          <cell r="AN240">
            <v>581.05999999999995</v>
          </cell>
          <cell r="AO240">
            <v>3873.61</v>
          </cell>
          <cell r="AP240">
            <v>0</v>
          </cell>
          <cell r="AQ240">
            <v>0</v>
          </cell>
          <cell r="AR240">
            <v>0</v>
          </cell>
        </row>
        <row r="241">
          <cell r="A241" t="str">
            <v>310011D670</v>
          </cell>
          <cell r="B241">
            <v>1</v>
          </cell>
          <cell r="C241" t="str">
            <v>1.1.1</v>
          </cell>
          <cell r="D241" t="str">
            <v>OPKZP-PO1-SC111-2016-16</v>
          </cell>
          <cell r="E241" t="str">
            <v>odpady</v>
          </cell>
          <cell r="F241" t="str">
            <v>EkoPellets Slovakia, s.r.o.</v>
          </cell>
          <cell r="G241" t="str">
            <v>Kombinovaná linka na spracovanie piliny procesom lisovania – modernizácia prísunu piliny</v>
          </cell>
          <cell r="H241" t="str">
            <v>019</v>
          </cell>
          <cell r="I241" t="str">
            <v>ZA</v>
          </cell>
          <cell r="J241" t="str">
            <v>regionálny</v>
          </cell>
          <cell r="K241" t="str">
            <v>áno</v>
          </cell>
          <cell r="M241">
            <v>43021</v>
          </cell>
          <cell r="N241" t="str">
            <v>Aktivity nezačaté</v>
          </cell>
          <cell r="P241" t="str">
            <v>https://www.crz.gov.sk/index.php?ID=3145241&amp;l=sk</v>
          </cell>
          <cell r="Q241" t="str">
            <v>https://crp.gov.sk/kombinovana-linka-na-spracovanie-piliny-procesom-lisovania-–-modernizacia-prisunu-piliny/</v>
          </cell>
          <cell r="R241" t="str">
            <v>OPKZP-PO1-SC111-2016-16/05</v>
          </cell>
          <cell r="S241">
            <v>0.55000000000000004</v>
          </cell>
          <cell r="T241">
            <v>0</v>
          </cell>
          <cell r="U241">
            <v>0.45</v>
          </cell>
          <cell r="V241" t="str">
            <v>súkromné</v>
          </cell>
          <cell r="W241">
            <v>395308</v>
          </cell>
          <cell r="X241">
            <v>217419.4</v>
          </cell>
          <cell r="Y241">
            <v>0</v>
          </cell>
          <cell r="Z241">
            <v>217419.4</v>
          </cell>
          <cell r="AA241">
            <v>177888.6</v>
          </cell>
          <cell r="AB241">
            <v>395308</v>
          </cell>
          <cell r="AC241">
            <v>217419.4</v>
          </cell>
          <cell r="AD241">
            <v>0</v>
          </cell>
          <cell r="AE241">
            <v>217419.4</v>
          </cell>
          <cell r="AF241">
            <v>177888.6</v>
          </cell>
          <cell r="AJ241">
            <v>0</v>
          </cell>
          <cell r="AO241">
            <v>0</v>
          </cell>
          <cell r="AQ241">
            <v>0</v>
          </cell>
          <cell r="AR241">
            <v>0</v>
          </cell>
        </row>
        <row r="242">
          <cell r="A242" t="str">
            <v>310011F127</v>
          </cell>
          <cell r="B242">
            <v>1</v>
          </cell>
          <cell r="C242" t="str">
            <v>1.1.1</v>
          </cell>
          <cell r="D242" t="str">
            <v>OPKZP-PO1-SC111-2016-15</v>
          </cell>
          <cell r="E242" t="str">
            <v>odpady</v>
          </cell>
          <cell r="F242" t="str">
            <v>DOPABAL s.r.o.</v>
          </cell>
          <cell r="G242" t="str">
            <v>Zariadenie na recykláciu nebezpečných odpadov</v>
          </cell>
          <cell r="H242" t="str">
            <v>019</v>
          </cell>
          <cell r="I242" t="str">
            <v>PO</v>
          </cell>
          <cell r="J242" t="str">
            <v>regionálny</v>
          </cell>
          <cell r="K242" t="str">
            <v>áno</v>
          </cell>
          <cell r="M242">
            <v>42973</v>
          </cell>
          <cell r="N242" t="str">
            <v>Aktivity nezačaté</v>
          </cell>
          <cell r="P242" t="str">
            <v>https://www.crz.gov.sk/index.php?ID=3075328&amp;l=sk</v>
          </cell>
          <cell r="Q242" t="str">
            <v>https://crp.gov.sk/zariadenie-na-recyklaciu-nebezpecnych-odpadov/</v>
          </cell>
          <cell r="R242" t="str">
            <v>OPKZP-PO1-SC111-2016-15/01</v>
          </cell>
          <cell r="S242">
            <v>0.55000000000000004</v>
          </cell>
          <cell r="T242">
            <v>0</v>
          </cell>
          <cell r="U242">
            <v>0.45</v>
          </cell>
          <cell r="V242" t="str">
            <v>súkromné</v>
          </cell>
          <cell r="W242">
            <v>2288900.67</v>
          </cell>
          <cell r="X242">
            <v>1258895.3700000001</v>
          </cell>
          <cell r="Y242">
            <v>0</v>
          </cell>
          <cell r="Z242">
            <v>1258895.3700000001</v>
          </cell>
          <cell r="AA242">
            <v>1030005.3</v>
          </cell>
          <cell r="AB242">
            <v>2288900.67</v>
          </cell>
          <cell r="AC242">
            <v>1258895.3700000001</v>
          </cell>
          <cell r="AD242">
            <v>0</v>
          </cell>
          <cell r="AE242">
            <v>1258895.3700000001</v>
          </cell>
          <cell r="AF242">
            <v>1030005.3</v>
          </cell>
          <cell r="AJ242">
            <v>0</v>
          </cell>
          <cell r="AO242">
            <v>0</v>
          </cell>
          <cell r="AQ242">
            <v>0</v>
          </cell>
          <cell r="AR242">
            <v>0</v>
          </cell>
        </row>
        <row r="243">
          <cell r="A243" t="str">
            <v>310011F270</v>
          </cell>
          <cell r="B243">
            <v>1</v>
          </cell>
          <cell r="C243" t="str">
            <v>1.1.1</v>
          </cell>
          <cell r="D243" t="str">
            <v>OPKZP-PO1-SC111-2016-16</v>
          </cell>
          <cell r="E243" t="str">
            <v>odpady</v>
          </cell>
          <cell r="F243" t="str">
            <v>BUKÓZA INVEST spol. s.r.o.</v>
          </cell>
          <cell r="G243" t="str">
            <v>Recyklácia zberového papiera za účelom výroby papiera (testlineru)</v>
          </cell>
          <cell r="H243" t="str">
            <v>019</v>
          </cell>
          <cell r="I243" t="str">
            <v>PO</v>
          </cell>
          <cell r="J243" t="str">
            <v>regionálny</v>
          </cell>
          <cell r="K243" t="str">
            <v>áno</v>
          </cell>
          <cell r="M243">
            <v>43007</v>
          </cell>
          <cell r="N243" t="str">
            <v>Aktivity nezačaté</v>
          </cell>
          <cell r="P243" t="str">
            <v>https://www.crz.gov.sk/index.php?ID=3114404&amp;l=sk</v>
          </cell>
          <cell r="Q243" t="str">
            <v>https://crp.gov.sk/recyklacia-zberoveho-papiera-za-ucelom-vyroby-papiera-testlineru/</v>
          </cell>
          <cell r="R243" t="str">
            <v>OPKZP-PO1-SC111-2016-16/01</v>
          </cell>
          <cell r="S243">
            <v>0.49</v>
          </cell>
          <cell r="T243">
            <v>0</v>
          </cell>
          <cell r="U243">
            <v>0.51</v>
          </cell>
          <cell r="V243" t="str">
            <v>súkromné</v>
          </cell>
          <cell r="W243">
            <v>23961000</v>
          </cell>
          <cell r="X243">
            <v>11740890</v>
          </cell>
          <cell r="Y243">
            <v>0</v>
          </cell>
          <cell r="Z243">
            <v>11740890</v>
          </cell>
          <cell r="AA243">
            <v>12220110</v>
          </cell>
          <cell r="AB243">
            <v>23961000</v>
          </cell>
          <cell r="AC243">
            <v>11740890</v>
          </cell>
          <cell r="AD243">
            <v>0</v>
          </cell>
          <cell r="AE243">
            <v>11740890</v>
          </cell>
          <cell r="AF243">
            <v>12220110</v>
          </cell>
          <cell r="AJ243">
            <v>0</v>
          </cell>
          <cell r="AO243">
            <v>0</v>
          </cell>
          <cell r="AQ243">
            <v>0</v>
          </cell>
          <cell r="AR243">
            <v>0</v>
          </cell>
        </row>
        <row r="244">
          <cell r="A244" t="str">
            <v>310011F687</v>
          </cell>
          <cell r="B244">
            <v>1</v>
          </cell>
          <cell r="C244" t="str">
            <v>1.1.1</v>
          </cell>
          <cell r="D244" t="str">
            <v>OPKZP-PO1-SC111-2016-16</v>
          </cell>
          <cell r="E244" t="str">
            <v>odpady</v>
          </cell>
          <cell r="F244" t="str">
            <v>ELEKTRO RECYCLING, s.r.o.</v>
          </cell>
          <cell r="G244" t="str">
            <v>Zvýšenie efektivity procesov spracovania odpadov pre opätovné použitie.</v>
          </cell>
          <cell r="H244" t="str">
            <v>017</v>
          </cell>
          <cell r="I244" t="str">
            <v>BB</v>
          </cell>
          <cell r="J244" t="str">
            <v>regionálny</v>
          </cell>
          <cell r="K244" t="str">
            <v>áno</v>
          </cell>
          <cell r="M244">
            <v>43000</v>
          </cell>
          <cell r="N244" t="str">
            <v>Aktivity nezačaté</v>
          </cell>
          <cell r="P244" t="str">
            <v xml:space="preserve">https://www.crz.gov.sk/index.php?ID=3104095&amp;l=sk </v>
          </cell>
          <cell r="Q244" t="str">
            <v>https://crp.gov.sk/zvysenie-efektivity-procesov-spracovania-odpadov-pre-opatovne-pouzitie/</v>
          </cell>
          <cell r="R244" t="str">
            <v>OPKZP-PO1-SC111-2016-16/02</v>
          </cell>
          <cell r="S244">
            <v>0.45</v>
          </cell>
          <cell r="T244">
            <v>0</v>
          </cell>
          <cell r="U244">
            <v>0.55000000000000004</v>
          </cell>
          <cell r="V244" t="str">
            <v>súkromné</v>
          </cell>
          <cell r="W244">
            <v>725760.94</v>
          </cell>
          <cell r="X244">
            <v>326592.42</v>
          </cell>
          <cell r="Y244">
            <v>0</v>
          </cell>
          <cell r="Z244">
            <v>326592.42</v>
          </cell>
          <cell r="AA244">
            <v>399168.52</v>
          </cell>
          <cell r="AB244">
            <v>725760.94</v>
          </cell>
          <cell r="AC244">
            <v>326592.42</v>
          </cell>
          <cell r="AD244">
            <v>0</v>
          </cell>
          <cell r="AE244">
            <v>326592.42</v>
          </cell>
          <cell r="AF244">
            <v>399168.52</v>
          </cell>
          <cell r="AJ244">
            <v>0</v>
          </cell>
          <cell r="AO244">
            <v>0</v>
          </cell>
          <cell r="AQ244">
            <v>0</v>
          </cell>
          <cell r="AR244">
            <v>0</v>
          </cell>
        </row>
        <row r="245">
          <cell r="M245">
            <v>242</v>
          </cell>
          <cell r="W245">
            <v>926085796.0200007</v>
          </cell>
          <cell r="X245">
            <v>755999008.57550073</v>
          </cell>
          <cell r="Y245">
            <v>70147955.430500031</v>
          </cell>
          <cell r="Z245">
            <v>826146964.0059998</v>
          </cell>
          <cell r="AA245">
            <v>99938782.079999954</v>
          </cell>
          <cell r="AB245">
            <v>912071348.80000079</v>
          </cell>
          <cell r="AC245">
            <v>747927555.22550058</v>
          </cell>
          <cell r="AD245">
            <v>70378989.120500028</v>
          </cell>
          <cell r="AE245">
            <v>818306544.34599996</v>
          </cell>
          <cell r="AF245">
            <v>93764754.519999981</v>
          </cell>
          <cell r="AG245">
            <v>17988691.359999996</v>
          </cell>
          <cell r="AH245">
            <v>15097139.245039722</v>
          </cell>
          <cell r="AI245">
            <v>1097155.8575317485</v>
          </cell>
          <cell r="AJ245">
            <v>16194295.102571471</v>
          </cell>
          <cell r="AK245">
            <v>1768991.0680634971</v>
          </cell>
          <cell r="AL245">
            <v>158414523.35000008</v>
          </cell>
          <cell r="AM245">
            <v>134333388.13000005</v>
          </cell>
          <cell r="AN245">
            <v>13682220.250000002</v>
          </cell>
          <cell r="AO245">
            <v>148015608.38</v>
          </cell>
          <cell r="AP245">
            <v>10398914.970000001</v>
          </cell>
          <cell r="AQ245">
            <v>12893997.559999999</v>
          </cell>
          <cell r="AR245">
            <v>10763534.950000001</v>
          </cell>
        </row>
        <row r="247">
          <cell r="AF247" t="str">
            <v>okrem A067, A903</v>
          </cell>
          <cell r="AG247">
            <v>17266775.519999996</v>
          </cell>
          <cell r="AH247">
            <v>14483510.781039722</v>
          </cell>
          <cell r="AK247" t="str">
            <v>okrem A067</v>
          </cell>
          <cell r="AL247">
            <v>151760314.75000009</v>
          </cell>
          <cell r="AM247">
            <v>128677310.81000006</v>
          </cell>
          <cell r="AP247" t="str">
            <v>okrem A067</v>
          </cell>
          <cell r="AQ247">
            <v>12893997.559999999</v>
          </cell>
          <cell r="AR247">
            <v>10763534.950000001</v>
          </cell>
        </row>
        <row r="249">
          <cell r="AF249" t="str">
            <v>voda</v>
          </cell>
          <cell r="AG249">
            <v>13114685.819999998</v>
          </cell>
          <cell r="AH249">
            <v>11125888.536039721</v>
          </cell>
        </row>
        <row r="250">
          <cell r="AF250" t="str">
            <v>odpady</v>
          </cell>
          <cell r="AG250">
            <v>2750709.6999999997</v>
          </cell>
          <cell r="AH250">
            <v>2338103.2450000001</v>
          </cell>
        </row>
        <row r="251">
          <cell r="AF251" t="str">
            <v>vzduch</v>
          </cell>
          <cell r="AG251">
            <v>1401380</v>
          </cell>
          <cell r="AH251">
            <v>1019519</v>
          </cell>
        </row>
        <row r="252">
          <cell r="AF252" t="str">
            <v>povodne</v>
          </cell>
          <cell r="AG252">
            <v>0</v>
          </cell>
          <cell r="AH252">
            <v>0</v>
          </cell>
        </row>
        <row r="253">
          <cell r="AF253" t="str">
            <v>spolu</v>
          </cell>
          <cell r="AG253">
            <v>17266775.519999996</v>
          </cell>
          <cell r="AH253">
            <v>14483510.781039722</v>
          </cell>
        </row>
        <row r="255">
          <cell r="AL255">
            <v>176403214.71000007</v>
          </cell>
          <cell r="AM255">
            <v>149430527.37503979</v>
          </cell>
        </row>
        <row r="257">
          <cell r="AL257">
            <v>176403214.71000007</v>
          </cell>
          <cell r="AM257">
            <v>149430527.37503979</v>
          </cell>
        </row>
      </sheetData>
      <sheetData sheetId="1" refreshError="1"/>
      <sheetData sheetId="2" refreshError="1"/>
      <sheetData sheetId="3">
        <row r="2">
          <cell r="A2" t="str">
            <v>ITMS kód projektu</v>
          </cell>
          <cell r="B2" t="str">
            <v>Konkrétny cieľ</v>
          </cell>
          <cell r="C2" t="str">
            <v>Výzva</v>
          </cell>
          <cell r="D2" t="str">
            <v>Prijímateľ</v>
          </cell>
          <cell r="E2" t="str">
            <v>Názov projektu</v>
          </cell>
          <cell r="F2" t="str">
            <v>Účinnosť zmluvy</v>
          </cell>
          <cell r="G2" t="str">
            <v>Ukončnie projektu</v>
          </cell>
          <cell r="H2" t="str">
            <v>Záverečná MS</v>
          </cell>
          <cell r="I2" t="str">
            <v>Začiatok realizácie aktivít
pôvodný</v>
          </cell>
          <cell r="J2" t="str">
            <v>Ukončenie realizácie aktivít
pôvodné</v>
          </cell>
          <cell r="K2" t="str">
            <v>Začiatok realizácie aktivít
aktuálny</v>
          </cell>
          <cell r="L2" t="str">
            <v>Ukončenie realizácie aktivít
aktuálne</v>
          </cell>
          <cell r="M2" t="str">
            <v>Začiatok realizácie aktivít
schválený v zmenovke</v>
          </cell>
          <cell r="N2" t="str">
            <v>Ukončenie realizácie aktivít
zmenovka schválené v zmenovke</v>
          </cell>
          <cell r="O2" t="str">
            <v>Dĺžka realizácie
pôvodná</v>
          </cell>
          <cell r="P2" t="str">
            <v>Dĺžka realizácie
aktuálna</v>
          </cell>
          <cell r="Q2" t="str">
            <v>Celková dĺžka realizácie</v>
          </cell>
          <cell r="R2" t="str">
            <v xml:space="preserve">posun začiatku realizácie </v>
          </cell>
          <cell r="S2" t="str">
            <v>posun začiatku realizácie
(počet mesiacov)</v>
          </cell>
          <cell r="T2" t="str">
            <v xml:space="preserve">predĺženie realizácie </v>
          </cell>
          <cell r="U2" t="str">
            <v>predĺženie realizácie
(počet mesiacov)</v>
          </cell>
          <cell r="V2" t="str">
            <v>Začiatok realizácie aktivít
pôvodný</v>
          </cell>
          <cell r="W2" t="str">
            <v>Ukončenie realizácie aktivít
pôvodné</v>
          </cell>
          <cell r="X2" t="str">
            <v>Začiatok realizácie aktivít
aktuálny</v>
          </cell>
          <cell r="Y2" t="str">
            <v>Ukončenie realizácie aktivít
aktuálne</v>
          </cell>
          <cell r="Z2" t="str">
            <v>Dĺžka realizácie
pôvodná</v>
          </cell>
          <cell r="AA2" t="str">
            <v>Dĺžka realizácie
aktuálna</v>
          </cell>
          <cell r="AB2" t="str">
            <v>Celková dĺžka realizácie</v>
          </cell>
          <cell r="AC2" t="str">
            <v xml:space="preserve">posun začiatku realizácie </v>
          </cell>
          <cell r="AD2" t="str">
            <v>posun začiatku realizácie
(počet mesiacov)</v>
          </cell>
          <cell r="AE2" t="str">
            <v xml:space="preserve">predĺženie realizácie </v>
          </cell>
          <cell r="AF2" t="str">
            <v>predĺženie realizácie
(počet mesiacov)</v>
          </cell>
          <cell r="AG2" t="str">
            <v>začiatok realizácie projektu</v>
          </cell>
          <cell r="AH2" t="str">
            <v>začiatok realizácie hlavných aktivít 
+3 mesiace</v>
          </cell>
        </row>
        <row r="3">
          <cell r="A3" t="str">
            <v>310011A002</v>
          </cell>
          <cell r="B3" t="str">
            <v>1.2.1</v>
          </cell>
          <cell r="C3" t="str">
            <v>OPKZP-PO1-SC121/122-2015</v>
          </cell>
          <cell r="D3" t="str">
            <v>Obec Pohronská Polhora</v>
          </cell>
          <cell r="E3" t="str">
            <v>Kanalizácia obcí Pohronská Polhora a Michalová</v>
          </cell>
          <cell r="F3">
            <v>42459</v>
          </cell>
          <cell r="G3" t="str">
            <v/>
          </cell>
          <cell r="H3">
            <v>43524</v>
          </cell>
          <cell r="I3">
            <v>42461</v>
          </cell>
          <cell r="J3">
            <v>43190</v>
          </cell>
          <cell r="K3">
            <v>42795</v>
          </cell>
          <cell r="L3">
            <v>43524</v>
          </cell>
          <cell r="M3">
            <v>0</v>
          </cell>
          <cell r="N3">
            <v>0</v>
          </cell>
          <cell r="O3">
            <v>23.967123287671232</v>
          </cell>
          <cell r="P3">
            <v>23.967123287671232</v>
          </cell>
          <cell r="Q3">
            <v>34.947945205479449</v>
          </cell>
          <cell r="R3" t="str">
            <v>áno</v>
          </cell>
          <cell r="S3">
            <v>10.980821917808219</v>
          </cell>
          <cell r="T3" t="str">
            <v>áno</v>
          </cell>
          <cell r="U3">
            <v>10.980821917808219</v>
          </cell>
          <cell r="V3">
            <v>42430</v>
          </cell>
          <cell r="W3">
            <v>43281</v>
          </cell>
          <cell r="X3">
            <v>42795</v>
          </cell>
          <cell r="Y3">
            <v>43524</v>
          </cell>
          <cell r="Z3">
            <v>27.978082191780821</v>
          </cell>
          <cell r="AA3">
            <v>23.967123287671232</v>
          </cell>
          <cell r="AB3">
            <v>35.967123287671228</v>
          </cell>
          <cell r="AC3" t="str">
            <v>áno</v>
          </cell>
          <cell r="AD3">
            <v>12</v>
          </cell>
          <cell r="AE3" t="str">
            <v>áno</v>
          </cell>
          <cell r="AF3">
            <v>7.9890410958904114</v>
          </cell>
          <cell r="AG3">
            <v>42795</v>
          </cell>
          <cell r="AH3" t="str">
            <v>ok</v>
          </cell>
          <cell r="AJ3" t="b">
            <v>1</v>
          </cell>
        </row>
        <row r="4">
          <cell r="A4" t="str">
            <v>310011A003</v>
          </cell>
          <cell r="B4" t="str">
            <v>1.2.1</v>
          </cell>
          <cell r="C4" t="str">
            <v>OPKZP-PO1-SC121/122-2015</v>
          </cell>
          <cell r="D4" t="str">
            <v>Obec Bojná</v>
          </cell>
          <cell r="E4" t="str">
            <v>Kanalizácia a ČOV Bojná-Veľké Dvorany</v>
          </cell>
          <cell r="F4">
            <v>42510</v>
          </cell>
          <cell r="G4" t="str">
            <v/>
          </cell>
          <cell r="H4">
            <v>43312</v>
          </cell>
          <cell r="I4">
            <v>42522</v>
          </cell>
          <cell r="J4">
            <v>43312</v>
          </cell>
          <cell r="K4">
            <v>42522</v>
          </cell>
          <cell r="L4">
            <v>43312</v>
          </cell>
          <cell r="M4" t="str">
            <v/>
          </cell>
          <cell r="N4" t="str">
            <v/>
          </cell>
          <cell r="O4">
            <v>25.972602739726028</v>
          </cell>
          <cell r="P4">
            <v>25.972602739726028</v>
          </cell>
          <cell r="Q4">
            <v>25.972602739726028</v>
          </cell>
          <cell r="R4" t="str">
            <v>nie</v>
          </cell>
          <cell r="S4">
            <v>0</v>
          </cell>
          <cell r="T4" t="str">
            <v>nie</v>
          </cell>
          <cell r="U4">
            <v>0</v>
          </cell>
          <cell r="V4">
            <v>42430</v>
          </cell>
          <cell r="W4">
            <v>43312</v>
          </cell>
          <cell r="X4">
            <v>42430</v>
          </cell>
          <cell r="Y4">
            <v>43312</v>
          </cell>
          <cell r="Z4">
            <v>28.997260273972604</v>
          </cell>
          <cell r="AA4">
            <v>28.997260273972604</v>
          </cell>
          <cell r="AB4">
            <v>28.997260273972604</v>
          </cell>
          <cell r="AC4" t="str">
            <v>nie</v>
          </cell>
          <cell r="AD4">
            <v>0</v>
          </cell>
          <cell r="AE4" t="str">
            <v>nie</v>
          </cell>
          <cell r="AF4">
            <v>0</v>
          </cell>
          <cell r="AG4">
            <v>42430</v>
          </cell>
          <cell r="AH4" t="str">
            <v>ok</v>
          </cell>
          <cell r="AJ4" t="b">
            <v>1</v>
          </cell>
        </row>
        <row r="5">
          <cell r="A5" t="str">
            <v>310011A006</v>
          </cell>
          <cell r="B5" t="str">
            <v>1.2.1</v>
          </cell>
          <cell r="C5" t="str">
            <v>OPKZP-PO1-SC121/122-2015</v>
          </cell>
          <cell r="D5" t="str">
            <v>Stredoslovenská vodárenská spoločnosť,  a.s.</v>
          </cell>
          <cell r="E5" t="str">
            <v>Očová, Zvolenská Slatina - odvedenie a čistenie odpadových vôd</v>
          </cell>
          <cell r="F5">
            <v>42453</v>
          </cell>
          <cell r="G5" t="str">
            <v/>
          </cell>
          <cell r="H5">
            <v>44196</v>
          </cell>
          <cell r="I5">
            <v>42614</v>
          </cell>
          <cell r="J5">
            <v>44196</v>
          </cell>
          <cell r="K5">
            <v>42948</v>
          </cell>
          <cell r="L5">
            <v>44196</v>
          </cell>
          <cell r="M5">
            <v>0</v>
          </cell>
          <cell r="N5">
            <v>0</v>
          </cell>
          <cell r="O5">
            <v>52.010958904109586</v>
          </cell>
          <cell r="P5">
            <v>41.030136986301372</v>
          </cell>
          <cell r="Q5">
            <v>52.010958904109586</v>
          </cell>
          <cell r="R5" t="str">
            <v>áno</v>
          </cell>
          <cell r="S5">
            <v>10.980821917808219</v>
          </cell>
          <cell r="T5" t="str">
            <v>nie</v>
          </cell>
          <cell r="U5">
            <v>0</v>
          </cell>
          <cell r="V5">
            <v>42614</v>
          </cell>
          <cell r="W5">
            <v>44196</v>
          </cell>
          <cell r="X5">
            <v>42795</v>
          </cell>
          <cell r="Y5">
            <v>44196</v>
          </cell>
          <cell r="Z5">
            <v>52.010958904109586</v>
          </cell>
          <cell r="AA5">
            <v>46.060273972602737</v>
          </cell>
          <cell r="AB5">
            <v>52.010958904109586</v>
          </cell>
          <cell r="AC5" t="str">
            <v>áno</v>
          </cell>
          <cell r="AD5">
            <v>5.9506849315068493</v>
          </cell>
          <cell r="AE5" t="str">
            <v>nie</v>
          </cell>
          <cell r="AF5">
            <v>0</v>
          </cell>
          <cell r="AG5">
            <v>42795</v>
          </cell>
          <cell r="AH5" t="str">
            <v>ok</v>
          </cell>
          <cell r="AJ5" t="b">
            <v>1</v>
          </cell>
        </row>
        <row r="6">
          <cell r="A6" t="str">
            <v>310011A007</v>
          </cell>
          <cell r="B6" t="str">
            <v>1.2.1</v>
          </cell>
          <cell r="C6" t="str">
            <v>OPKZP-PO1-SC121/122-2015</v>
          </cell>
          <cell r="D6" t="str">
            <v>Združenie obcí AGLOMERÁCIA HRONOVCE</v>
          </cell>
          <cell r="E6" t="str">
            <v>Vybudovanie kanalizácie a ČOV v aglomerácií Hronovce</v>
          </cell>
          <cell r="F6">
            <v>42444</v>
          </cell>
          <cell r="G6" t="str">
            <v/>
          </cell>
          <cell r="H6">
            <v>43220</v>
          </cell>
          <cell r="I6">
            <v>42370</v>
          </cell>
          <cell r="J6">
            <v>43100</v>
          </cell>
          <cell r="K6">
            <v>42491</v>
          </cell>
          <cell r="L6">
            <v>43220</v>
          </cell>
          <cell r="M6">
            <v>0</v>
          </cell>
          <cell r="N6">
            <v>0</v>
          </cell>
          <cell r="O6">
            <v>24</v>
          </cell>
          <cell r="P6">
            <v>23.967123287671232</v>
          </cell>
          <cell r="Q6">
            <v>27.945205479452056</v>
          </cell>
          <cell r="R6" t="str">
            <v>áno</v>
          </cell>
          <cell r="S6">
            <v>3.978082191780822</v>
          </cell>
          <cell r="T6" t="str">
            <v>áno</v>
          </cell>
          <cell r="U6">
            <v>3.9452054794520546</v>
          </cell>
          <cell r="V6">
            <v>42370</v>
          </cell>
          <cell r="W6">
            <v>43100</v>
          </cell>
          <cell r="X6">
            <v>42491</v>
          </cell>
          <cell r="Y6">
            <v>43220</v>
          </cell>
          <cell r="Z6">
            <v>24</v>
          </cell>
          <cell r="AA6">
            <v>23.967123287671232</v>
          </cell>
          <cell r="AB6">
            <v>27.945205479452056</v>
          </cell>
          <cell r="AC6" t="str">
            <v>áno</v>
          </cell>
          <cell r="AD6">
            <v>3.978082191780822</v>
          </cell>
          <cell r="AE6" t="str">
            <v>áno</v>
          </cell>
          <cell r="AF6">
            <v>3.9452054794520546</v>
          </cell>
          <cell r="AG6">
            <v>42491</v>
          </cell>
          <cell r="AH6" t="str">
            <v>ok</v>
          </cell>
          <cell r="AJ6" t="b">
            <v>1</v>
          </cell>
        </row>
        <row r="7">
          <cell r="A7" t="str">
            <v>310011A008</v>
          </cell>
          <cell r="B7" t="str">
            <v>1.2.1</v>
          </cell>
          <cell r="C7" t="str">
            <v>OPKZP-PO1-SC121/122-2015</v>
          </cell>
          <cell r="D7" t="str">
            <v>Regionálna vodárenská spoločnosť Vlára-Váh, s.r.o.</v>
          </cell>
          <cell r="E7" t="str">
            <v>Odkanalizovanie Mikroregiónu Vlára - Váh a intenzifikácia ČOV Nemšová</v>
          </cell>
          <cell r="F7">
            <v>42448</v>
          </cell>
          <cell r="G7" t="str">
            <v/>
          </cell>
          <cell r="H7">
            <v>43190</v>
          </cell>
          <cell r="I7">
            <v>42552</v>
          </cell>
          <cell r="J7">
            <v>43100</v>
          </cell>
          <cell r="K7">
            <v>42552</v>
          </cell>
          <cell r="L7">
            <v>43100</v>
          </cell>
          <cell r="M7">
            <v>0</v>
          </cell>
          <cell r="N7">
            <v>0</v>
          </cell>
          <cell r="O7">
            <v>18.016438356164386</v>
          </cell>
          <cell r="P7">
            <v>18.016438356164386</v>
          </cell>
          <cell r="Q7">
            <v>18.016438356164386</v>
          </cell>
          <cell r="R7" t="str">
            <v>nie</v>
          </cell>
          <cell r="S7">
            <v>0</v>
          </cell>
          <cell r="T7" t="str">
            <v>nie</v>
          </cell>
          <cell r="U7">
            <v>0</v>
          </cell>
          <cell r="V7">
            <v>42461</v>
          </cell>
          <cell r="W7">
            <v>43190</v>
          </cell>
          <cell r="X7">
            <v>42461</v>
          </cell>
          <cell r="Y7">
            <v>43190</v>
          </cell>
          <cell r="Z7">
            <v>23.967123287671232</v>
          </cell>
          <cell r="AA7">
            <v>23.967123287671232</v>
          </cell>
          <cell r="AB7">
            <v>23.967123287671232</v>
          </cell>
          <cell r="AC7" t="str">
            <v>nie</v>
          </cell>
          <cell r="AD7">
            <v>0</v>
          </cell>
          <cell r="AE7" t="str">
            <v>nie</v>
          </cell>
          <cell r="AF7">
            <v>0</v>
          </cell>
          <cell r="AG7">
            <v>42461</v>
          </cell>
          <cell r="AH7" t="str">
            <v>ok</v>
          </cell>
          <cell r="AJ7" t="b">
            <v>0</v>
          </cell>
        </row>
        <row r="8">
          <cell r="A8" t="str">
            <v>310011A009</v>
          </cell>
          <cell r="B8" t="str">
            <v>1.2.1</v>
          </cell>
          <cell r="C8" t="str">
            <v>OPKZP-PO1-SC121/122-2015</v>
          </cell>
          <cell r="D8" t="str">
            <v>Obec Šoporňa</v>
          </cell>
          <cell r="E8" t="str">
            <v>Šoporňa - rozšírenie kanalizácie a ČOV</v>
          </cell>
          <cell r="F8">
            <v>42453</v>
          </cell>
          <cell r="G8" t="str">
            <v/>
          </cell>
          <cell r="H8">
            <v>43889</v>
          </cell>
          <cell r="I8">
            <v>42461</v>
          </cell>
          <cell r="J8">
            <v>43190</v>
          </cell>
          <cell r="K8">
            <v>42948</v>
          </cell>
          <cell r="L8">
            <v>43889</v>
          </cell>
          <cell r="M8">
            <v>42795</v>
          </cell>
          <cell r="N8">
            <v>43524</v>
          </cell>
          <cell r="O8">
            <v>23.967123287671232</v>
          </cell>
          <cell r="P8">
            <v>30.936986301369863</v>
          </cell>
          <cell r="Q8">
            <v>46.947945205479449</v>
          </cell>
          <cell r="R8" t="str">
            <v>áno</v>
          </cell>
          <cell r="S8">
            <v>16.010958904109589</v>
          </cell>
          <cell r="T8" t="str">
            <v>áno</v>
          </cell>
          <cell r="U8">
            <v>22.980821917808221</v>
          </cell>
          <cell r="V8">
            <v>42430</v>
          </cell>
          <cell r="W8">
            <v>43281</v>
          </cell>
          <cell r="X8">
            <v>42430</v>
          </cell>
          <cell r="Y8">
            <v>43889</v>
          </cell>
          <cell r="Z8">
            <v>27.978082191780821</v>
          </cell>
          <cell r="AA8">
            <v>47.967123287671228</v>
          </cell>
          <cell r="AB8">
            <v>47.967123287671228</v>
          </cell>
          <cell r="AC8" t="str">
            <v>nie</v>
          </cell>
          <cell r="AD8">
            <v>0</v>
          </cell>
          <cell r="AE8" t="str">
            <v>áno</v>
          </cell>
          <cell r="AF8">
            <v>19.989041095890411</v>
          </cell>
          <cell r="AG8">
            <v>42430</v>
          </cell>
          <cell r="AH8" t="str">
            <v>ok</v>
          </cell>
          <cell r="AJ8" t="b">
            <v>1</v>
          </cell>
        </row>
        <row r="9">
          <cell r="A9" t="str">
            <v>310011A010</v>
          </cell>
          <cell r="B9" t="str">
            <v>1.2.1</v>
          </cell>
          <cell r="C9" t="str">
            <v>OPKZP-PO1-SC121/122-2015</v>
          </cell>
          <cell r="D9" t="str">
            <v>Stredoslovenská vodárenská spoločnosť,  a.s.</v>
          </cell>
          <cell r="E9" t="str">
            <v>Aglomerácia Nedožery-Brezany - kanalizácia</v>
          </cell>
          <cell r="F9">
            <v>42459</v>
          </cell>
          <cell r="G9" t="str">
            <v/>
          </cell>
          <cell r="H9">
            <v>44165</v>
          </cell>
          <cell r="I9">
            <v>42614</v>
          </cell>
          <cell r="J9">
            <v>43830</v>
          </cell>
          <cell r="K9">
            <v>42979</v>
          </cell>
          <cell r="L9">
            <v>44165</v>
          </cell>
          <cell r="M9">
            <v>0</v>
          </cell>
          <cell r="N9">
            <v>0</v>
          </cell>
          <cell r="O9">
            <v>39.978082191780821</v>
          </cell>
          <cell r="P9">
            <v>38.991780821917814</v>
          </cell>
          <cell r="Q9">
            <v>50.991780821917814</v>
          </cell>
          <cell r="R9" t="str">
            <v>áno</v>
          </cell>
          <cell r="S9">
            <v>12</v>
          </cell>
          <cell r="T9" t="str">
            <v>áno</v>
          </cell>
          <cell r="U9">
            <v>11.013698630136986</v>
          </cell>
          <cell r="V9">
            <v>42614</v>
          </cell>
          <cell r="W9">
            <v>43830</v>
          </cell>
          <cell r="X9">
            <v>42979</v>
          </cell>
          <cell r="Y9">
            <v>44165</v>
          </cell>
          <cell r="Z9">
            <v>39.978082191780821</v>
          </cell>
          <cell r="AA9">
            <v>38.991780821917814</v>
          </cell>
          <cell r="AB9">
            <v>50.991780821917814</v>
          </cell>
          <cell r="AC9" t="str">
            <v>áno</v>
          </cell>
          <cell r="AD9">
            <v>12</v>
          </cell>
          <cell r="AE9" t="str">
            <v>áno</v>
          </cell>
          <cell r="AF9">
            <v>11.013698630136986</v>
          </cell>
          <cell r="AG9">
            <v>42979</v>
          </cell>
          <cell r="AH9" t="str">
            <v>ok</v>
          </cell>
          <cell r="AJ9" t="b">
            <v>1</v>
          </cell>
        </row>
        <row r="10">
          <cell r="A10" t="str">
            <v>310011A011</v>
          </cell>
          <cell r="B10" t="str">
            <v>1.2.1 
1.2.2</v>
          </cell>
          <cell r="C10" t="str">
            <v>OPKZP-PO1-SC121/122-2015</v>
          </cell>
          <cell r="D10" t="str">
            <v>Turčianska vodárenská spoločnosť, a.s.</v>
          </cell>
          <cell r="E10" t="str">
            <v>Turčiansky Peter, Košťany nad Turcom - odkanalizovanie</v>
          </cell>
          <cell r="F10">
            <v>42441</v>
          </cell>
          <cell r="G10" t="str">
            <v/>
          </cell>
          <cell r="H10">
            <v>43190</v>
          </cell>
          <cell r="I10">
            <v>42461</v>
          </cell>
          <cell r="J10">
            <v>43131</v>
          </cell>
          <cell r="K10">
            <v>42461</v>
          </cell>
          <cell r="L10">
            <v>43131</v>
          </cell>
          <cell r="M10" t="str">
            <v>n/a</v>
          </cell>
          <cell r="N10" t="str">
            <v>n/a</v>
          </cell>
          <cell r="O10">
            <v>22.027397260273972</v>
          </cell>
          <cell r="P10">
            <v>22.027397260273972</v>
          </cell>
          <cell r="Q10">
            <v>22.027397260273972</v>
          </cell>
          <cell r="R10" t="str">
            <v>nie</v>
          </cell>
          <cell r="S10">
            <v>0</v>
          </cell>
          <cell r="T10" t="str">
            <v>nie</v>
          </cell>
          <cell r="U10">
            <v>0</v>
          </cell>
          <cell r="V10">
            <v>42461</v>
          </cell>
          <cell r="W10">
            <v>43190</v>
          </cell>
          <cell r="X10">
            <v>42461</v>
          </cell>
          <cell r="Y10">
            <v>43190</v>
          </cell>
          <cell r="Z10">
            <v>23.967123287671232</v>
          </cell>
          <cell r="AA10">
            <v>23.967123287671232</v>
          </cell>
          <cell r="AB10">
            <v>23.967123287671232</v>
          </cell>
          <cell r="AC10" t="str">
            <v>nie</v>
          </cell>
          <cell r="AD10">
            <v>0</v>
          </cell>
          <cell r="AE10" t="str">
            <v>nie</v>
          </cell>
          <cell r="AF10">
            <v>0</v>
          </cell>
          <cell r="AG10">
            <v>42461</v>
          </cell>
          <cell r="AH10" t="str">
            <v>ok</v>
          </cell>
          <cell r="AJ10" t="b">
            <v>0</v>
          </cell>
        </row>
        <row r="11">
          <cell r="A11" t="str">
            <v>310011A012</v>
          </cell>
          <cell r="B11" t="str">
            <v>1.2.1</v>
          </cell>
          <cell r="C11" t="str">
            <v>OPKZP-PO1-SC121/122-2015</v>
          </cell>
          <cell r="D11" t="str">
            <v>Obec Víťaz</v>
          </cell>
          <cell r="E11" t="str">
            <v>Kanalizácia a ČOV - Víťaz</v>
          </cell>
          <cell r="F11">
            <v>42511</v>
          </cell>
          <cell r="G11">
            <v>42860</v>
          </cell>
          <cell r="H11">
            <v>43951</v>
          </cell>
          <cell r="I11">
            <v>42491</v>
          </cell>
          <cell r="J11">
            <v>43951</v>
          </cell>
          <cell r="K11">
            <v>42675</v>
          </cell>
          <cell r="L11">
            <v>43951</v>
          </cell>
          <cell r="M11">
            <v>0</v>
          </cell>
          <cell r="N11">
            <v>0</v>
          </cell>
          <cell r="O11">
            <v>48</v>
          </cell>
          <cell r="P11">
            <v>41.950684931506849</v>
          </cell>
          <cell r="Q11">
            <v>48</v>
          </cell>
          <cell r="R11" t="str">
            <v>áno</v>
          </cell>
          <cell r="S11">
            <v>6.0493150684931507</v>
          </cell>
          <cell r="T11" t="str">
            <v>nie</v>
          </cell>
          <cell r="U11">
            <v>0</v>
          </cell>
          <cell r="V11">
            <v>42491</v>
          </cell>
          <cell r="W11">
            <v>43951</v>
          </cell>
          <cell r="X11">
            <v>42675</v>
          </cell>
          <cell r="Y11">
            <v>43951</v>
          </cell>
          <cell r="Z11">
            <v>48</v>
          </cell>
          <cell r="AA11">
            <v>41.950684931506849</v>
          </cell>
          <cell r="AB11">
            <v>48</v>
          </cell>
          <cell r="AC11" t="str">
            <v>áno</v>
          </cell>
          <cell r="AD11">
            <v>6.0493150684931507</v>
          </cell>
          <cell r="AE11" t="str">
            <v>nie</v>
          </cell>
          <cell r="AF11">
            <v>0</v>
          </cell>
          <cell r="AG11">
            <v>42675</v>
          </cell>
          <cell r="AH11" t="str">
            <v>ok</v>
          </cell>
          <cell r="AJ11" t="b">
            <v>1</v>
          </cell>
        </row>
        <row r="12">
          <cell r="A12" t="str">
            <v>310011A013</v>
          </cell>
          <cell r="B12" t="str">
            <v>1.2.1</v>
          </cell>
          <cell r="C12" t="str">
            <v>OPKZP-PO1-SC121/122-2015</v>
          </cell>
          <cell r="D12" t="str">
            <v>Obec Tekovské Lužany</v>
          </cell>
          <cell r="E12" t="str">
            <v>Obecná kanalizácia a ČOV Tekovské Lužany</v>
          </cell>
          <cell r="F12">
            <v>42496</v>
          </cell>
          <cell r="G12" t="str">
            <v/>
          </cell>
          <cell r="H12">
            <v>43708</v>
          </cell>
          <cell r="I12">
            <v>42430</v>
          </cell>
          <cell r="J12">
            <v>43159</v>
          </cell>
          <cell r="K12">
            <v>42887</v>
          </cell>
          <cell r="L12">
            <v>43708</v>
          </cell>
          <cell r="M12" t="str">
            <v/>
          </cell>
          <cell r="N12" t="str">
            <v/>
          </cell>
          <cell r="O12">
            <v>23.967123287671232</v>
          </cell>
          <cell r="P12">
            <v>26.991780821917811</v>
          </cell>
          <cell r="Q12">
            <v>42.016438356164386</v>
          </cell>
          <cell r="R12" t="str">
            <v>áno</v>
          </cell>
          <cell r="S12">
            <v>15.024657534246575</v>
          </cell>
          <cell r="T12" t="str">
            <v>áno</v>
          </cell>
          <cell r="U12">
            <v>18.049315068493151</v>
          </cell>
          <cell r="V12">
            <v>42430</v>
          </cell>
          <cell r="W12">
            <v>43159</v>
          </cell>
          <cell r="X12">
            <v>42887</v>
          </cell>
          <cell r="Y12">
            <v>43708</v>
          </cell>
          <cell r="Z12">
            <v>23.967123287671232</v>
          </cell>
          <cell r="AA12">
            <v>26.991780821917811</v>
          </cell>
          <cell r="AB12">
            <v>42.016438356164386</v>
          </cell>
          <cell r="AC12" t="str">
            <v>áno</v>
          </cell>
          <cell r="AD12">
            <v>15.024657534246575</v>
          </cell>
          <cell r="AE12" t="str">
            <v>áno</v>
          </cell>
          <cell r="AF12">
            <v>18.049315068493151</v>
          </cell>
          <cell r="AG12">
            <v>42887</v>
          </cell>
          <cell r="AH12" t="str">
            <v>ok</v>
          </cell>
          <cell r="AJ12" t="b">
            <v>1</v>
          </cell>
        </row>
        <row r="13">
          <cell r="A13" t="str">
            <v>310011A014</v>
          </cell>
          <cell r="B13" t="str">
            <v>1.2.1</v>
          </cell>
          <cell r="C13" t="str">
            <v>OPKZP-PO1-SC121/122-2015</v>
          </cell>
          <cell r="D13" t="str">
            <v>Obec Petrovany</v>
          </cell>
          <cell r="E13" t="str">
            <v>Odkanalizovanie aglomerácie Kendice</v>
          </cell>
          <cell r="F13">
            <v>42446</v>
          </cell>
          <cell r="G13" t="str">
            <v/>
          </cell>
          <cell r="H13">
            <v>43465</v>
          </cell>
          <cell r="I13">
            <v>42370</v>
          </cell>
          <cell r="J13">
            <v>43100</v>
          </cell>
          <cell r="K13">
            <v>42522</v>
          </cell>
          <cell r="L13">
            <v>43465</v>
          </cell>
          <cell r="M13">
            <v>42491</v>
          </cell>
          <cell r="N13">
            <v>43465</v>
          </cell>
          <cell r="O13">
            <v>24</v>
          </cell>
          <cell r="P13">
            <v>31.002739726027396</v>
          </cell>
          <cell r="Q13">
            <v>36</v>
          </cell>
          <cell r="R13" t="str">
            <v>áno</v>
          </cell>
          <cell r="S13">
            <v>4.9972602739726026</v>
          </cell>
          <cell r="T13" t="str">
            <v>áno</v>
          </cell>
          <cell r="U13">
            <v>12</v>
          </cell>
          <cell r="V13">
            <v>42370</v>
          </cell>
          <cell r="W13">
            <v>43100</v>
          </cell>
          <cell r="X13">
            <v>42522</v>
          </cell>
          <cell r="Y13">
            <v>43465</v>
          </cell>
          <cell r="Z13">
            <v>24</v>
          </cell>
          <cell r="AA13">
            <v>31.002739726027396</v>
          </cell>
          <cell r="AB13">
            <v>36</v>
          </cell>
          <cell r="AC13" t="str">
            <v>áno</v>
          </cell>
          <cell r="AD13">
            <v>4.9972602739726026</v>
          </cell>
          <cell r="AE13" t="str">
            <v>áno</v>
          </cell>
          <cell r="AF13">
            <v>12</v>
          </cell>
          <cell r="AG13">
            <v>42522</v>
          </cell>
          <cell r="AH13" t="str">
            <v>ok</v>
          </cell>
          <cell r="AJ13" t="b">
            <v>1</v>
          </cell>
        </row>
        <row r="14">
          <cell r="A14" t="str">
            <v>310011A016</v>
          </cell>
          <cell r="B14" t="str">
            <v>1.2.1</v>
          </cell>
          <cell r="C14" t="str">
            <v>OPKZP-PO1-SC121/122-2015</v>
          </cell>
          <cell r="D14" t="str">
            <v>Obec Podolie</v>
          </cell>
          <cell r="E14" t="str">
            <v>Vybudovanie a využívanie stokovej siete v aglomerácii obcí Podolie a Očkov</v>
          </cell>
          <cell r="F14">
            <v>42441</v>
          </cell>
          <cell r="G14" t="str">
            <v/>
          </cell>
          <cell r="H14">
            <v>43434</v>
          </cell>
          <cell r="I14">
            <v>42370</v>
          </cell>
          <cell r="J14">
            <v>42916</v>
          </cell>
          <cell r="K14">
            <v>42826</v>
          </cell>
          <cell r="L14">
            <v>43434</v>
          </cell>
          <cell r="M14">
            <v>0</v>
          </cell>
          <cell r="N14">
            <v>0</v>
          </cell>
          <cell r="O14">
            <v>17.950684931506849</v>
          </cell>
          <cell r="P14">
            <v>19.989041095890411</v>
          </cell>
          <cell r="Q14">
            <v>34.980821917808221</v>
          </cell>
          <cell r="R14" t="str">
            <v>áno</v>
          </cell>
          <cell r="S14">
            <v>14.991780821917807</v>
          </cell>
          <cell r="T14" t="str">
            <v>áno</v>
          </cell>
          <cell r="U14">
            <v>17.030136986301368</v>
          </cell>
          <cell r="V14">
            <v>42370</v>
          </cell>
          <cell r="W14">
            <v>42916</v>
          </cell>
          <cell r="X14">
            <v>42736</v>
          </cell>
          <cell r="Y14">
            <v>43281</v>
          </cell>
          <cell r="Z14">
            <v>17.950684931506849</v>
          </cell>
          <cell r="AA14">
            <v>17.917808219178081</v>
          </cell>
          <cell r="AB14">
            <v>29.950684931506849</v>
          </cell>
          <cell r="AC14" t="str">
            <v>áno</v>
          </cell>
          <cell r="AD14">
            <v>12.032876712328768</v>
          </cell>
          <cell r="AE14" t="str">
            <v>áno</v>
          </cell>
          <cell r="AF14">
            <v>12</v>
          </cell>
          <cell r="AG14">
            <v>42736</v>
          </cell>
          <cell r="AH14" t="str">
            <v>ok</v>
          </cell>
          <cell r="AJ14" t="b">
            <v>0</v>
          </cell>
        </row>
        <row r="15">
          <cell r="A15" t="str">
            <v>310011A019</v>
          </cell>
          <cell r="B15" t="str">
            <v>1.2.1 
1.2.2</v>
          </cell>
          <cell r="C15" t="str">
            <v>OPKZP-PO1-SC121/122-2015</v>
          </cell>
          <cell r="D15" t="str">
            <v>ZDRUŽENIE OBCÍ ENVIROPARK POMORAVIE</v>
          </cell>
          <cell r="E15" t="str">
            <v>Dobudovanie kanalizačnej siete v aglomerácii Veľké Leváre a rozšírenie ČOV Gajary</v>
          </cell>
          <cell r="F15">
            <v>42452</v>
          </cell>
          <cell r="G15">
            <v>42905</v>
          </cell>
          <cell r="H15">
            <v>43281</v>
          </cell>
          <cell r="I15">
            <v>42552</v>
          </cell>
          <cell r="J15">
            <v>43131</v>
          </cell>
          <cell r="K15">
            <v>42736</v>
          </cell>
          <cell r="L15">
            <v>43281</v>
          </cell>
          <cell r="M15">
            <v>0</v>
          </cell>
          <cell r="N15">
            <v>0</v>
          </cell>
          <cell r="O15">
            <v>19.035616438356165</v>
          </cell>
          <cell r="P15">
            <v>17.917808219178081</v>
          </cell>
          <cell r="Q15">
            <v>23.967123287671232</v>
          </cell>
          <cell r="R15" t="str">
            <v>áno</v>
          </cell>
          <cell r="S15">
            <v>6.0493150684931507</v>
          </cell>
          <cell r="T15" t="str">
            <v>áno</v>
          </cell>
          <cell r="U15">
            <v>4.9315068493150687</v>
          </cell>
          <cell r="V15">
            <v>42552</v>
          </cell>
          <cell r="W15">
            <v>43131</v>
          </cell>
          <cell r="X15">
            <v>42736</v>
          </cell>
          <cell r="Y15">
            <v>43281</v>
          </cell>
          <cell r="Z15">
            <v>19.035616438356165</v>
          </cell>
          <cell r="AA15">
            <v>17.917808219178081</v>
          </cell>
          <cell r="AB15">
            <v>23.967123287671232</v>
          </cell>
          <cell r="AC15" t="str">
            <v>áno</v>
          </cell>
          <cell r="AD15">
            <v>6.0493150684931507</v>
          </cell>
          <cell r="AE15" t="str">
            <v>áno</v>
          </cell>
          <cell r="AF15">
            <v>4.9315068493150687</v>
          </cell>
          <cell r="AG15">
            <v>42736</v>
          </cell>
          <cell r="AH15" t="str">
            <v>ok</v>
          </cell>
          <cell r="AJ15" t="b">
            <v>1</v>
          </cell>
        </row>
        <row r="16">
          <cell r="A16" t="str">
            <v>310011A023</v>
          </cell>
          <cell r="B16" t="str">
            <v>1.2.1</v>
          </cell>
          <cell r="C16" t="str">
            <v>OPKZP-PO1-SC121/122-2015</v>
          </cell>
          <cell r="D16" t="str">
            <v>Stredoslovenská vodárenská spoločnosť,  a.s.</v>
          </cell>
          <cell r="E16" t="str">
            <v>Aglomerácia Hriňová - kanalizácia a ČOV</v>
          </cell>
          <cell r="F16">
            <v>42462</v>
          </cell>
          <cell r="G16" t="str">
            <v/>
          </cell>
          <cell r="H16">
            <v>44196</v>
          </cell>
          <cell r="I16">
            <v>42614</v>
          </cell>
          <cell r="J16">
            <v>44196</v>
          </cell>
          <cell r="K16">
            <v>42705</v>
          </cell>
          <cell r="L16">
            <v>44196</v>
          </cell>
          <cell r="M16" t="str">
            <v/>
          </cell>
          <cell r="N16" t="str">
            <v/>
          </cell>
          <cell r="O16">
            <v>52.010958904109586</v>
          </cell>
          <cell r="P16">
            <v>49.019178082191786</v>
          </cell>
          <cell r="Q16">
            <v>52.010958904109586</v>
          </cell>
          <cell r="R16" t="str">
            <v>áno</v>
          </cell>
          <cell r="S16">
            <v>2.9917808219178084</v>
          </cell>
          <cell r="T16" t="str">
            <v>nie</v>
          </cell>
          <cell r="U16">
            <v>0</v>
          </cell>
          <cell r="V16">
            <v>42614</v>
          </cell>
          <cell r="W16">
            <v>44196</v>
          </cell>
          <cell r="X16">
            <v>42705</v>
          </cell>
          <cell r="Y16">
            <v>44196</v>
          </cell>
          <cell r="Z16">
            <v>52.010958904109586</v>
          </cell>
          <cell r="AA16">
            <v>49.019178082191786</v>
          </cell>
          <cell r="AB16">
            <v>52.010958904109586</v>
          </cell>
          <cell r="AC16" t="str">
            <v>áno</v>
          </cell>
          <cell r="AD16">
            <v>2.9917808219178084</v>
          </cell>
          <cell r="AE16" t="str">
            <v>nie</v>
          </cell>
          <cell r="AF16">
            <v>0</v>
          </cell>
          <cell r="AG16">
            <v>42705</v>
          </cell>
          <cell r="AH16" t="str">
            <v>ok</v>
          </cell>
          <cell r="AJ16" t="b">
            <v>1</v>
          </cell>
        </row>
        <row r="17">
          <cell r="A17" t="str">
            <v>310011A028</v>
          </cell>
          <cell r="B17" t="str">
            <v>1.2.1</v>
          </cell>
          <cell r="C17" t="str">
            <v>OPKZP-PO1-SC121/122-2015</v>
          </cell>
          <cell r="D17" t="str">
            <v>Bratislavská vodárenská spoločnosť, a.s.</v>
          </cell>
          <cell r="E17" t="str">
            <v>ČOV Rohožník – rekonštrukcia a modernizácia</v>
          </cell>
          <cell r="F17">
            <v>42448</v>
          </cell>
          <cell r="G17" t="str">
            <v/>
          </cell>
          <cell r="H17">
            <v>43799</v>
          </cell>
          <cell r="I17">
            <v>42614</v>
          </cell>
          <cell r="J17">
            <v>43524</v>
          </cell>
          <cell r="K17">
            <v>42917</v>
          </cell>
          <cell r="L17">
            <v>43799</v>
          </cell>
          <cell r="M17">
            <v>0</v>
          </cell>
          <cell r="N17">
            <v>0</v>
          </cell>
          <cell r="O17">
            <v>29.917808219178085</v>
          </cell>
          <cell r="P17">
            <v>28.997260273972604</v>
          </cell>
          <cell r="Q17">
            <v>38.958904109589042</v>
          </cell>
          <cell r="R17" t="str">
            <v>áno</v>
          </cell>
          <cell r="S17">
            <v>9.9616438356164387</v>
          </cell>
          <cell r="T17" t="str">
            <v>áno</v>
          </cell>
          <cell r="U17">
            <v>9.0410958904109595</v>
          </cell>
          <cell r="V17">
            <v>42614</v>
          </cell>
          <cell r="W17">
            <v>43524</v>
          </cell>
          <cell r="X17">
            <v>42795</v>
          </cell>
          <cell r="Y17">
            <v>43708</v>
          </cell>
          <cell r="Z17">
            <v>29.917808219178085</v>
          </cell>
          <cell r="AA17">
            <v>30.016438356164386</v>
          </cell>
          <cell r="AB17">
            <v>35.967123287671228</v>
          </cell>
          <cell r="AC17" t="str">
            <v>áno</v>
          </cell>
          <cell r="AD17">
            <v>5.9506849315068493</v>
          </cell>
          <cell r="AE17" t="str">
            <v>áno</v>
          </cell>
          <cell r="AF17">
            <v>6.0493150684931507</v>
          </cell>
          <cell r="AG17">
            <v>42795</v>
          </cell>
          <cell r="AH17" t="str">
            <v>ok</v>
          </cell>
          <cell r="AJ17" t="b">
            <v>0</v>
          </cell>
        </row>
        <row r="18">
          <cell r="A18" t="str">
            <v>310011A029</v>
          </cell>
          <cell r="B18" t="str">
            <v>1.2.1</v>
          </cell>
          <cell r="C18" t="str">
            <v>OPKZP-PO1-SC121/122-2015</v>
          </cell>
          <cell r="D18" t="str">
            <v>Obec Čierny Balog</v>
          </cell>
          <cell r="E18" t="str">
            <v>Čierny Balog, kanalizácia a ČOV</v>
          </cell>
          <cell r="F18">
            <v>42453</v>
          </cell>
          <cell r="G18" t="str">
            <v/>
          </cell>
          <cell r="H18">
            <v>43585</v>
          </cell>
          <cell r="I18">
            <v>42491</v>
          </cell>
          <cell r="J18">
            <v>43585</v>
          </cell>
          <cell r="K18">
            <v>42491</v>
          </cell>
          <cell r="L18">
            <v>43585</v>
          </cell>
          <cell r="M18">
            <v>0</v>
          </cell>
          <cell r="N18">
            <v>0</v>
          </cell>
          <cell r="O18">
            <v>35.967123287671228</v>
          </cell>
          <cell r="P18">
            <v>35.967123287671228</v>
          </cell>
          <cell r="Q18">
            <v>35.967123287671228</v>
          </cell>
          <cell r="R18" t="str">
            <v>nie</v>
          </cell>
          <cell r="S18">
            <v>0</v>
          </cell>
          <cell r="T18" t="str">
            <v>nie</v>
          </cell>
          <cell r="U18">
            <v>0</v>
          </cell>
          <cell r="V18">
            <v>42491</v>
          </cell>
          <cell r="W18">
            <v>43585</v>
          </cell>
          <cell r="X18">
            <v>42491</v>
          </cell>
          <cell r="Y18">
            <v>43585</v>
          </cell>
          <cell r="Z18">
            <v>35.967123287671228</v>
          </cell>
          <cell r="AA18">
            <v>35.967123287671228</v>
          </cell>
          <cell r="AB18">
            <v>35.967123287671228</v>
          </cell>
          <cell r="AC18" t="str">
            <v>nie</v>
          </cell>
          <cell r="AD18">
            <v>0</v>
          </cell>
          <cell r="AE18" t="str">
            <v>nie</v>
          </cell>
          <cell r="AF18">
            <v>0</v>
          </cell>
          <cell r="AG18">
            <v>42491</v>
          </cell>
          <cell r="AH18" t="str">
            <v>ok</v>
          </cell>
          <cell r="AJ18" t="b">
            <v>1</v>
          </cell>
        </row>
        <row r="19">
          <cell r="A19" t="str">
            <v>310011A030</v>
          </cell>
          <cell r="B19" t="str">
            <v>1.2.1</v>
          </cell>
          <cell r="C19" t="str">
            <v>OPKZP-PO1-SC121/122-2015</v>
          </cell>
          <cell r="D19" t="str">
            <v>Mesto Myjava</v>
          </cell>
          <cell r="E19" t="str">
            <v>Rozšírenie kanalizácie v meste Myjava</v>
          </cell>
          <cell r="F19">
            <v>42452</v>
          </cell>
          <cell r="G19" t="str">
            <v/>
          </cell>
          <cell r="H19">
            <v>43220</v>
          </cell>
          <cell r="I19">
            <v>42430</v>
          </cell>
          <cell r="J19">
            <v>42735</v>
          </cell>
          <cell r="K19">
            <v>42125</v>
          </cell>
          <cell r="L19">
            <v>43220</v>
          </cell>
          <cell r="M19">
            <v>0</v>
          </cell>
          <cell r="N19">
            <v>0</v>
          </cell>
          <cell r="O19">
            <v>10.027397260273972</v>
          </cell>
          <cell r="P19">
            <v>36</v>
          </cell>
          <cell r="Q19">
            <v>25.972602739726028</v>
          </cell>
          <cell r="R19" t="str">
            <v>áno</v>
          </cell>
          <cell r="S19">
            <v>-10.027397260273972</v>
          </cell>
          <cell r="T19" t="str">
            <v>áno</v>
          </cell>
          <cell r="U19">
            <v>15.945205479452055</v>
          </cell>
          <cell r="V19">
            <v>42430</v>
          </cell>
          <cell r="W19">
            <v>42735</v>
          </cell>
          <cell r="X19">
            <v>42430</v>
          </cell>
          <cell r="Y19">
            <v>43220</v>
          </cell>
          <cell r="Z19">
            <v>10.027397260273972</v>
          </cell>
          <cell r="AA19">
            <v>25.972602739726028</v>
          </cell>
          <cell r="AB19">
            <v>25.972602739726028</v>
          </cell>
          <cell r="AC19" t="str">
            <v>nie</v>
          </cell>
          <cell r="AD19">
            <v>0</v>
          </cell>
          <cell r="AE19" t="str">
            <v>áno</v>
          </cell>
          <cell r="AF19">
            <v>15.945205479452055</v>
          </cell>
          <cell r="AG19">
            <v>42430</v>
          </cell>
          <cell r="AH19" t="str">
            <v>ok</v>
          </cell>
          <cell r="AJ19" t="b">
            <v>1</v>
          </cell>
        </row>
        <row r="20">
          <cell r="A20" t="str">
            <v>310011A032</v>
          </cell>
          <cell r="B20" t="str">
            <v>1.2.1</v>
          </cell>
          <cell r="C20" t="str">
            <v>OPKZP-PO1-SC121/122-2015</v>
          </cell>
          <cell r="D20" t="str">
            <v>Východoslovenská vodárenská spoločnosť, a.s. Košice</v>
          </cell>
          <cell r="E20" t="str">
            <v>Streda nad Bodrogom - kanalizácia a ČOV</v>
          </cell>
          <cell r="F20">
            <v>42452</v>
          </cell>
          <cell r="G20">
            <v>43045</v>
          </cell>
          <cell r="H20">
            <v>43465</v>
          </cell>
          <cell r="I20">
            <v>42430</v>
          </cell>
          <cell r="J20">
            <v>43100</v>
          </cell>
          <cell r="K20">
            <v>42795</v>
          </cell>
          <cell r="L20">
            <v>43465</v>
          </cell>
          <cell r="M20">
            <v>0</v>
          </cell>
          <cell r="N20">
            <v>0</v>
          </cell>
          <cell r="O20">
            <v>22.027397260273972</v>
          </cell>
          <cell r="P20">
            <v>22.027397260273972</v>
          </cell>
          <cell r="Q20">
            <v>34.027397260273972</v>
          </cell>
          <cell r="R20" t="str">
            <v>áno</v>
          </cell>
          <cell r="S20">
            <v>12</v>
          </cell>
          <cell r="T20" t="str">
            <v>áno</v>
          </cell>
          <cell r="U20">
            <v>12</v>
          </cell>
          <cell r="V20">
            <v>42430</v>
          </cell>
          <cell r="W20">
            <v>43100</v>
          </cell>
          <cell r="X20">
            <v>42795</v>
          </cell>
          <cell r="Y20">
            <v>43465</v>
          </cell>
          <cell r="Z20">
            <v>22.027397260273972</v>
          </cell>
          <cell r="AA20">
            <v>22.027397260273972</v>
          </cell>
          <cell r="AB20">
            <v>34.027397260273972</v>
          </cell>
          <cell r="AC20" t="str">
            <v>áno</v>
          </cell>
          <cell r="AD20">
            <v>12</v>
          </cell>
          <cell r="AE20" t="str">
            <v>áno</v>
          </cell>
          <cell r="AF20">
            <v>12</v>
          </cell>
          <cell r="AG20">
            <v>42795</v>
          </cell>
          <cell r="AH20" t="str">
            <v>ok</v>
          </cell>
          <cell r="AJ20" t="b">
            <v>1</v>
          </cell>
        </row>
        <row r="21">
          <cell r="A21" t="str">
            <v>310011A033</v>
          </cell>
          <cell r="B21" t="str">
            <v>1.2.1</v>
          </cell>
          <cell r="C21" t="str">
            <v>OPKZP-PO1-SC121/122-2015</v>
          </cell>
          <cell r="D21" t="str">
            <v>Východoslovenská vodárenská spoločnosť, a.s. Košice</v>
          </cell>
          <cell r="E21" t="str">
            <v>Trhovište, Bánovce nad Ondavou - kanalizácia a ČOV</v>
          </cell>
          <cell r="F21">
            <v>42452</v>
          </cell>
          <cell r="G21" t="str">
            <v/>
          </cell>
          <cell r="H21">
            <v>43646</v>
          </cell>
          <cell r="I21">
            <v>42430</v>
          </cell>
          <cell r="J21">
            <v>43100</v>
          </cell>
          <cell r="K21">
            <v>42979</v>
          </cell>
          <cell r="L21">
            <v>43646</v>
          </cell>
          <cell r="M21">
            <v>42979</v>
          </cell>
          <cell r="N21">
            <v>43646</v>
          </cell>
          <cell r="O21">
            <v>22.027397260273972</v>
          </cell>
          <cell r="P21">
            <v>21.92876712328767</v>
          </cell>
          <cell r="Q21">
            <v>39.978082191780821</v>
          </cell>
          <cell r="R21" t="str">
            <v>áno</v>
          </cell>
          <cell r="S21">
            <v>18.049315068493151</v>
          </cell>
          <cell r="T21" t="str">
            <v>áno</v>
          </cell>
          <cell r="U21">
            <v>17.950684931506849</v>
          </cell>
          <cell r="V21">
            <v>42430</v>
          </cell>
          <cell r="W21">
            <v>43100</v>
          </cell>
          <cell r="X21">
            <v>42979</v>
          </cell>
          <cell r="Y21">
            <v>43646</v>
          </cell>
          <cell r="Z21">
            <v>22.027397260273972</v>
          </cell>
          <cell r="AA21">
            <v>21.92876712328767</v>
          </cell>
          <cell r="AB21">
            <v>39.978082191780821</v>
          </cell>
          <cell r="AC21" t="str">
            <v>áno</v>
          </cell>
          <cell r="AD21">
            <v>18.049315068493151</v>
          </cell>
          <cell r="AE21" t="str">
            <v>áno</v>
          </cell>
          <cell r="AF21">
            <v>17.950684931506849</v>
          </cell>
          <cell r="AG21">
            <v>42979</v>
          </cell>
          <cell r="AH21" t="str">
            <v>ok</v>
          </cell>
          <cell r="AJ21" t="b">
            <v>1</v>
          </cell>
        </row>
        <row r="22">
          <cell r="A22" t="str">
            <v>310011A034</v>
          </cell>
          <cell r="B22" t="str">
            <v>1.2.1</v>
          </cell>
          <cell r="C22" t="str">
            <v>OPKZP-PO1-SC121/122-2015</v>
          </cell>
          <cell r="D22" t="str">
            <v>Východoslovenská vodárenská spoločnosť, a.s. Košice</v>
          </cell>
          <cell r="E22" t="str">
            <v>Kráľovský Chlmec - rozšírenie jednotnej a splaškovej kanalizácie a intenzifikácia ČOV</v>
          </cell>
          <cell r="F22">
            <v>42453</v>
          </cell>
          <cell r="G22" t="str">
            <v/>
          </cell>
          <cell r="H22">
            <v>43646</v>
          </cell>
          <cell r="I22">
            <v>42430</v>
          </cell>
          <cell r="J22">
            <v>43100</v>
          </cell>
          <cell r="K22">
            <v>42979</v>
          </cell>
          <cell r="L22">
            <v>43646</v>
          </cell>
          <cell r="M22">
            <v>0</v>
          </cell>
          <cell r="N22">
            <v>0</v>
          </cell>
          <cell r="O22">
            <v>22.027397260273972</v>
          </cell>
          <cell r="P22">
            <v>21.92876712328767</v>
          </cell>
          <cell r="Q22">
            <v>39.978082191780821</v>
          </cell>
          <cell r="R22" t="str">
            <v>áno</v>
          </cell>
          <cell r="S22">
            <v>18.049315068493151</v>
          </cell>
          <cell r="T22" t="str">
            <v>áno</v>
          </cell>
          <cell r="U22">
            <v>17.950684931506849</v>
          </cell>
          <cell r="V22">
            <v>42430</v>
          </cell>
          <cell r="W22">
            <v>43100</v>
          </cell>
          <cell r="X22">
            <v>42979</v>
          </cell>
          <cell r="Y22">
            <v>43646</v>
          </cell>
          <cell r="Z22">
            <v>22.027397260273972</v>
          </cell>
          <cell r="AA22">
            <v>21.92876712328767</v>
          </cell>
          <cell r="AB22">
            <v>39.978082191780821</v>
          </cell>
          <cell r="AC22" t="str">
            <v>áno</v>
          </cell>
          <cell r="AD22">
            <v>18.049315068493151</v>
          </cell>
          <cell r="AE22" t="str">
            <v>áno</v>
          </cell>
          <cell r="AF22">
            <v>17.950684931506849</v>
          </cell>
          <cell r="AG22">
            <v>42979</v>
          </cell>
          <cell r="AH22" t="str">
            <v>ok</v>
          </cell>
          <cell r="AJ22" t="b">
            <v>1</v>
          </cell>
        </row>
        <row r="23">
          <cell r="A23" t="str">
            <v>310011A035</v>
          </cell>
          <cell r="B23" t="str">
            <v>1.2.1</v>
          </cell>
          <cell r="C23" t="str">
            <v>OPKZP-PO1-SC121/122-2015</v>
          </cell>
          <cell r="D23" t="str">
            <v>Východoslovenská vodárenská spoločnosť, a.s. Košice</v>
          </cell>
          <cell r="E23" t="str">
            <v>Čierna nad Tisou - splašková kanalizácia priľahlých obcí a intenzifikácia ČOV</v>
          </cell>
          <cell r="F23">
            <v>42453</v>
          </cell>
          <cell r="G23" t="str">
            <v/>
          </cell>
          <cell r="H23">
            <v>43708</v>
          </cell>
          <cell r="I23">
            <v>42430</v>
          </cell>
          <cell r="J23">
            <v>43159</v>
          </cell>
          <cell r="K23">
            <v>42979</v>
          </cell>
          <cell r="L23">
            <v>43708</v>
          </cell>
          <cell r="M23">
            <v>0</v>
          </cell>
          <cell r="N23">
            <v>0</v>
          </cell>
          <cell r="O23">
            <v>23.967123287671232</v>
          </cell>
          <cell r="P23">
            <v>23.967123287671232</v>
          </cell>
          <cell r="Q23">
            <v>42.016438356164386</v>
          </cell>
          <cell r="R23" t="str">
            <v>áno</v>
          </cell>
          <cell r="S23">
            <v>18.049315068493151</v>
          </cell>
          <cell r="T23" t="str">
            <v>áno</v>
          </cell>
          <cell r="U23">
            <v>18.049315068493151</v>
          </cell>
          <cell r="V23">
            <v>42430</v>
          </cell>
          <cell r="W23">
            <v>43159</v>
          </cell>
          <cell r="X23">
            <v>42979</v>
          </cell>
          <cell r="Y23">
            <v>43708</v>
          </cell>
          <cell r="Z23">
            <v>23.967123287671232</v>
          </cell>
          <cell r="AA23">
            <v>23.967123287671232</v>
          </cell>
          <cell r="AB23">
            <v>42.016438356164386</v>
          </cell>
          <cell r="AC23" t="str">
            <v>áno</v>
          </cell>
          <cell r="AD23">
            <v>18.049315068493151</v>
          </cell>
          <cell r="AE23" t="str">
            <v>áno</v>
          </cell>
          <cell r="AF23">
            <v>18.049315068493151</v>
          </cell>
          <cell r="AG23">
            <v>42979</v>
          </cell>
          <cell r="AH23" t="str">
            <v>ok</v>
          </cell>
          <cell r="AJ23" t="b">
            <v>1</v>
          </cell>
        </row>
        <row r="24">
          <cell r="A24" t="str">
            <v>310011A037</v>
          </cell>
          <cell r="B24" t="str">
            <v>1.2.1</v>
          </cell>
          <cell r="C24" t="str">
            <v>OPKZP-PO1-SC121/122-2015</v>
          </cell>
          <cell r="D24" t="str">
            <v>Východoslovenská vodárenská spoločnosť, a.s. Košice</v>
          </cell>
          <cell r="E24" t="str">
            <v>Malcov - Lenartov - kanalizácia a ČOV</v>
          </cell>
          <cell r="F24">
            <v>42452</v>
          </cell>
          <cell r="G24">
            <v>42989</v>
          </cell>
          <cell r="H24">
            <v>43830</v>
          </cell>
          <cell r="I24">
            <v>42461</v>
          </cell>
          <cell r="J24">
            <v>43465</v>
          </cell>
          <cell r="K24">
            <v>42826</v>
          </cell>
          <cell r="L24">
            <v>43830</v>
          </cell>
          <cell r="M24">
            <v>42826</v>
          </cell>
          <cell r="N24">
            <v>43830</v>
          </cell>
          <cell r="O24">
            <v>33.008219178082186</v>
          </cell>
          <cell r="P24">
            <v>33.008219178082186</v>
          </cell>
          <cell r="Q24">
            <v>45.008219178082186</v>
          </cell>
          <cell r="R24" t="str">
            <v>áno</v>
          </cell>
          <cell r="S24">
            <v>12</v>
          </cell>
          <cell r="T24" t="str">
            <v>áno</v>
          </cell>
          <cell r="U24">
            <v>12</v>
          </cell>
          <cell r="V24">
            <v>42461</v>
          </cell>
          <cell r="W24">
            <v>43465</v>
          </cell>
          <cell r="X24">
            <v>42826</v>
          </cell>
          <cell r="Y24">
            <v>43830</v>
          </cell>
          <cell r="Z24">
            <v>33.008219178082186</v>
          </cell>
          <cell r="AA24">
            <v>33.008219178082186</v>
          </cell>
          <cell r="AB24">
            <v>45.008219178082186</v>
          </cell>
          <cell r="AC24" t="str">
            <v>áno</v>
          </cell>
          <cell r="AD24">
            <v>12</v>
          </cell>
          <cell r="AE24" t="str">
            <v>áno</v>
          </cell>
          <cell r="AF24">
            <v>12</v>
          </cell>
          <cell r="AG24">
            <v>42826</v>
          </cell>
          <cell r="AH24" t="str">
            <v>ok</v>
          </cell>
          <cell r="AJ24" t="b">
            <v>1</v>
          </cell>
        </row>
        <row r="25">
          <cell r="A25" t="str">
            <v>310011A040</v>
          </cell>
          <cell r="B25" t="str">
            <v>1.2.1</v>
          </cell>
          <cell r="C25" t="str">
            <v>OPKZP-PO1-SC121/122-2015</v>
          </cell>
          <cell r="D25" t="str">
            <v>Stredoslovenská vodárenská spoločnosť,  a.s.</v>
          </cell>
          <cell r="E25" t="str">
            <v>Aglomerácia Sebedražie - kanalizácia</v>
          </cell>
          <cell r="F25">
            <v>42465</v>
          </cell>
          <cell r="G25" t="str">
            <v/>
          </cell>
          <cell r="H25">
            <v>43830</v>
          </cell>
          <cell r="I25">
            <v>42614</v>
          </cell>
          <cell r="J25">
            <v>43830</v>
          </cell>
          <cell r="K25">
            <v>42795</v>
          </cell>
          <cell r="L25">
            <v>43830</v>
          </cell>
          <cell r="M25">
            <v>0</v>
          </cell>
          <cell r="N25">
            <v>0</v>
          </cell>
          <cell r="O25">
            <v>39.978082191780821</v>
          </cell>
          <cell r="P25">
            <v>34.027397260273972</v>
          </cell>
          <cell r="Q25">
            <v>39.978082191780821</v>
          </cell>
          <cell r="R25" t="str">
            <v>áno</v>
          </cell>
          <cell r="S25">
            <v>5.9506849315068493</v>
          </cell>
          <cell r="T25" t="str">
            <v>nie</v>
          </cell>
          <cell r="U25">
            <v>0</v>
          </cell>
          <cell r="V25">
            <v>42614</v>
          </cell>
          <cell r="W25">
            <v>43830</v>
          </cell>
          <cell r="X25">
            <v>42795</v>
          </cell>
          <cell r="Y25">
            <v>43830</v>
          </cell>
          <cell r="Z25">
            <v>39.978082191780821</v>
          </cell>
          <cell r="AA25">
            <v>34.027397260273972</v>
          </cell>
          <cell r="AB25">
            <v>39.978082191780821</v>
          </cell>
          <cell r="AC25" t="str">
            <v>áno</v>
          </cell>
          <cell r="AD25">
            <v>5.9506849315068493</v>
          </cell>
          <cell r="AE25" t="str">
            <v>nie</v>
          </cell>
          <cell r="AF25">
            <v>0</v>
          </cell>
          <cell r="AG25">
            <v>42795</v>
          </cell>
          <cell r="AH25" t="str">
            <v>ok</v>
          </cell>
          <cell r="AJ25" t="b">
            <v>1</v>
          </cell>
        </row>
        <row r="26">
          <cell r="A26" t="str">
            <v>310011A042</v>
          </cell>
          <cell r="B26" t="str">
            <v>1.2.1</v>
          </cell>
          <cell r="C26" t="str">
            <v>OPKZP-PO1-SC121/122-2015</v>
          </cell>
          <cell r="D26" t="str">
            <v>Obec Nesvady</v>
          </cell>
          <cell r="E26" t="str">
            <v>Nesvady - rozšírenie kanalizácie a ČOV</v>
          </cell>
          <cell r="F26">
            <v>42507</v>
          </cell>
          <cell r="G26" t="str">
            <v/>
          </cell>
          <cell r="H26">
            <v>43738</v>
          </cell>
          <cell r="I26">
            <v>42430</v>
          </cell>
          <cell r="J26">
            <v>43555</v>
          </cell>
          <cell r="K26">
            <v>42705</v>
          </cell>
          <cell r="L26">
            <v>43738</v>
          </cell>
          <cell r="M26" t="str">
            <v>n/a</v>
          </cell>
          <cell r="N26" t="str">
            <v>n/a</v>
          </cell>
          <cell r="O26">
            <v>36.986301369863014</v>
          </cell>
          <cell r="P26">
            <v>33.961643835616442</v>
          </cell>
          <cell r="Q26">
            <v>43.0027397260274</v>
          </cell>
          <cell r="R26" t="str">
            <v>áno</v>
          </cell>
          <cell r="S26">
            <v>9.0410958904109595</v>
          </cell>
          <cell r="T26" t="str">
            <v>áno</v>
          </cell>
          <cell r="U26">
            <v>6.0164383561643842</v>
          </cell>
          <cell r="V26">
            <v>42430</v>
          </cell>
          <cell r="W26">
            <v>43555</v>
          </cell>
          <cell r="X26">
            <v>42705</v>
          </cell>
          <cell r="Y26">
            <v>43738</v>
          </cell>
          <cell r="Z26">
            <v>36.986301369863014</v>
          </cell>
          <cell r="AA26">
            <v>33.961643835616442</v>
          </cell>
          <cell r="AB26">
            <v>43.0027397260274</v>
          </cell>
          <cell r="AC26" t="str">
            <v>áno</v>
          </cell>
          <cell r="AD26">
            <v>9.0410958904109595</v>
          </cell>
          <cell r="AE26" t="str">
            <v>áno</v>
          </cell>
          <cell r="AF26">
            <v>6.0164383561643842</v>
          </cell>
          <cell r="AG26">
            <v>42705</v>
          </cell>
          <cell r="AH26" t="str">
            <v>ok</v>
          </cell>
          <cell r="AJ26" t="b">
            <v>1</v>
          </cell>
        </row>
        <row r="27">
          <cell r="A27" t="str">
            <v>310011A066</v>
          </cell>
          <cell r="B27" t="str">
            <v>1.2.1</v>
          </cell>
          <cell r="C27" t="str">
            <v>OPKZP-PO1-SC121/122-2015</v>
          </cell>
          <cell r="D27" t="str">
            <v>Obec Dvory nad Žitavou</v>
          </cell>
          <cell r="E27" t="str">
            <v>Dobudovanie kanalizácie a intenzifikácia ČOV v Dvoroch nad Žitavou</v>
          </cell>
          <cell r="F27">
            <v>42497</v>
          </cell>
          <cell r="G27" t="str">
            <v/>
          </cell>
          <cell r="H27">
            <v>43677</v>
          </cell>
          <cell r="I27">
            <v>42461</v>
          </cell>
          <cell r="J27">
            <v>43190</v>
          </cell>
          <cell r="K27">
            <v>42948</v>
          </cell>
          <cell r="L27">
            <v>43677</v>
          </cell>
          <cell r="M27">
            <v>0</v>
          </cell>
          <cell r="N27">
            <v>0</v>
          </cell>
          <cell r="O27">
            <v>23.967123287671232</v>
          </cell>
          <cell r="P27">
            <v>23.967123287671232</v>
          </cell>
          <cell r="Q27">
            <v>39.978082191780821</v>
          </cell>
          <cell r="R27" t="str">
            <v>áno</v>
          </cell>
          <cell r="S27">
            <v>16.010958904109589</v>
          </cell>
          <cell r="T27" t="str">
            <v>áno</v>
          </cell>
          <cell r="U27">
            <v>16.010958904109589</v>
          </cell>
          <cell r="V27">
            <v>42461</v>
          </cell>
          <cell r="W27">
            <v>43190</v>
          </cell>
          <cell r="X27">
            <v>42948</v>
          </cell>
          <cell r="Y27">
            <v>43677</v>
          </cell>
          <cell r="Z27">
            <v>23.967123287671232</v>
          </cell>
          <cell r="AA27">
            <v>23.967123287671232</v>
          </cell>
          <cell r="AB27">
            <v>39.978082191780821</v>
          </cell>
          <cell r="AC27" t="str">
            <v>áno</v>
          </cell>
          <cell r="AD27">
            <v>16.010958904109589</v>
          </cell>
          <cell r="AE27" t="str">
            <v>áno</v>
          </cell>
          <cell r="AF27">
            <v>16.010958904109589</v>
          </cell>
          <cell r="AG27">
            <v>42948</v>
          </cell>
          <cell r="AH27" t="str">
            <v>ok</v>
          </cell>
          <cell r="AJ27" t="b">
            <v>1</v>
          </cell>
        </row>
        <row r="28">
          <cell r="A28" t="str">
            <v>310011A067</v>
          </cell>
          <cell r="B28" t="str">
            <v>1.2.1</v>
          </cell>
          <cell r="C28" t="str">
            <v>OPKZP-PO1-SC121/122-2015</v>
          </cell>
          <cell r="D28" t="str">
            <v>Obec Svätý Peter</v>
          </cell>
          <cell r="E28" t="str">
            <v>Svätý Peter, celo obecná splašková kanalizácia a ČOV</v>
          </cell>
          <cell r="F28">
            <v>42495</v>
          </cell>
          <cell r="G28" t="str">
            <v/>
          </cell>
          <cell r="H28">
            <v>43190</v>
          </cell>
          <cell r="I28">
            <v>42522</v>
          </cell>
          <cell r="J28">
            <v>43069</v>
          </cell>
          <cell r="K28">
            <v>42644</v>
          </cell>
          <cell r="L28">
            <v>43190</v>
          </cell>
          <cell r="M28">
            <v>0</v>
          </cell>
          <cell r="N28">
            <v>0</v>
          </cell>
          <cell r="O28">
            <v>17.983561643835614</v>
          </cell>
          <cell r="P28">
            <v>17.950684931506849</v>
          </cell>
          <cell r="Q28">
            <v>21.961643835616439</v>
          </cell>
          <cell r="R28" t="str">
            <v>áno</v>
          </cell>
          <cell r="S28">
            <v>4.0109589041095894</v>
          </cell>
          <cell r="T28" t="str">
            <v>áno</v>
          </cell>
          <cell r="U28">
            <v>3.978082191780822</v>
          </cell>
          <cell r="V28">
            <v>42522</v>
          </cell>
          <cell r="W28">
            <v>43069</v>
          </cell>
          <cell r="X28">
            <v>42644</v>
          </cell>
          <cell r="Y28">
            <v>43190</v>
          </cell>
          <cell r="Z28">
            <v>17.983561643835614</v>
          </cell>
          <cell r="AA28">
            <v>17.950684931506849</v>
          </cell>
          <cell r="AB28">
            <v>21.961643835616439</v>
          </cell>
          <cell r="AC28" t="str">
            <v>áno</v>
          </cell>
          <cell r="AD28">
            <v>4.0109589041095894</v>
          </cell>
          <cell r="AE28" t="str">
            <v>áno</v>
          </cell>
          <cell r="AF28">
            <v>3.978082191780822</v>
          </cell>
          <cell r="AG28">
            <v>42644</v>
          </cell>
          <cell r="AH28" t="str">
            <v>ok</v>
          </cell>
          <cell r="AJ28" t="b">
            <v>1</v>
          </cell>
        </row>
        <row r="29">
          <cell r="A29" t="str">
            <v>310011A074</v>
          </cell>
          <cell r="B29" t="str">
            <v>1.2.1</v>
          </cell>
          <cell r="C29" t="str">
            <v>OPKZP-PO1-SC121/122-2015</v>
          </cell>
          <cell r="D29" t="str">
            <v>Stredoslovenská vodárenská spoločnosť,  a.s.</v>
          </cell>
          <cell r="E29" t="str">
            <v>Aglomerácia Podbrezová – odkanalizovanie</v>
          </cell>
          <cell r="F29">
            <v>42514</v>
          </cell>
          <cell r="G29" t="str">
            <v/>
          </cell>
          <cell r="H29">
            <v>44196</v>
          </cell>
          <cell r="I29">
            <v>42614</v>
          </cell>
          <cell r="J29">
            <v>44196</v>
          </cell>
          <cell r="K29">
            <v>42979</v>
          </cell>
          <cell r="L29">
            <v>44196</v>
          </cell>
          <cell r="M29">
            <v>0</v>
          </cell>
          <cell r="N29">
            <v>0</v>
          </cell>
          <cell r="O29">
            <v>52.010958904109586</v>
          </cell>
          <cell r="P29">
            <v>40.010958904109593</v>
          </cell>
          <cell r="Q29">
            <v>52.010958904109586</v>
          </cell>
          <cell r="R29" t="str">
            <v>áno</v>
          </cell>
          <cell r="S29">
            <v>12</v>
          </cell>
          <cell r="T29" t="str">
            <v>nie</v>
          </cell>
          <cell r="U29">
            <v>0</v>
          </cell>
          <cell r="V29">
            <v>42614</v>
          </cell>
          <cell r="W29">
            <v>44196</v>
          </cell>
          <cell r="X29">
            <v>42795</v>
          </cell>
          <cell r="Y29">
            <v>44196</v>
          </cell>
          <cell r="Z29">
            <v>52.010958904109586</v>
          </cell>
          <cell r="AA29">
            <v>46.060273972602737</v>
          </cell>
          <cell r="AB29">
            <v>52.010958904109586</v>
          </cell>
          <cell r="AC29" t="str">
            <v>áno</v>
          </cell>
          <cell r="AD29">
            <v>5.9506849315068493</v>
          </cell>
          <cell r="AE29" t="str">
            <v>nie</v>
          </cell>
          <cell r="AF29">
            <v>0</v>
          </cell>
          <cell r="AG29">
            <v>42795</v>
          </cell>
          <cell r="AH29" t="str">
            <v>ok</v>
          </cell>
          <cell r="AJ29" t="b">
            <v>1</v>
          </cell>
        </row>
        <row r="30">
          <cell r="A30" t="str">
            <v>310011A080</v>
          </cell>
          <cell r="B30" t="str">
            <v>1.2.1</v>
          </cell>
          <cell r="C30" t="str">
            <v>OPKZP-PO1-SC121/122-2015</v>
          </cell>
          <cell r="D30" t="str">
            <v>Obec Liptovská Teplička</v>
          </cell>
          <cell r="E30" t="str">
            <v>Dobudovanie ČOV a splaškovej kanalizácie v obci Liptovská Teplička - 2 stavba</v>
          </cell>
          <cell r="F30">
            <v>42497</v>
          </cell>
          <cell r="G30" t="str">
            <v/>
          </cell>
          <cell r="H30">
            <v>43251</v>
          </cell>
          <cell r="I30">
            <v>42522</v>
          </cell>
          <cell r="J30">
            <v>43251</v>
          </cell>
          <cell r="K30">
            <v>42522</v>
          </cell>
          <cell r="L30">
            <v>43251</v>
          </cell>
          <cell r="M30" t="str">
            <v/>
          </cell>
          <cell r="N30" t="str">
            <v/>
          </cell>
          <cell r="O30">
            <v>23.967123287671232</v>
          </cell>
          <cell r="P30">
            <v>23.967123287671232</v>
          </cell>
          <cell r="Q30">
            <v>23.967123287671232</v>
          </cell>
          <cell r="R30" t="str">
            <v>nie</v>
          </cell>
          <cell r="S30">
            <v>0</v>
          </cell>
          <cell r="T30" t="str">
            <v>nie</v>
          </cell>
          <cell r="U30">
            <v>0</v>
          </cell>
          <cell r="V30">
            <v>42522</v>
          </cell>
          <cell r="W30">
            <v>43251</v>
          </cell>
          <cell r="X30">
            <v>42522</v>
          </cell>
          <cell r="Y30">
            <v>43251</v>
          </cell>
          <cell r="Z30">
            <v>23.967123287671232</v>
          </cell>
          <cell r="AA30">
            <v>23.967123287671232</v>
          </cell>
          <cell r="AB30">
            <v>23.967123287671232</v>
          </cell>
          <cell r="AC30" t="str">
            <v>nie</v>
          </cell>
          <cell r="AD30">
            <v>0</v>
          </cell>
          <cell r="AE30" t="str">
            <v>nie</v>
          </cell>
          <cell r="AF30">
            <v>0</v>
          </cell>
          <cell r="AG30">
            <v>42522</v>
          </cell>
          <cell r="AH30" t="str">
            <v>ok</v>
          </cell>
          <cell r="AJ30" t="b">
            <v>1</v>
          </cell>
        </row>
        <row r="31">
          <cell r="A31" t="str">
            <v>310011A084</v>
          </cell>
          <cell r="B31" t="str">
            <v>1.2.1</v>
          </cell>
          <cell r="C31" t="str">
            <v>OPKZP-PO1-SC121/122-2015</v>
          </cell>
          <cell r="D31" t="str">
            <v>Stredoslovenská vodárenská spoločnosť,  a.s.</v>
          </cell>
          <cell r="E31" t="str">
            <v>Aglomerácia Oslany, Čereňany - kanalizácia a ČOV</v>
          </cell>
          <cell r="F31">
            <v>42495</v>
          </cell>
          <cell r="G31" t="str">
            <v/>
          </cell>
          <cell r="H31">
            <v>44196</v>
          </cell>
          <cell r="I31">
            <v>42614</v>
          </cell>
          <cell r="J31">
            <v>44196</v>
          </cell>
          <cell r="K31">
            <v>42887</v>
          </cell>
          <cell r="L31">
            <v>44196</v>
          </cell>
          <cell r="M31">
            <v>0</v>
          </cell>
          <cell r="N31">
            <v>0</v>
          </cell>
          <cell r="O31">
            <v>52.010958904109586</v>
          </cell>
          <cell r="P31">
            <v>43.035616438356165</v>
          </cell>
          <cell r="Q31">
            <v>52.010958904109586</v>
          </cell>
          <cell r="R31" t="str">
            <v>áno</v>
          </cell>
          <cell r="S31">
            <v>8.9753424657534246</v>
          </cell>
          <cell r="T31" t="str">
            <v>nie</v>
          </cell>
          <cell r="U31">
            <v>0</v>
          </cell>
          <cell r="V31">
            <v>42614</v>
          </cell>
          <cell r="W31">
            <v>44196</v>
          </cell>
          <cell r="X31">
            <v>42887</v>
          </cell>
          <cell r="Y31">
            <v>44196</v>
          </cell>
          <cell r="Z31">
            <v>52.010958904109586</v>
          </cell>
          <cell r="AA31">
            <v>43.035616438356165</v>
          </cell>
          <cell r="AB31">
            <v>52.010958904109586</v>
          </cell>
          <cell r="AC31" t="str">
            <v>áno</v>
          </cell>
          <cell r="AD31">
            <v>8.9753424657534246</v>
          </cell>
          <cell r="AE31" t="str">
            <v>nie</v>
          </cell>
          <cell r="AF31">
            <v>0</v>
          </cell>
          <cell r="AG31">
            <v>42887</v>
          </cell>
          <cell r="AH31" t="str">
            <v>ok</v>
          </cell>
          <cell r="AJ31" t="b">
            <v>1</v>
          </cell>
        </row>
        <row r="32">
          <cell r="A32" t="str">
            <v>310011A085</v>
          </cell>
          <cell r="B32" t="str">
            <v>1.2.1 
1.2.2</v>
          </cell>
          <cell r="C32" t="str">
            <v>OPKZP-PO1-SC121/122-2015</v>
          </cell>
          <cell r="D32" t="str">
            <v>Severoslovenské vodárne a kanalizácie, a. s.</v>
          </cell>
          <cell r="E32" t="str">
            <v>Zásobovanie vodou, odkanalizovanie a čistenie odpadových vôd regiónu Stredné Kysuce</v>
          </cell>
          <cell r="F32">
            <v>42543</v>
          </cell>
          <cell r="G32" t="str">
            <v/>
          </cell>
          <cell r="H32">
            <v>44196</v>
          </cell>
          <cell r="I32">
            <v>42552</v>
          </cell>
          <cell r="J32">
            <v>44043</v>
          </cell>
          <cell r="K32">
            <v>42705</v>
          </cell>
          <cell r="L32">
            <v>44196</v>
          </cell>
          <cell r="M32" t="str">
            <v>n/a</v>
          </cell>
          <cell r="N32" t="str">
            <v>n/a</v>
          </cell>
          <cell r="O32">
            <v>49.019178082191786</v>
          </cell>
          <cell r="P32">
            <v>49.019178082191786</v>
          </cell>
          <cell r="Q32">
            <v>54.049315068493144</v>
          </cell>
          <cell r="R32" t="str">
            <v>áno</v>
          </cell>
          <cell r="S32">
            <v>5.0301369863013701</v>
          </cell>
          <cell r="T32" t="str">
            <v>áno</v>
          </cell>
          <cell r="U32">
            <v>5.0301369863013701</v>
          </cell>
          <cell r="V32">
            <v>42552</v>
          </cell>
          <cell r="W32">
            <v>44043</v>
          </cell>
          <cell r="X32">
            <v>42705</v>
          </cell>
          <cell r="Y32">
            <v>44196</v>
          </cell>
          <cell r="Z32">
            <v>49.019178082191786</v>
          </cell>
          <cell r="AA32">
            <v>49.019178082191786</v>
          </cell>
          <cell r="AB32">
            <v>54.049315068493144</v>
          </cell>
          <cell r="AC32" t="str">
            <v>áno</v>
          </cell>
          <cell r="AD32">
            <v>5.0301369863013701</v>
          </cell>
          <cell r="AE32" t="str">
            <v>áno</v>
          </cell>
          <cell r="AF32">
            <v>5.0301369863013701</v>
          </cell>
          <cell r="AG32">
            <v>42705</v>
          </cell>
          <cell r="AH32" t="str">
            <v>ok</v>
          </cell>
          <cell r="AJ32" t="b">
            <v>1</v>
          </cell>
        </row>
        <row r="33">
          <cell r="A33" t="str">
            <v>310011A086</v>
          </cell>
          <cell r="B33" t="str">
            <v>1.2.1</v>
          </cell>
          <cell r="C33" t="str">
            <v>OPKZP-PO1-SC121/122-2015</v>
          </cell>
          <cell r="D33" t="str">
            <v>Obec Oravská Lesná</v>
          </cell>
          <cell r="E33" t="str">
            <v>Kanalizácia a ČOV Oravská Lesná</v>
          </cell>
          <cell r="F33">
            <v>42495</v>
          </cell>
          <cell r="G33">
            <v>42782</v>
          </cell>
          <cell r="H33">
            <v>42916</v>
          </cell>
          <cell r="I33">
            <v>42430</v>
          </cell>
          <cell r="J33">
            <v>42735</v>
          </cell>
          <cell r="K33">
            <v>42614</v>
          </cell>
          <cell r="L33">
            <v>42916</v>
          </cell>
          <cell r="M33" t="str">
            <v/>
          </cell>
          <cell r="N33" t="str">
            <v/>
          </cell>
          <cell r="O33">
            <v>10.027397260273972</v>
          </cell>
          <cell r="P33">
            <v>9.9287671232876722</v>
          </cell>
          <cell r="Q33">
            <v>15.978082191780823</v>
          </cell>
          <cell r="R33" t="str">
            <v>áno</v>
          </cell>
          <cell r="S33">
            <v>6.0493150684931507</v>
          </cell>
          <cell r="T33" t="str">
            <v>áno</v>
          </cell>
          <cell r="U33">
            <v>5.9506849315068493</v>
          </cell>
          <cell r="V33">
            <v>42430</v>
          </cell>
          <cell r="W33">
            <v>42735</v>
          </cell>
          <cell r="X33">
            <v>42614</v>
          </cell>
          <cell r="Y33">
            <v>42916</v>
          </cell>
          <cell r="Z33">
            <v>10.027397260273972</v>
          </cell>
          <cell r="AA33">
            <v>9.9287671232876722</v>
          </cell>
          <cell r="AB33">
            <v>15.978082191780823</v>
          </cell>
          <cell r="AC33" t="str">
            <v>áno</v>
          </cell>
          <cell r="AD33">
            <v>6.0493150684931507</v>
          </cell>
          <cell r="AE33" t="str">
            <v>áno</v>
          </cell>
          <cell r="AF33">
            <v>5.9506849315068493</v>
          </cell>
          <cell r="AG33">
            <v>42614</v>
          </cell>
          <cell r="AH33" t="str">
            <v>ok</v>
          </cell>
          <cell r="AJ33" t="b">
            <v>1</v>
          </cell>
        </row>
        <row r="34">
          <cell r="A34" t="str">
            <v>310011A089</v>
          </cell>
          <cell r="B34" t="str">
            <v>1.2.1</v>
          </cell>
          <cell r="C34" t="str">
            <v>OPKZP-PO1-SC121/122-2015</v>
          </cell>
          <cell r="D34" t="str">
            <v>Obec Lozorno</v>
          </cell>
          <cell r="E34" t="str">
            <v>Rozšírenie kapacity ČOV Lozorno</v>
          </cell>
          <cell r="F34">
            <v>42500</v>
          </cell>
          <cell r="G34">
            <v>42804</v>
          </cell>
          <cell r="H34">
            <v>42735</v>
          </cell>
          <cell r="I34">
            <v>42430</v>
          </cell>
          <cell r="J34">
            <v>42735</v>
          </cell>
          <cell r="K34">
            <v>42430</v>
          </cell>
          <cell r="L34">
            <v>42735</v>
          </cell>
          <cell r="M34" t="str">
            <v/>
          </cell>
          <cell r="N34" t="str">
            <v/>
          </cell>
          <cell r="O34">
            <v>10.027397260273972</v>
          </cell>
          <cell r="P34">
            <v>10.027397260273972</v>
          </cell>
          <cell r="Q34">
            <v>10.027397260273972</v>
          </cell>
          <cell r="R34" t="str">
            <v>nie</v>
          </cell>
          <cell r="S34">
            <v>0</v>
          </cell>
          <cell r="T34" t="str">
            <v>nie</v>
          </cell>
          <cell r="U34">
            <v>0</v>
          </cell>
          <cell r="V34">
            <v>42430</v>
          </cell>
          <cell r="W34">
            <v>42735</v>
          </cell>
          <cell r="X34">
            <v>42430</v>
          </cell>
          <cell r="Y34">
            <v>42735</v>
          </cell>
          <cell r="Z34">
            <v>10.027397260273972</v>
          </cell>
          <cell r="AA34">
            <v>10.027397260273972</v>
          </cell>
          <cell r="AB34">
            <v>10.027397260273972</v>
          </cell>
          <cell r="AC34" t="str">
            <v>nie</v>
          </cell>
          <cell r="AD34">
            <v>0</v>
          </cell>
          <cell r="AE34" t="str">
            <v>nie</v>
          </cell>
          <cell r="AF34">
            <v>0</v>
          </cell>
          <cell r="AG34">
            <v>42430</v>
          </cell>
          <cell r="AH34" t="str">
            <v>ok</v>
          </cell>
          <cell r="AJ34" t="b">
            <v>1</v>
          </cell>
        </row>
        <row r="35">
          <cell r="A35" t="str">
            <v>310011A097</v>
          </cell>
          <cell r="B35" t="str">
            <v>1.2.1</v>
          </cell>
          <cell r="C35" t="str">
            <v>OPKZP-PO1-SC121/122-2015</v>
          </cell>
          <cell r="D35" t="str">
            <v>Stredoslovenská vodárenská spoločnosť,  a.s.</v>
          </cell>
          <cell r="E35" t="str">
            <v>Aglomerácia Valaská - Valaská, Hronec - odkanalizovanie</v>
          </cell>
          <cell r="F35">
            <v>42511</v>
          </cell>
          <cell r="G35" t="str">
            <v/>
          </cell>
          <cell r="H35">
            <v>44196</v>
          </cell>
          <cell r="I35">
            <v>42614</v>
          </cell>
          <cell r="J35">
            <v>44196</v>
          </cell>
          <cell r="K35">
            <v>42948</v>
          </cell>
          <cell r="L35">
            <v>44196</v>
          </cell>
          <cell r="M35">
            <v>0</v>
          </cell>
          <cell r="N35">
            <v>0</v>
          </cell>
          <cell r="O35">
            <v>52.010958904109586</v>
          </cell>
          <cell r="P35">
            <v>41.030136986301372</v>
          </cell>
          <cell r="Q35">
            <v>52.010958904109586</v>
          </cell>
          <cell r="R35" t="str">
            <v>áno</v>
          </cell>
          <cell r="S35">
            <v>10.980821917808219</v>
          </cell>
          <cell r="T35" t="str">
            <v>nie</v>
          </cell>
          <cell r="U35">
            <v>0</v>
          </cell>
          <cell r="V35">
            <v>42614</v>
          </cell>
          <cell r="W35">
            <v>44196</v>
          </cell>
          <cell r="X35">
            <v>42795</v>
          </cell>
          <cell r="Y35">
            <v>44196</v>
          </cell>
          <cell r="Z35">
            <v>52.010958904109586</v>
          </cell>
          <cell r="AA35">
            <v>46.060273972602737</v>
          </cell>
          <cell r="AB35">
            <v>52.010958904109586</v>
          </cell>
          <cell r="AC35" t="str">
            <v>áno</v>
          </cell>
          <cell r="AD35">
            <v>5.9506849315068493</v>
          </cell>
          <cell r="AE35" t="str">
            <v>nie</v>
          </cell>
          <cell r="AF35">
            <v>0</v>
          </cell>
          <cell r="AG35">
            <v>42795</v>
          </cell>
          <cell r="AH35" t="str">
            <v>ok</v>
          </cell>
          <cell r="AJ35" t="b">
            <v>1</v>
          </cell>
        </row>
        <row r="36">
          <cell r="A36" t="str">
            <v>310011A101</v>
          </cell>
          <cell r="B36" t="str">
            <v>1.2.1</v>
          </cell>
          <cell r="C36" t="str">
            <v>OPKZP-PO1-SC121/122-2015</v>
          </cell>
          <cell r="D36" t="str">
            <v>Obec Branč</v>
          </cell>
          <cell r="E36" t="str">
            <v>Dobudovanie kanalizačnej siete obce Branč a rozšírenie ČOV Branč</v>
          </cell>
          <cell r="F36">
            <v>42497</v>
          </cell>
          <cell r="G36" t="str">
            <v/>
          </cell>
          <cell r="H36">
            <v>43343</v>
          </cell>
          <cell r="I36">
            <v>42552</v>
          </cell>
          <cell r="J36">
            <v>43281</v>
          </cell>
          <cell r="K36">
            <v>42614</v>
          </cell>
          <cell r="L36">
            <v>43343</v>
          </cell>
          <cell r="M36">
            <v>0</v>
          </cell>
          <cell r="N36">
            <v>0</v>
          </cell>
          <cell r="O36">
            <v>23.967123287671232</v>
          </cell>
          <cell r="P36">
            <v>23.967123287671232</v>
          </cell>
          <cell r="Q36">
            <v>26.005479452054793</v>
          </cell>
          <cell r="R36" t="str">
            <v>áno</v>
          </cell>
          <cell r="S36">
            <v>2.0383561643835617</v>
          </cell>
          <cell r="T36" t="str">
            <v>áno</v>
          </cell>
          <cell r="U36">
            <v>2.0383561643835617</v>
          </cell>
          <cell r="V36">
            <v>42552</v>
          </cell>
          <cell r="W36">
            <v>43281</v>
          </cell>
          <cell r="X36">
            <v>42614</v>
          </cell>
          <cell r="Y36">
            <v>43343</v>
          </cell>
          <cell r="Z36">
            <v>23.967123287671232</v>
          </cell>
          <cell r="AA36">
            <v>23.967123287671232</v>
          </cell>
          <cell r="AB36">
            <v>26.005479452054793</v>
          </cell>
          <cell r="AC36" t="str">
            <v>áno</v>
          </cell>
          <cell r="AD36">
            <v>2.0383561643835617</v>
          </cell>
          <cell r="AE36" t="str">
            <v>áno</v>
          </cell>
          <cell r="AF36">
            <v>2.0383561643835617</v>
          </cell>
          <cell r="AG36">
            <v>42614</v>
          </cell>
          <cell r="AH36" t="str">
            <v>ok</v>
          </cell>
          <cell r="AJ36" t="b">
            <v>1</v>
          </cell>
        </row>
        <row r="37">
          <cell r="A37" t="str">
            <v>310011A107</v>
          </cell>
          <cell r="B37" t="str">
            <v>1.2.1</v>
          </cell>
          <cell r="C37" t="str">
            <v>OPKZP-PO1-SC121/122-2015</v>
          </cell>
          <cell r="D37" t="str">
            <v>Stredoslovenská vodárenská spoločnosť,  a.s.</v>
          </cell>
          <cell r="E37" t="str">
            <v>Aglomerácia Tornaľa - kanalizácia a ČOV</v>
          </cell>
          <cell r="F37">
            <v>42516</v>
          </cell>
          <cell r="G37" t="str">
            <v/>
          </cell>
          <cell r="H37">
            <v>44196</v>
          </cell>
          <cell r="I37">
            <v>42614</v>
          </cell>
          <cell r="J37">
            <v>44196</v>
          </cell>
          <cell r="K37">
            <v>43009</v>
          </cell>
          <cell r="L37">
            <v>44196</v>
          </cell>
          <cell r="M37">
            <v>0</v>
          </cell>
          <cell r="N37">
            <v>0</v>
          </cell>
          <cell r="O37">
            <v>52.010958904109586</v>
          </cell>
          <cell r="P37">
            <v>39.024657534246572</v>
          </cell>
          <cell r="Q37">
            <v>52.010958904109586</v>
          </cell>
          <cell r="R37" t="str">
            <v>áno</v>
          </cell>
          <cell r="S37">
            <v>12.986301369863014</v>
          </cell>
          <cell r="T37" t="str">
            <v>nie</v>
          </cell>
          <cell r="U37">
            <v>0</v>
          </cell>
          <cell r="V37">
            <v>42614</v>
          </cell>
          <cell r="W37">
            <v>44196</v>
          </cell>
          <cell r="X37">
            <v>43009</v>
          </cell>
          <cell r="Y37">
            <v>44196</v>
          </cell>
          <cell r="Z37">
            <v>52.010958904109586</v>
          </cell>
          <cell r="AA37">
            <v>39.024657534246572</v>
          </cell>
          <cell r="AB37">
            <v>52.010958904109586</v>
          </cell>
          <cell r="AC37" t="str">
            <v>áno</v>
          </cell>
          <cell r="AD37">
            <v>12.986301369863014</v>
          </cell>
          <cell r="AE37" t="str">
            <v>nie</v>
          </cell>
          <cell r="AF37">
            <v>0</v>
          </cell>
          <cell r="AG37">
            <v>43009</v>
          </cell>
          <cell r="AH37" t="str">
            <v>termín na začatie do konca mesiaca</v>
          </cell>
          <cell r="AI37" t="b">
            <v>1</v>
          </cell>
          <cell r="AJ37" t="b">
            <v>1</v>
          </cell>
        </row>
        <row r="38">
          <cell r="A38" t="str">
            <v>310011A109</v>
          </cell>
          <cell r="B38" t="str">
            <v>1.2.1</v>
          </cell>
          <cell r="C38" t="str">
            <v>OPKZP-PO1-SC121/122-2015</v>
          </cell>
          <cell r="D38" t="str">
            <v>Obec Hranovnica</v>
          </cell>
          <cell r="E38" t="str">
            <v>Rekonštrukcia a modernizácia čistiarne odpadových vôd v obci Hranovnica</v>
          </cell>
          <cell r="F38">
            <v>42517</v>
          </cell>
          <cell r="G38" t="str">
            <v/>
          </cell>
          <cell r="H38">
            <v>43190</v>
          </cell>
          <cell r="I38">
            <v>42370</v>
          </cell>
          <cell r="J38">
            <v>42794</v>
          </cell>
          <cell r="K38">
            <v>42767</v>
          </cell>
          <cell r="L38">
            <v>43190</v>
          </cell>
          <cell r="M38">
            <v>42767</v>
          </cell>
          <cell r="N38">
            <v>43190</v>
          </cell>
          <cell r="O38">
            <v>13.93972602739726</v>
          </cell>
          <cell r="P38">
            <v>13.906849315068493</v>
          </cell>
          <cell r="Q38">
            <v>26.958904109589042</v>
          </cell>
          <cell r="R38" t="str">
            <v>áno</v>
          </cell>
          <cell r="S38">
            <v>13.052054794520549</v>
          </cell>
          <cell r="T38" t="str">
            <v>áno</v>
          </cell>
          <cell r="U38">
            <v>13.019178082191781</v>
          </cell>
          <cell r="V38">
            <v>42370</v>
          </cell>
          <cell r="W38">
            <v>42794</v>
          </cell>
          <cell r="X38">
            <v>42767</v>
          </cell>
          <cell r="Y38">
            <v>43190</v>
          </cell>
          <cell r="Z38">
            <v>13.93972602739726</v>
          </cell>
          <cell r="AA38">
            <v>13.906849315068493</v>
          </cell>
          <cell r="AB38">
            <v>26.958904109589042</v>
          </cell>
          <cell r="AC38" t="str">
            <v>áno</v>
          </cell>
          <cell r="AD38">
            <v>13.052054794520549</v>
          </cell>
          <cell r="AE38" t="str">
            <v>áno</v>
          </cell>
          <cell r="AF38">
            <v>13.019178082191781</v>
          </cell>
          <cell r="AG38">
            <v>42767</v>
          </cell>
          <cell r="AH38" t="str">
            <v>ok</v>
          </cell>
          <cell r="AJ38" t="b">
            <v>1</v>
          </cell>
        </row>
        <row r="39">
          <cell r="A39" t="str">
            <v>310011A110</v>
          </cell>
          <cell r="B39" t="str">
            <v>1.2.1</v>
          </cell>
          <cell r="C39" t="str">
            <v>OPKZP-PO1-SC121/122-2015</v>
          </cell>
          <cell r="D39" t="str">
            <v>Obec Moravské Lieskové</v>
          </cell>
          <cell r="E39" t="str">
            <v>Kanalizácia a ČOV Moravské Lieskové</v>
          </cell>
          <cell r="F39">
            <v>42497</v>
          </cell>
          <cell r="G39" t="str">
            <v/>
          </cell>
          <cell r="H39">
            <v>43525</v>
          </cell>
          <cell r="I39">
            <v>42125</v>
          </cell>
          <cell r="J39">
            <v>43159</v>
          </cell>
          <cell r="K39">
            <v>42125</v>
          </cell>
          <cell r="L39">
            <v>43525</v>
          </cell>
          <cell r="M39" t="str">
            <v/>
          </cell>
          <cell r="N39" t="str">
            <v/>
          </cell>
          <cell r="O39">
            <v>33.994520547945207</v>
          </cell>
          <cell r="P39">
            <v>46.027397260273972</v>
          </cell>
          <cell r="Q39">
            <v>46.027397260273972</v>
          </cell>
          <cell r="R39" t="str">
            <v>nie</v>
          </cell>
          <cell r="S39">
            <v>0</v>
          </cell>
          <cell r="T39" t="str">
            <v>áno</v>
          </cell>
          <cell r="U39">
            <v>12.032876712328768</v>
          </cell>
          <cell r="V39">
            <v>42430</v>
          </cell>
          <cell r="W39">
            <v>43220</v>
          </cell>
          <cell r="X39">
            <v>42430</v>
          </cell>
          <cell r="Y39">
            <v>43525</v>
          </cell>
          <cell r="Z39">
            <v>25.972602739726028</v>
          </cell>
          <cell r="AA39">
            <v>36</v>
          </cell>
          <cell r="AB39">
            <v>36</v>
          </cell>
          <cell r="AC39" t="str">
            <v>nie</v>
          </cell>
          <cell r="AD39">
            <v>0</v>
          </cell>
          <cell r="AE39" t="str">
            <v>áno</v>
          </cell>
          <cell r="AF39">
            <v>10.027397260273972</v>
          </cell>
          <cell r="AG39">
            <v>42430</v>
          </cell>
          <cell r="AH39" t="str">
            <v>ok</v>
          </cell>
          <cell r="AJ39" t="b">
            <v>1</v>
          </cell>
        </row>
        <row r="40">
          <cell r="A40" t="str">
            <v>310011A111</v>
          </cell>
          <cell r="B40" t="str">
            <v>1.2.1</v>
          </cell>
          <cell r="C40" t="str">
            <v>OPKZP-PO1-SC121/122-2015</v>
          </cell>
          <cell r="D40" t="str">
            <v>Stredoslovenská vodárenská spoločnosť,  a.s.</v>
          </cell>
          <cell r="E40" t="str">
            <v>Aglomerácia Nitrianske Pravno - kanalizácia a ČOV</v>
          </cell>
          <cell r="F40">
            <v>42515</v>
          </cell>
          <cell r="G40" t="str">
            <v/>
          </cell>
          <cell r="H40">
            <v>44196</v>
          </cell>
          <cell r="I40">
            <v>42614</v>
          </cell>
          <cell r="J40">
            <v>44196</v>
          </cell>
          <cell r="K40">
            <v>42887</v>
          </cell>
          <cell r="L40">
            <v>44196</v>
          </cell>
          <cell r="M40">
            <v>0</v>
          </cell>
          <cell r="N40">
            <v>0</v>
          </cell>
          <cell r="O40">
            <v>52.010958904109586</v>
          </cell>
          <cell r="P40">
            <v>43.035616438356165</v>
          </cell>
          <cell r="Q40">
            <v>52.010958904109586</v>
          </cell>
          <cell r="R40" t="str">
            <v>áno</v>
          </cell>
          <cell r="S40">
            <v>8.9753424657534246</v>
          </cell>
          <cell r="T40" t="str">
            <v>nie</v>
          </cell>
          <cell r="U40">
            <v>0</v>
          </cell>
          <cell r="V40">
            <v>42614</v>
          </cell>
          <cell r="W40">
            <v>44196</v>
          </cell>
          <cell r="X40">
            <v>42614</v>
          </cell>
          <cell r="Y40">
            <v>44196</v>
          </cell>
          <cell r="Z40">
            <v>52.010958904109586</v>
          </cell>
          <cell r="AA40">
            <v>52.010958904109586</v>
          </cell>
          <cell r="AB40">
            <v>52.010958904109586</v>
          </cell>
          <cell r="AC40" t="str">
            <v>nie</v>
          </cell>
          <cell r="AD40">
            <v>0</v>
          </cell>
          <cell r="AE40" t="str">
            <v>nie</v>
          </cell>
          <cell r="AF40">
            <v>0</v>
          </cell>
          <cell r="AG40">
            <v>42614</v>
          </cell>
          <cell r="AH40" t="str">
            <v>ok</v>
          </cell>
          <cell r="AJ40" t="b">
            <v>1</v>
          </cell>
        </row>
        <row r="41">
          <cell r="A41" t="str">
            <v>310011A119</v>
          </cell>
          <cell r="B41" t="str">
            <v>1.2.1</v>
          </cell>
          <cell r="C41" t="str">
            <v>OPKZP-PO1-SC121/122-2015</v>
          </cell>
          <cell r="D41" t="str">
            <v>Obec Okoč</v>
          </cell>
          <cell r="E41" t="str">
            <v>Okoč kanalizácia</v>
          </cell>
          <cell r="F41">
            <v>42497</v>
          </cell>
          <cell r="G41">
            <v>42926</v>
          </cell>
          <cell r="H41">
            <v>43951</v>
          </cell>
          <cell r="I41">
            <v>42491</v>
          </cell>
          <cell r="J41">
            <v>43951</v>
          </cell>
          <cell r="K41">
            <v>42767</v>
          </cell>
          <cell r="L41">
            <v>43951</v>
          </cell>
          <cell r="M41">
            <v>42795</v>
          </cell>
          <cell r="N41">
            <v>43951</v>
          </cell>
          <cell r="O41">
            <v>48</v>
          </cell>
          <cell r="P41">
            <v>38.92602739726027</v>
          </cell>
          <cell r="Q41">
            <v>48</v>
          </cell>
          <cell r="R41" t="str">
            <v>áno</v>
          </cell>
          <cell r="S41">
            <v>9.0739726027397261</v>
          </cell>
          <cell r="T41" t="str">
            <v>nie</v>
          </cell>
          <cell r="U41">
            <v>0</v>
          </cell>
          <cell r="V41">
            <v>42491</v>
          </cell>
          <cell r="W41">
            <v>43951</v>
          </cell>
          <cell r="X41">
            <v>42675</v>
          </cell>
          <cell r="Y41">
            <v>43951</v>
          </cell>
          <cell r="Z41">
            <v>48</v>
          </cell>
          <cell r="AA41">
            <v>41.950684931506849</v>
          </cell>
          <cell r="AB41">
            <v>48</v>
          </cell>
          <cell r="AC41" t="str">
            <v>áno</v>
          </cell>
          <cell r="AD41">
            <v>6.0493150684931507</v>
          </cell>
          <cell r="AE41" t="str">
            <v>nie</v>
          </cell>
          <cell r="AF41">
            <v>0</v>
          </cell>
          <cell r="AG41">
            <v>42675</v>
          </cell>
          <cell r="AH41" t="str">
            <v>ok</v>
          </cell>
          <cell r="AJ41" t="b">
            <v>1</v>
          </cell>
        </row>
        <row r="42">
          <cell r="A42" t="str">
            <v>310011A121</v>
          </cell>
          <cell r="B42" t="str">
            <v>1.2.1</v>
          </cell>
          <cell r="C42" t="str">
            <v>OPKZP-PO1-SC121/122-2015</v>
          </cell>
          <cell r="D42" t="str">
            <v>OBEC Topoľníky</v>
          </cell>
          <cell r="E42" t="str">
            <v>Topoľníky - Kanalizácia a úprava ČOV</v>
          </cell>
          <cell r="F42">
            <v>42494</v>
          </cell>
          <cell r="G42" t="str">
            <v/>
          </cell>
          <cell r="H42">
            <v>43861</v>
          </cell>
          <cell r="I42">
            <v>42583</v>
          </cell>
          <cell r="J42">
            <v>43677</v>
          </cell>
          <cell r="K42">
            <v>42767</v>
          </cell>
          <cell r="L42">
            <v>43861</v>
          </cell>
          <cell r="M42">
            <v>0</v>
          </cell>
          <cell r="N42">
            <v>0</v>
          </cell>
          <cell r="O42">
            <v>35.967123287671228</v>
          </cell>
          <cell r="P42">
            <v>35.967123287671228</v>
          </cell>
          <cell r="Q42">
            <v>42.016438356164386</v>
          </cell>
          <cell r="R42" t="str">
            <v>áno</v>
          </cell>
          <cell r="S42">
            <v>6.0493150684931507</v>
          </cell>
          <cell r="T42" t="str">
            <v>áno</v>
          </cell>
          <cell r="U42">
            <v>6.0493150684931507</v>
          </cell>
          <cell r="V42">
            <v>42583</v>
          </cell>
          <cell r="W42">
            <v>43677</v>
          </cell>
          <cell r="X42">
            <v>42767</v>
          </cell>
          <cell r="Y42">
            <v>43861</v>
          </cell>
          <cell r="Z42">
            <v>35.967123287671228</v>
          </cell>
          <cell r="AA42">
            <v>35.967123287671228</v>
          </cell>
          <cell r="AB42">
            <v>42.016438356164386</v>
          </cell>
          <cell r="AC42" t="str">
            <v>áno</v>
          </cell>
          <cell r="AD42">
            <v>6.0493150684931507</v>
          </cell>
          <cell r="AE42" t="str">
            <v>áno</v>
          </cell>
          <cell r="AF42">
            <v>6.0493150684931507</v>
          </cell>
          <cell r="AG42">
            <v>42767</v>
          </cell>
          <cell r="AH42" t="str">
            <v>ok</v>
          </cell>
          <cell r="AJ42" t="b">
            <v>1</v>
          </cell>
        </row>
        <row r="43">
          <cell r="A43" t="str">
            <v>310011A126</v>
          </cell>
          <cell r="B43" t="str">
            <v>1.2.1</v>
          </cell>
          <cell r="C43" t="str">
            <v>OPKZP-PO1-SC121/122-2015</v>
          </cell>
          <cell r="D43" t="str">
            <v>Obec Bátorove Kosihy</v>
          </cell>
          <cell r="E43" t="str">
            <v>Kanalizácia a ČOV obce Bátorové Kosihy</v>
          </cell>
          <cell r="F43">
            <v>42496</v>
          </cell>
          <cell r="G43" t="str">
            <v/>
          </cell>
          <cell r="H43">
            <v>43677</v>
          </cell>
          <cell r="I43">
            <v>42491</v>
          </cell>
          <cell r="J43">
            <v>43220</v>
          </cell>
          <cell r="K43">
            <v>42917</v>
          </cell>
          <cell r="L43">
            <v>43677</v>
          </cell>
          <cell r="M43" t="str">
            <v/>
          </cell>
          <cell r="N43" t="str">
            <v/>
          </cell>
          <cell r="O43">
            <v>23.967123287671232</v>
          </cell>
          <cell r="P43">
            <v>24.986301369863014</v>
          </cell>
          <cell r="Q43">
            <v>38.991780821917814</v>
          </cell>
          <cell r="R43" t="str">
            <v>áno</v>
          </cell>
          <cell r="S43">
            <v>14.005479452054796</v>
          </cell>
          <cell r="T43" t="str">
            <v>áno</v>
          </cell>
          <cell r="U43">
            <v>15.024657534246575</v>
          </cell>
          <cell r="V43">
            <v>42491</v>
          </cell>
          <cell r="W43">
            <v>43220</v>
          </cell>
          <cell r="X43">
            <v>42917</v>
          </cell>
          <cell r="Y43">
            <v>43677</v>
          </cell>
          <cell r="Z43">
            <v>23.967123287671232</v>
          </cell>
          <cell r="AA43">
            <v>24.986301369863014</v>
          </cell>
          <cell r="AB43">
            <v>38.991780821917814</v>
          </cell>
          <cell r="AC43" t="str">
            <v>áno</v>
          </cell>
          <cell r="AD43">
            <v>14.005479452054796</v>
          </cell>
          <cell r="AE43" t="str">
            <v>áno</v>
          </cell>
          <cell r="AF43">
            <v>15.024657534246575</v>
          </cell>
          <cell r="AG43">
            <v>42917</v>
          </cell>
          <cell r="AH43" t="str">
            <v>ok</v>
          </cell>
          <cell r="AJ43" t="b">
            <v>1</v>
          </cell>
        </row>
        <row r="44">
          <cell r="A44" t="str">
            <v>310011A153</v>
          </cell>
          <cell r="B44" t="str">
            <v>1.4.1</v>
          </cell>
          <cell r="C44" t="str">
            <v>OPKZP-PO1-SC141-2015-7</v>
          </cell>
          <cell r="D44" t="str">
            <v>U. S. Steel Košice, s.r.o.</v>
          </cell>
          <cell r="E44" t="str">
            <v>Odprášenie MPO v OC1</v>
          </cell>
          <cell r="F44">
            <v>42542</v>
          </cell>
          <cell r="G44" t="str">
            <v/>
          </cell>
          <cell r="H44">
            <v>43373</v>
          </cell>
          <cell r="I44">
            <v>42552</v>
          </cell>
          <cell r="J44">
            <v>43159</v>
          </cell>
          <cell r="K44">
            <v>42767</v>
          </cell>
          <cell r="L44">
            <v>43373</v>
          </cell>
          <cell r="M44">
            <v>42767</v>
          </cell>
          <cell r="N44">
            <v>43373</v>
          </cell>
          <cell r="O44">
            <v>19.956164383561642</v>
          </cell>
          <cell r="P44">
            <v>19.923287671232877</v>
          </cell>
          <cell r="Q44">
            <v>26.991780821917811</v>
          </cell>
          <cell r="R44" t="str">
            <v>áno</v>
          </cell>
          <cell r="S44">
            <v>7.0684931506849313</v>
          </cell>
          <cell r="T44" t="str">
            <v>áno</v>
          </cell>
          <cell r="U44">
            <v>7.0356164383561648</v>
          </cell>
          <cell r="V44" t="str">
            <v>-</v>
          </cell>
          <cell r="W44" t="str">
            <v>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e">
            <v>#VALUE!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42767</v>
          </cell>
          <cell r="AH44" t="str">
            <v>ok</v>
          </cell>
          <cell r="AJ44" t="b">
            <v>0</v>
          </cell>
        </row>
        <row r="45">
          <cell r="A45" t="str">
            <v>310011A155</v>
          </cell>
          <cell r="B45" t="str">
            <v>1.4.1</v>
          </cell>
          <cell r="C45" t="str">
            <v>OPKZP-PO1-SC141-2015-7</v>
          </cell>
          <cell r="D45" t="str">
            <v>U. S. Steel Košice, s.r.o.</v>
          </cell>
          <cell r="E45" t="str">
            <v>Odprášenie OC2 - mimopecné odsírenie</v>
          </cell>
          <cell r="F45">
            <v>42539</v>
          </cell>
          <cell r="G45" t="str">
            <v/>
          </cell>
          <cell r="H45">
            <v>43404</v>
          </cell>
          <cell r="I45">
            <v>42705</v>
          </cell>
          <cell r="J45">
            <v>43312</v>
          </cell>
          <cell r="K45">
            <v>42795</v>
          </cell>
          <cell r="L45">
            <v>43404</v>
          </cell>
          <cell r="M45">
            <v>42795</v>
          </cell>
          <cell r="N45">
            <v>43404</v>
          </cell>
          <cell r="O45">
            <v>19.956164383561642</v>
          </cell>
          <cell r="P45">
            <v>20.021917808219179</v>
          </cell>
          <cell r="Q45">
            <v>22.980821917808221</v>
          </cell>
          <cell r="R45" t="str">
            <v>áno</v>
          </cell>
          <cell r="S45">
            <v>2.9589041095890409</v>
          </cell>
          <cell r="T45" t="str">
            <v>áno</v>
          </cell>
          <cell r="U45">
            <v>3.0246575342465754</v>
          </cell>
          <cell r="V45" t="str">
            <v>-</v>
          </cell>
          <cell r="W45" t="str">
            <v>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e">
            <v>#VALUE!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42795</v>
          </cell>
          <cell r="AH45" t="str">
            <v>ok</v>
          </cell>
          <cell r="AJ45" t="b">
            <v>0</v>
          </cell>
        </row>
        <row r="46">
          <cell r="A46" t="str">
            <v>310011A226</v>
          </cell>
          <cell r="B46" t="str">
            <v>1.4.1</v>
          </cell>
          <cell r="C46" t="str">
            <v>OPKZP-PO1-SC141-2015-7</v>
          </cell>
          <cell r="D46" t="str">
            <v>U. S. Steel Košice, s.r.o.</v>
          </cell>
          <cell r="E46" t="str">
            <v>Kontrola emisií pre rudné mosty VP1</v>
          </cell>
          <cell r="F46">
            <v>42542</v>
          </cell>
          <cell r="G46" t="str">
            <v/>
          </cell>
          <cell r="H46">
            <v>43646</v>
          </cell>
          <cell r="I46">
            <v>43009</v>
          </cell>
          <cell r="J46">
            <v>43738</v>
          </cell>
          <cell r="K46">
            <v>42917</v>
          </cell>
          <cell r="L46">
            <v>43646</v>
          </cell>
          <cell r="M46">
            <v>0</v>
          </cell>
          <cell r="N46">
            <v>0</v>
          </cell>
          <cell r="O46">
            <v>23.967123287671232</v>
          </cell>
          <cell r="P46">
            <v>23.967123287671232</v>
          </cell>
          <cell r="Q46">
            <v>20.942465753424656</v>
          </cell>
          <cell r="R46" t="str">
            <v>áno</v>
          </cell>
          <cell r="S46">
            <v>-3.0246575342465754</v>
          </cell>
          <cell r="T46" t="str">
            <v>nie</v>
          </cell>
          <cell r="U46">
            <v>-3.0246575342465754</v>
          </cell>
          <cell r="V46" t="str">
            <v>-</v>
          </cell>
          <cell r="W46" t="str">
            <v>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e">
            <v>#VALUE!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42917</v>
          </cell>
          <cell r="AH46" t="str">
            <v>ok</v>
          </cell>
          <cell r="AJ46" t="b">
            <v>0</v>
          </cell>
        </row>
        <row r="47">
          <cell r="A47" t="str">
            <v>310011A280</v>
          </cell>
          <cell r="B47" t="str">
            <v>1.1.1</v>
          </cell>
          <cell r="C47" t="str">
            <v>OPKZP-PO1-SC111-2016-FN</v>
          </cell>
          <cell r="D47" t="str">
            <v>SZRB Asset Management, a.s.</v>
          </cell>
          <cell r="E47" t="str">
            <v>Investovanie do sektora odpadového hospodárstva</v>
          </cell>
          <cell r="F47">
            <v>42136</v>
          </cell>
          <cell r="G47" t="str">
            <v/>
          </cell>
          <cell r="H47">
            <v>45291</v>
          </cell>
          <cell r="I47">
            <v>42095</v>
          </cell>
          <cell r="J47">
            <v>45291</v>
          </cell>
          <cell r="K47">
            <v>42095</v>
          </cell>
          <cell r="L47">
            <v>45291</v>
          </cell>
          <cell r="M47" t="str">
            <v/>
          </cell>
          <cell r="N47" t="str">
            <v/>
          </cell>
          <cell r="O47">
            <v>105.07397260273972</v>
          </cell>
          <cell r="P47">
            <v>105.07397260273972</v>
          </cell>
          <cell r="Q47">
            <v>105.07397260273972</v>
          </cell>
          <cell r="R47" t="str">
            <v>nie</v>
          </cell>
          <cell r="S47">
            <v>0</v>
          </cell>
          <cell r="T47" t="str">
            <v>nie</v>
          </cell>
          <cell r="U47">
            <v>0</v>
          </cell>
          <cell r="V47" t="str">
            <v>-</v>
          </cell>
          <cell r="W47" t="str">
            <v>-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e">
            <v>#VALUE!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  <cell r="AG47">
            <v>42095</v>
          </cell>
          <cell r="AH47" t="str">
            <v>po termíne</v>
          </cell>
          <cell r="AJ47" t="b">
            <v>0</v>
          </cell>
        </row>
        <row r="48">
          <cell r="A48" t="str">
            <v>310011A326</v>
          </cell>
          <cell r="B48" t="str">
            <v>1.2.3</v>
          </cell>
          <cell r="C48" t="str">
            <v>OPKZP-PO1-SC123-2015-8</v>
          </cell>
          <cell r="D48" t="str">
            <v>SLOVENSKÝ VODOHOSPODÁRSKY PODNIK,  štátny podnik</v>
          </cell>
          <cell r="E48" t="str">
            <v>Monitorovanie fyzikálno-chemických a biologických prvkov kvality vôd v roku 2015</v>
          </cell>
          <cell r="F48">
            <v>42608</v>
          </cell>
          <cell r="G48">
            <v>42717</v>
          </cell>
          <cell r="H48">
            <v>42613</v>
          </cell>
          <cell r="I48">
            <v>42005</v>
          </cell>
          <cell r="J48">
            <v>42521</v>
          </cell>
          <cell r="K48">
            <v>42005</v>
          </cell>
          <cell r="L48">
            <v>42521</v>
          </cell>
          <cell r="M48" t="str">
            <v/>
          </cell>
          <cell r="N48" t="str">
            <v/>
          </cell>
          <cell r="O48">
            <v>16.964383561643835</v>
          </cell>
          <cell r="P48">
            <v>16.964383561643835</v>
          </cell>
          <cell r="Q48">
            <v>16.964383561643835</v>
          </cell>
          <cell r="R48" t="str">
            <v>nie</v>
          </cell>
          <cell r="S48">
            <v>0</v>
          </cell>
          <cell r="T48" t="str">
            <v>nie</v>
          </cell>
          <cell r="U48">
            <v>0</v>
          </cell>
          <cell r="V48">
            <v>42005</v>
          </cell>
          <cell r="W48">
            <v>42613</v>
          </cell>
          <cell r="X48">
            <v>42005</v>
          </cell>
          <cell r="Y48">
            <v>42613</v>
          </cell>
          <cell r="Z48">
            <v>19.989041095890411</v>
          </cell>
          <cell r="AA48">
            <v>19.989041095890411</v>
          </cell>
          <cell r="AB48">
            <v>19.989041095890411</v>
          </cell>
          <cell r="AC48" t="str">
            <v>nie</v>
          </cell>
          <cell r="AD48">
            <v>0</v>
          </cell>
          <cell r="AE48" t="str">
            <v>nie</v>
          </cell>
          <cell r="AF48">
            <v>0</v>
          </cell>
          <cell r="AG48">
            <v>42005</v>
          </cell>
          <cell r="AH48" t="str">
            <v>ok</v>
          </cell>
          <cell r="AJ48" t="b">
            <v>0</v>
          </cell>
        </row>
        <row r="49">
          <cell r="A49" t="str">
            <v>310011A366</v>
          </cell>
          <cell r="B49" t="str">
            <v>1.2.3</v>
          </cell>
          <cell r="C49" t="str">
            <v>OPKZP-PO1-SC123-2015-8</v>
          </cell>
          <cell r="D49" t="str">
            <v>Výskumný ústav vodného hospodárstva</v>
          </cell>
          <cell r="E49" t="str">
            <v>Monitorovanie a hodnotenie stavu vôd – III. etapa</v>
          </cell>
          <cell r="F49">
            <v>42698</v>
          </cell>
          <cell r="G49" t="str">
            <v/>
          </cell>
          <cell r="H49">
            <v>44196</v>
          </cell>
          <cell r="I49">
            <v>42186</v>
          </cell>
          <cell r="J49">
            <v>44196</v>
          </cell>
          <cell r="K49">
            <v>42186</v>
          </cell>
          <cell r="L49">
            <v>44196</v>
          </cell>
          <cell r="M49" t="str">
            <v/>
          </cell>
          <cell r="N49" t="str">
            <v/>
          </cell>
          <cell r="O49">
            <v>66.082191780821915</v>
          </cell>
          <cell r="P49">
            <v>66.082191780821915</v>
          </cell>
          <cell r="Q49">
            <v>66.082191780821915</v>
          </cell>
          <cell r="R49" t="str">
            <v>nie</v>
          </cell>
          <cell r="S49">
            <v>0</v>
          </cell>
          <cell r="T49" t="str">
            <v>nie</v>
          </cell>
          <cell r="U49">
            <v>0</v>
          </cell>
          <cell r="V49">
            <v>42186</v>
          </cell>
          <cell r="W49">
            <v>44196</v>
          </cell>
          <cell r="X49">
            <v>42186</v>
          </cell>
          <cell r="Y49">
            <v>44196</v>
          </cell>
          <cell r="Z49">
            <v>66.082191780821915</v>
          </cell>
          <cell r="AA49">
            <v>66.082191780821915</v>
          </cell>
          <cell r="AB49">
            <v>66.082191780821915</v>
          </cell>
          <cell r="AC49" t="str">
            <v>nie</v>
          </cell>
          <cell r="AD49">
            <v>0</v>
          </cell>
          <cell r="AE49" t="str">
            <v>nie</v>
          </cell>
          <cell r="AF49">
            <v>0</v>
          </cell>
          <cell r="AG49">
            <v>42186</v>
          </cell>
          <cell r="AH49" t="str">
            <v>ok</v>
          </cell>
          <cell r="AJ49" t="b">
            <v>1</v>
          </cell>
        </row>
        <row r="50">
          <cell r="A50" t="str">
            <v>310011A373</v>
          </cell>
          <cell r="B50" t="str">
            <v>1.4.1</v>
          </cell>
          <cell r="C50" t="str">
            <v>OPKZP-PO1-SC141-2015-7</v>
          </cell>
          <cell r="D50" t="str">
            <v>Žilinská teplárenská, a.s.</v>
          </cell>
          <cell r="E50" t="str">
            <v>Modernizácia technológie odlučovacieho zariadenia pre zníženie emisií tuhých znečisťujúcich látok v ŽT, a.s.</v>
          </cell>
          <cell r="F50">
            <v>42542</v>
          </cell>
          <cell r="G50" t="str">
            <v/>
          </cell>
          <cell r="H50">
            <v>43861</v>
          </cell>
          <cell r="I50">
            <v>42736</v>
          </cell>
          <cell r="J50">
            <v>43496</v>
          </cell>
          <cell r="K50">
            <v>43160</v>
          </cell>
          <cell r="L50">
            <v>43861</v>
          </cell>
          <cell r="M50">
            <v>0</v>
          </cell>
          <cell r="N50">
            <v>0</v>
          </cell>
          <cell r="O50">
            <v>24.986301369863014</v>
          </cell>
          <cell r="P50">
            <v>23.046575342465754</v>
          </cell>
          <cell r="Q50">
            <v>36.986301369863014</v>
          </cell>
          <cell r="R50" t="str">
            <v>áno</v>
          </cell>
          <cell r="S50">
            <v>13.93972602739726</v>
          </cell>
          <cell r="T50" t="str">
            <v>áno</v>
          </cell>
          <cell r="U50">
            <v>12</v>
          </cell>
          <cell r="V50" t="str">
            <v>-</v>
          </cell>
          <cell r="W50" t="str">
            <v>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e">
            <v>#VALUE!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43160</v>
          </cell>
          <cell r="AH50" t="str">
            <v>po termíne</v>
          </cell>
          <cell r="AJ50" t="b">
            <v>0</v>
          </cell>
        </row>
        <row r="51">
          <cell r="A51" t="str">
            <v>310011A847</v>
          </cell>
          <cell r="B51" t="str">
            <v>1.1.1</v>
          </cell>
          <cell r="C51" t="str">
            <v>OPKZP-PO1-SC111-2016-10</v>
          </cell>
          <cell r="D51" t="str">
            <v>Obec Rabčice</v>
          </cell>
          <cell r="E51" t="str">
            <v>Zberný dvor Rabčice</v>
          </cell>
          <cell r="F51">
            <v>42761</v>
          </cell>
          <cell r="G51">
            <v>43020</v>
          </cell>
          <cell r="H51">
            <v>43131</v>
          </cell>
          <cell r="I51">
            <v>42736</v>
          </cell>
          <cell r="J51">
            <v>43008</v>
          </cell>
          <cell r="K51">
            <v>42856</v>
          </cell>
          <cell r="L51">
            <v>43131</v>
          </cell>
          <cell r="M51">
            <v>0</v>
          </cell>
          <cell r="N51">
            <v>0</v>
          </cell>
          <cell r="O51">
            <v>8.9424657534246581</v>
          </cell>
          <cell r="P51">
            <v>9.0410958904109595</v>
          </cell>
          <cell r="Q51">
            <v>12.986301369863014</v>
          </cell>
          <cell r="R51" t="str">
            <v>áno</v>
          </cell>
          <cell r="S51">
            <v>3.9452054794520546</v>
          </cell>
          <cell r="T51" t="str">
            <v>áno</v>
          </cell>
          <cell r="U51">
            <v>4.043835616438356</v>
          </cell>
          <cell r="V51">
            <v>42736</v>
          </cell>
          <cell r="W51">
            <v>43008</v>
          </cell>
          <cell r="X51">
            <v>42856</v>
          </cell>
          <cell r="Y51">
            <v>43131</v>
          </cell>
          <cell r="Z51">
            <v>8.9424657534246581</v>
          </cell>
          <cell r="AA51">
            <v>9.0410958904109595</v>
          </cell>
          <cell r="AB51">
            <v>12.986301369863014</v>
          </cell>
          <cell r="AC51" t="str">
            <v>áno</v>
          </cell>
          <cell r="AD51">
            <v>3.9452054794520546</v>
          </cell>
          <cell r="AE51" t="str">
            <v>áno</v>
          </cell>
          <cell r="AF51">
            <v>4.043835616438356</v>
          </cell>
          <cell r="AG51">
            <v>42856</v>
          </cell>
          <cell r="AH51" t="str">
            <v>ok</v>
          </cell>
          <cell r="AJ51" t="b">
            <v>1</v>
          </cell>
        </row>
        <row r="52">
          <cell r="A52" t="str">
            <v>310011A874</v>
          </cell>
          <cell r="B52" t="str">
            <v>1.2.3</v>
          </cell>
          <cell r="C52" t="str">
            <v>OPKZP-PO1-SC123-2015-8</v>
          </cell>
          <cell r="D52" t="str">
            <v>Štátny geologický ústav Dionýza Štúra</v>
          </cell>
          <cell r="E52" t="str">
            <v>Monitorovanie chemického stavu a hodnotenie kvality podzemných vôd Slovenskej republiky</v>
          </cell>
          <cell r="F52">
            <v>42682</v>
          </cell>
          <cell r="G52" t="str">
            <v/>
          </cell>
          <cell r="H52">
            <v>44196</v>
          </cell>
          <cell r="I52">
            <v>42461</v>
          </cell>
          <cell r="J52">
            <v>44196</v>
          </cell>
          <cell r="K52">
            <v>42461</v>
          </cell>
          <cell r="L52">
            <v>44196</v>
          </cell>
          <cell r="M52">
            <v>0</v>
          </cell>
          <cell r="N52">
            <v>0</v>
          </cell>
          <cell r="O52">
            <v>57.041095890410958</v>
          </cell>
          <cell r="P52">
            <v>57.041095890410958</v>
          </cell>
          <cell r="Q52">
            <v>57.041095890410958</v>
          </cell>
          <cell r="R52" t="str">
            <v>nie</v>
          </cell>
          <cell r="S52">
            <v>0</v>
          </cell>
          <cell r="T52" t="str">
            <v>nie</v>
          </cell>
          <cell r="U52">
            <v>0</v>
          </cell>
          <cell r="V52">
            <v>42461</v>
          </cell>
          <cell r="W52">
            <v>44196</v>
          </cell>
          <cell r="X52">
            <v>42461</v>
          </cell>
          <cell r="Y52">
            <v>44196</v>
          </cell>
          <cell r="Z52">
            <v>57.041095890410958</v>
          </cell>
          <cell r="AA52">
            <v>57.041095890410958</v>
          </cell>
          <cell r="AB52">
            <v>57.041095890410958</v>
          </cell>
          <cell r="AC52" t="str">
            <v>nie</v>
          </cell>
          <cell r="AD52">
            <v>0</v>
          </cell>
          <cell r="AE52" t="str">
            <v>nie</v>
          </cell>
          <cell r="AF52">
            <v>0</v>
          </cell>
          <cell r="AG52">
            <v>42461</v>
          </cell>
          <cell r="AH52" t="str">
            <v>ok</v>
          </cell>
          <cell r="AJ52" t="b">
            <v>1</v>
          </cell>
        </row>
        <row r="53">
          <cell r="A53" t="str">
            <v>310011A903</v>
          </cell>
          <cell r="B53" t="str">
            <v>1.2.1</v>
          </cell>
          <cell r="C53" t="str">
            <v>OPKZP-PO1-SC121-2015-VP</v>
          </cell>
          <cell r="D53" t="str">
            <v>Západoslovenská vodárenská spoločnosť, a.s.</v>
          </cell>
          <cell r="E53" t="str">
            <v>Čistiareň odpadových vôd SEVER</v>
          </cell>
          <cell r="F53">
            <v>42655</v>
          </cell>
          <cell r="G53" t="str">
            <v/>
          </cell>
          <cell r="H53">
            <v>43281</v>
          </cell>
          <cell r="I53">
            <v>42095</v>
          </cell>
          <cell r="J53">
            <v>43281</v>
          </cell>
          <cell r="K53">
            <v>42095</v>
          </cell>
          <cell r="L53">
            <v>43281</v>
          </cell>
          <cell r="M53" t="str">
            <v/>
          </cell>
          <cell r="N53" t="str">
            <v/>
          </cell>
          <cell r="O53">
            <v>38.991780821917814</v>
          </cell>
          <cell r="P53">
            <v>38.991780821917814</v>
          </cell>
          <cell r="Q53">
            <v>38.991780821917814</v>
          </cell>
          <cell r="R53" t="str">
            <v>nie</v>
          </cell>
          <cell r="S53">
            <v>0</v>
          </cell>
          <cell r="T53" t="str">
            <v>nie</v>
          </cell>
          <cell r="U53">
            <v>0</v>
          </cell>
          <cell r="V53">
            <v>42095</v>
          </cell>
          <cell r="W53">
            <v>43281</v>
          </cell>
          <cell r="X53">
            <v>42095</v>
          </cell>
          <cell r="Y53">
            <v>43281</v>
          </cell>
          <cell r="Z53">
            <v>38.991780821917814</v>
          </cell>
          <cell r="AA53">
            <v>38.991780821917814</v>
          </cell>
          <cell r="AB53">
            <v>38.991780821917814</v>
          </cell>
          <cell r="AC53" t="str">
            <v>nie</v>
          </cell>
          <cell r="AD53">
            <v>0</v>
          </cell>
          <cell r="AE53" t="str">
            <v>nie</v>
          </cell>
          <cell r="AF53">
            <v>0</v>
          </cell>
          <cell r="AG53">
            <v>42095</v>
          </cell>
          <cell r="AH53" t="str">
            <v>ok</v>
          </cell>
          <cell r="AJ53" t="b">
            <v>1</v>
          </cell>
        </row>
        <row r="54">
          <cell r="A54" t="str">
            <v>310011A909</v>
          </cell>
          <cell r="B54" t="str">
            <v>1.1.1</v>
          </cell>
          <cell r="C54" t="str">
            <v>OPKZP-PO1-SC111-2016-10</v>
          </cell>
          <cell r="D54" t="str">
            <v>Obec Veľké Ludince</v>
          </cell>
          <cell r="E54" t="str">
            <v>Zberný dvor odpadu Veľké Ludince</v>
          </cell>
          <cell r="F54">
            <v>42762</v>
          </cell>
          <cell r="G54" t="str">
            <v/>
          </cell>
          <cell r="H54">
            <v>43131</v>
          </cell>
          <cell r="I54">
            <v>42736</v>
          </cell>
          <cell r="J54">
            <v>42947</v>
          </cell>
          <cell r="K54">
            <v>42917</v>
          </cell>
          <cell r="L54">
            <v>43131</v>
          </cell>
          <cell r="M54">
            <v>0</v>
          </cell>
          <cell r="N54">
            <v>0</v>
          </cell>
          <cell r="O54">
            <v>6.9369863013698625</v>
          </cell>
          <cell r="P54">
            <v>7.0356164383561648</v>
          </cell>
          <cell r="Q54">
            <v>12.986301369863014</v>
          </cell>
          <cell r="R54" t="str">
            <v>áno</v>
          </cell>
          <cell r="S54">
            <v>5.9506849315068493</v>
          </cell>
          <cell r="T54" t="str">
            <v>áno</v>
          </cell>
          <cell r="U54">
            <v>6.0493150684931507</v>
          </cell>
          <cell r="V54">
            <v>42705</v>
          </cell>
          <cell r="W54">
            <v>43039</v>
          </cell>
          <cell r="X54">
            <v>42705</v>
          </cell>
          <cell r="Y54">
            <v>43131</v>
          </cell>
          <cell r="Z54">
            <v>10.980821917808219</v>
          </cell>
          <cell r="AA54">
            <v>14.005479452054796</v>
          </cell>
          <cell r="AB54">
            <v>14.005479452054796</v>
          </cell>
          <cell r="AC54" t="str">
            <v>nie</v>
          </cell>
          <cell r="AD54">
            <v>0</v>
          </cell>
          <cell r="AE54" t="str">
            <v>áno</v>
          </cell>
          <cell r="AF54">
            <v>3.0246575342465754</v>
          </cell>
          <cell r="AG54">
            <v>42705</v>
          </cell>
          <cell r="AH54" t="str">
            <v>ok</v>
          </cell>
          <cell r="AJ54" t="b">
            <v>1</v>
          </cell>
        </row>
        <row r="55">
          <cell r="A55" t="str">
            <v>310011A918</v>
          </cell>
          <cell r="B55" t="str">
            <v>1.1.1</v>
          </cell>
          <cell r="C55" t="str">
            <v>OPKZP-PO1-SC111-2016-10</v>
          </cell>
          <cell r="D55" t="str">
            <v>Mesto Šahy</v>
          </cell>
          <cell r="E55" t="str">
            <v>Triedený zber biologicky rozložiteľného odpadu Šahy</v>
          </cell>
          <cell r="F55">
            <v>42746</v>
          </cell>
          <cell r="G55" t="str">
            <v/>
          </cell>
          <cell r="H55">
            <v>43343</v>
          </cell>
          <cell r="I55">
            <v>42795</v>
          </cell>
          <cell r="J55">
            <v>43343</v>
          </cell>
          <cell r="K55">
            <v>42979</v>
          </cell>
          <cell r="L55">
            <v>43343</v>
          </cell>
          <cell r="M55" t="str">
            <v>n/a</v>
          </cell>
          <cell r="N55" t="str">
            <v>n/a</v>
          </cell>
          <cell r="O55">
            <v>18.016438356164386</v>
          </cell>
          <cell r="P55">
            <v>11.967123287671233</v>
          </cell>
          <cell r="Q55">
            <v>18.016438356164386</v>
          </cell>
          <cell r="R55" t="str">
            <v>áno</v>
          </cell>
          <cell r="S55">
            <v>6.0493150684931507</v>
          </cell>
          <cell r="T55" t="str">
            <v>nie</v>
          </cell>
          <cell r="U55">
            <v>0</v>
          </cell>
          <cell r="V55">
            <v>42795</v>
          </cell>
          <cell r="W55">
            <v>43343</v>
          </cell>
          <cell r="X55">
            <v>42795</v>
          </cell>
          <cell r="Y55">
            <v>43343</v>
          </cell>
          <cell r="Z55">
            <v>18.016438356164386</v>
          </cell>
          <cell r="AA55">
            <v>18.016438356164386</v>
          </cell>
          <cell r="AB55">
            <v>18.016438356164386</v>
          </cell>
          <cell r="AC55" t="str">
            <v>nie</v>
          </cell>
          <cell r="AD55">
            <v>0</v>
          </cell>
          <cell r="AE55" t="str">
            <v>nie</v>
          </cell>
          <cell r="AF55">
            <v>0</v>
          </cell>
          <cell r="AG55">
            <v>42795</v>
          </cell>
          <cell r="AH55" t="str">
            <v>po termíne</v>
          </cell>
          <cell r="AJ55" t="b">
            <v>1</v>
          </cell>
        </row>
        <row r="56">
          <cell r="A56" t="str">
            <v>310011A919</v>
          </cell>
          <cell r="B56" t="str">
            <v>1.1.1</v>
          </cell>
          <cell r="C56" t="str">
            <v>OPKZP-PO1-SC111-2016-11</v>
          </cell>
          <cell r="D56" t="str">
            <v>Mestský podnik služieb Žarnovica s.r.o.</v>
          </cell>
          <cell r="E56" t="str">
            <v>Triedený zber komunálnych odpadov v Žarnovici</v>
          </cell>
          <cell r="F56">
            <v>42727</v>
          </cell>
          <cell r="G56" t="str">
            <v/>
          </cell>
          <cell r="H56">
            <v>43069</v>
          </cell>
          <cell r="I56">
            <v>42705</v>
          </cell>
          <cell r="J56">
            <v>43069</v>
          </cell>
          <cell r="K56">
            <v>42856</v>
          </cell>
          <cell r="L56">
            <v>43069</v>
          </cell>
          <cell r="M56">
            <v>0</v>
          </cell>
          <cell r="N56">
            <v>0</v>
          </cell>
          <cell r="O56">
            <v>11.967123287671233</v>
          </cell>
          <cell r="P56">
            <v>7.0027397260273982</v>
          </cell>
          <cell r="Q56">
            <v>11.967123287671233</v>
          </cell>
          <cell r="R56" t="str">
            <v>áno</v>
          </cell>
          <cell r="S56">
            <v>4.9643835616438361</v>
          </cell>
          <cell r="T56" t="str">
            <v>nie</v>
          </cell>
          <cell r="U56">
            <v>0</v>
          </cell>
          <cell r="V56" t="str">
            <v>-</v>
          </cell>
          <cell r="W56" t="str">
            <v>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e">
            <v>#VALUE!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42856</v>
          </cell>
          <cell r="AH56" t="str">
            <v>ok</v>
          </cell>
          <cell r="AJ56" t="b">
            <v>0</v>
          </cell>
        </row>
        <row r="57">
          <cell r="A57" t="str">
            <v>310011A925</v>
          </cell>
          <cell r="B57" t="str">
            <v>1.1.1</v>
          </cell>
          <cell r="C57" t="str">
            <v>OPKZP-PO1-SC111-2016-10</v>
          </cell>
          <cell r="D57" t="str">
            <v>Obec Jasová</v>
          </cell>
          <cell r="E57" t="str">
            <v>Hospodársko - zberný dvor</v>
          </cell>
          <cell r="F57">
            <v>42754</v>
          </cell>
          <cell r="G57" t="str">
            <v/>
          </cell>
          <cell r="H57">
            <v>43404</v>
          </cell>
          <cell r="I57">
            <v>42795</v>
          </cell>
          <cell r="J57">
            <v>43404</v>
          </cell>
          <cell r="K57">
            <v>42795</v>
          </cell>
          <cell r="L57">
            <v>43404</v>
          </cell>
          <cell r="M57" t="str">
            <v/>
          </cell>
          <cell r="N57" t="str">
            <v/>
          </cell>
          <cell r="O57">
            <v>20.021917808219179</v>
          </cell>
          <cell r="P57">
            <v>20.021917808219179</v>
          </cell>
          <cell r="Q57">
            <v>20.021917808219179</v>
          </cell>
          <cell r="R57" t="str">
            <v>nie</v>
          </cell>
          <cell r="S57">
            <v>0</v>
          </cell>
          <cell r="T57" t="str">
            <v>nie</v>
          </cell>
          <cell r="U57">
            <v>0</v>
          </cell>
          <cell r="V57">
            <v>42795</v>
          </cell>
          <cell r="W57">
            <v>43404</v>
          </cell>
          <cell r="X57">
            <v>42795</v>
          </cell>
          <cell r="Y57">
            <v>43404</v>
          </cell>
          <cell r="Z57">
            <v>20.021917808219179</v>
          </cell>
          <cell r="AA57">
            <v>20.021917808219179</v>
          </cell>
          <cell r="AB57">
            <v>20.021917808219179</v>
          </cell>
          <cell r="AC57" t="str">
            <v>nie</v>
          </cell>
          <cell r="AD57">
            <v>0</v>
          </cell>
          <cell r="AE57" t="str">
            <v>nie</v>
          </cell>
          <cell r="AF57">
            <v>0</v>
          </cell>
          <cell r="AG57">
            <v>42795</v>
          </cell>
          <cell r="AH57" t="str">
            <v>ok</v>
          </cell>
          <cell r="AJ57" t="b">
            <v>1</v>
          </cell>
        </row>
        <row r="58">
          <cell r="A58" t="str">
            <v>310011A943</v>
          </cell>
          <cell r="B58" t="str">
            <v>1.1.1</v>
          </cell>
          <cell r="C58" t="str">
            <v>OPKZP-PO1-SC111-2016-10</v>
          </cell>
          <cell r="D58" t="str">
            <v>Obec Hruštín</v>
          </cell>
          <cell r="E58" t="str">
            <v>Zberný dvor na separáciu odpadu – obec Hruštín</v>
          </cell>
          <cell r="F58">
            <v>42761</v>
          </cell>
          <cell r="G58" t="str">
            <v/>
          </cell>
          <cell r="H58">
            <v>43616</v>
          </cell>
          <cell r="I58">
            <v>42795</v>
          </cell>
          <cell r="J58">
            <v>43616</v>
          </cell>
          <cell r="K58">
            <v>42795</v>
          </cell>
          <cell r="L58">
            <v>43616</v>
          </cell>
          <cell r="M58" t="str">
            <v>n/a</v>
          </cell>
          <cell r="N58" t="str">
            <v>n/a</v>
          </cell>
          <cell r="O58">
            <v>26.991780821917811</v>
          </cell>
          <cell r="P58">
            <v>26.991780821917811</v>
          </cell>
          <cell r="Q58">
            <v>26.991780821917811</v>
          </cell>
          <cell r="R58" t="str">
            <v>nie</v>
          </cell>
          <cell r="S58">
            <v>0</v>
          </cell>
          <cell r="T58" t="str">
            <v>nie</v>
          </cell>
          <cell r="U58">
            <v>0</v>
          </cell>
          <cell r="V58">
            <v>42795</v>
          </cell>
          <cell r="W58">
            <v>43616</v>
          </cell>
          <cell r="X58">
            <v>42795</v>
          </cell>
          <cell r="Y58">
            <v>43616</v>
          </cell>
          <cell r="Z58">
            <v>26.991780821917811</v>
          </cell>
          <cell r="AA58">
            <v>26.991780821917811</v>
          </cell>
          <cell r="AB58">
            <v>26.991780821917811</v>
          </cell>
          <cell r="AC58" t="str">
            <v>nie</v>
          </cell>
          <cell r="AD58">
            <v>0</v>
          </cell>
          <cell r="AE58" t="str">
            <v>nie</v>
          </cell>
          <cell r="AF58">
            <v>0</v>
          </cell>
          <cell r="AG58">
            <v>42795</v>
          </cell>
          <cell r="AH58" t="str">
            <v>ok</v>
          </cell>
          <cell r="AJ58" t="b">
            <v>1</v>
          </cell>
        </row>
        <row r="59">
          <cell r="A59" t="str">
            <v>310011A950</v>
          </cell>
          <cell r="B59" t="str">
            <v>1.1.1</v>
          </cell>
          <cell r="C59" t="str">
            <v>OPKZP-PO1-SC111-2016-10</v>
          </cell>
          <cell r="D59" t="str">
            <v>Obec Bobrov</v>
          </cell>
          <cell r="E59" t="str">
            <v>Separovaný zber komunálneho odpadu v obci Bobrov</v>
          </cell>
          <cell r="F59">
            <v>42770</v>
          </cell>
          <cell r="G59" t="str">
            <v/>
          </cell>
          <cell r="H59">
            <v>43190</v>
          </cell>
          <cell r="I59">
            <v>42795</v>
          </cell>
          <cell r="J59">
            <v>43190</v>
          </cell>
          <cell r="K59">
            <v>42795</v>
          </cell>
          <cell r="L59">
            <v>43190</v>
          </cell>
          <cell r="M59" t="str">
            <v>n/a</v>
          </cell>
          <cell r="N59" t="str">
            <v>n/a</v>
          </cell>
          <cell r="O59">
            <v>12.986301369863014</v>
          </cell>
          <cell r="P59">
            <v>12.986301369863014</v>
          </cell>
          <cell r="Q59">
            <v>12.986301369863014</v>
          </cell>
          <cell r="R59" t="str">
            <v>nie</v>
          </cell>
          <cell r="S59">
            <v>0</v>
          </cell>
          <cell r="T59" t="str">
            <v>nie</v>
          </cell>
          <cell r="U59">
            <v>0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e">
            <v>#VALUE!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42795</v>
          </cell>
          <cell r="AH59" t="str">
            <v>ok</v>
          </cell>
          <cell r="AJ59" t="b">
            <v>0</v>
          </cell>
        </row>
        <row r="60">
          <cell r="A60" t="str">
            <v>310011A990</v>
          </cell>
          <cell r="B60" t="str">
            <v>1.1.1</v>
          </cell>
          <cell r="C60" t="str">
            <v>OPKZP-PO1-SC111-2016-10</v>
          </cell>
          <cell r="D60" t="str">
            <v>Obec Strečno</v>
          </cell>
          <cell r="E60" t="str">
            <v>Zberný dvor Strečno</v>
          </cell>
          <cell r="F60">
            <v>42761</v>
          </cell>
          <cell r="G60" t="str">
            <v/>
          </cell>
          <cell r="H60">
            <v>43220</v>
          </cell>
          <cell r="I60">
            <v>42795</v>
          </cell>
          <cell r="J60">
            <v>43131</v>
          </cell>
          <cell r="K60">
            <v>42887</v>
          </cell>
          <cell r="L60">
            <v>43220</v>
          </cell>
          <cell r="M60">
            <v>42887</v>
          </cell>
          <cell r="N60">
            <v>43220</v>
          </cell>
          <cell r="O60">
            <v>11.046575342465754</v>
          </cell>
          <cell r="P60">
            <v>10.947945205479453</v>
          </cell>
          <cell r="Q60">
            <v>13.972602739726028</v>
          </cell>
          <cell r="R60" t="str">
            <v>áno</v>
          </cell>
          <cell r="S60">
            <v>3.0246575342465754</v>
          </cell>
          <cell r="T60" t="str">
            <v>áno</v>
          </cell>
          <cell r="U60">
            <v>2.9260273972602739</v>
          </cell>
          <cell r="V60">
            <v>42795</v>
          </cell>
          <cell r="W60">
            <v>43131</v>
          </cell>
          <cell r="X60">
            <v>42887</v>
          </cell>
          <cell r="Y60">
            <v>43220</v>
          </cell>
          <cell r="Z60">
            <v>11.046575342465754</v>
          </cell>
          <cell r="AA60">
            <v>10.947945205479453</v>
          </cell>
          <cell r="AB60">
            <v>13.972602739726028</v>
          </cell>
          <cell r="AC60" t="str">
            <v>áno</v>
          </cell>
          <cell r="AD60">
            <v>3.0246575342465754</v>
          </cell>
          <cell r="AE60" t="str">
            <v>áno</v>
          </cell>
          <cell r="AF60">
            <v>2.9260273972602739</v>
          </cell>
          <cell r="AG60">
            <v>42887</v>
          </cell>
          <cell r="AH60" t="str">
            <v>ok</v>
          </cell>
          <cell r="AJ60" t="b">
            <v>1</v>
          </cell>
        </row>
        <row r="61">
          <cell r="A61" t="str">
            <v>310011B014</v>
          </cell>
          <cell r="B61" t="str">
            <v>1.1.1</v>
          </cell>
          <cell r="C61" t="str">
            <v>OPKZP-PO1-SC111-2016-10</v>
          </cell>
          <cell r="D61" t="str">
            <v>Mesto Poprad</v>
          </cell>
          <cell r="E61" t="str">
            <v>Rozšírenie triedeného zberu biologicky rozložiteľného odpadu (BRKO) v meste Poprad</v>
          </cell>
          <cell r="F61">
            <v>42770</v>
          </cell>
          <cell r="G61" t="str">
            <v/>
          </cell>
          <cell r="H61">
            <v>43159</v>
          </cell>
          <cell r="I61">
            <v>42767</v>
          </cell>
          <cell r="J61">
            <v>43039</v>
          </cell>
          <cell r="K61">
            <v>42887</v>
          </cell>
          <cell r="L61">
            <v>43159</v>
          </cell>
          <cell r="M61">
            <v>0</v>
          </cell>
          <cell r="N61">
            <v>0</v>
          </cell>
          <cell r="O61">
            <v>8.9424657534246581</v>
          </cell>
          <cell r="P61">
            <v>8.9424657534246581</v>
          </cell>
          <cell r="Q61">
            <v>12.887671232876713</v>
          </cell>
          <cell r="R61" t="str">
            <v>áno</v>
          </cell>
          <cell r="S61">
            <v>3.9452054794520546</v>
          </cell>
          <cell r="T61" t="str">
            <v>áno</v>
          </cell>
          <cell r="U61">
            <v>3.9452054794520546</v>
          </cell>
          <cell r="V61">
            <v>42767</v>
          </cell>
          <cell r="W61">
            <v>43039</v>
          </cell>
          <cell r="X61">
            <v>42887</v>
          </cell>
          <cell r="Y61">
            <v>43159</v>
          </cell>
          <cell r="Z61">
            <v>8.9424657534246581</v>
          </cell>
          <cell r="AA61">
            <v>8.9424657534246581</v>
          </cell>
          <cell r="AB61">
            <v>12.887671232876713</v>
          </cell>
          <cell r="AC61" t="str">
            <v>áno</v>
          </cell>
          <cell r="AD61">
            <v>3.9452054794520546</v>
          </cell>
          <cell r="AE61" t="str">
            <v>áno</v>
          </cell>
          <cell r="AF61">
            <v>3.9452054794520546</v>
          </cell>
          <cell r="AG61">
            <v>42887</v>
          </cell>
          <cell r="AH61" t="str">
            <v>ok</v>
          </cell>
          <cell r="AJ61" t="b">
            <v>1</v>
          </cell>
        </row>
        <row r="62">
          <cell r="A62" t="str">
            <v>310011B020</v>
          </cell>
          <cell r="B62" t="str">
            <v>1.1.1</v>
          </cell>
          <cell r="C62" t="str">
            <v>OPKZP-PO1-SC111-2016-10</v>
          </cell>
          <cell r="D62" t="str">
            <v>obec Bešeňová</v>
          </cell>
          <cell r="E62" t="str">
            <v>Vybudovanie zberného dvora v obci Bešeňová</v>
          </cell>
          <cell r="F62">
            <v>42740</v>
          </cell>
          <cell r="G62" t="str">
            <v/>
          </cell>
          <cell r="H62">
            <v>42978</v>
          </cell>
          <cell r="I62">
            <v>42736</v>
          </cell>
          <cell r="J62">
            <v>42855</v>
          </cell>
          <cell r="K62">
            <v>42736</v>
          </cell>
          <cell r="L62">
            <v>42978</v>
          </cell>
          <cell r="M62">
            <v>0</v>
          </cell>
          <cell r="N62">
            <v>0</v>
          </cell>
          <cell r="O62">
            <v>3.9123287671232876</v>
          </cell>
          <cell r="P62">
            <v>7.956164383561644</v>
          </cell>
          <cell r="Q62">
            <v>7.956164383561644</v>
          </cell>
          <cell r="R62" t="str">
            <v>nie</v>
          </cell>
          <cell r="S62">
            <v>0</v>
          </cell>
          <cell r="T62" t="str">
            <v>áno</v>
          </cell>
          <cell r="U62">
            <v>4.043835616438356</v>
          </cell>
          <cell r="V62">
            <v>42736</v>
          </cell>
          <cell r="W62">
            <v>42855</v>
          </cell>
          <cell r="X62">
            <v>42736</v>
          </cell>
          <cell r="Y62">
            <v>42978</v>
          </cell>
          <cell r="Z62">
            <v>3.9123287671232876</v>
          </cell>
          <cell r="AA62">
            <v>7.956164383561644</v>
          </cell>
          <cell r="AB62">
            <v>7.956164383561644</v>
          </cell>
          <cell r="AC62" t="str">
            <v>nie</v>
          </cell>
          <cell r="AD62">
            <v>0</v>
          </cell>
          <cell r="AE62" t="str">
            <v>áno</v>
          </cell>
          <cell r="AF62">
            <v>4.043835616438356</v>
          </cell>
          <cell r="AG62">
            <v>42736</v>
          </cell>
          <cell r="AH62" t="str">
            <v>ok</v>
          </cell>
          <cell r="AJ62" t="b">
            <v>1</v>
          </cell>
        </row>
        <row r="63">
          <cell r="A63" t="str">
            <v>310011B031</v>
          </cell>
          <cell r="B63" t="str">
            <v>1.1.1</v>
          </cell>
          <cell r="C63" t="str">
            <v>OPKZP-PO1-SC111-2016-11</v>
          </cell>
          <cell r="D63" t="str">
            <v>Mesto Handlová</v>
          </cell>
          <cell r="E63" t="str">
            <v>Kompostáreň Handlová</v>
          </cell>
          <cell r="F63">
            <v>42741</v>
          </cell>
          <cell r="G63" t="str">
            <v/>
          </cell>
          <cell r="H63">
            <v>43404</v>
          </cell>
          <cell r="I63">
            <v>42705</v>
          </cell>
          <cell r="J63">
            <v>43251</v>
          </cell>
          <cell r="K63">
            <v>42917</v>
          </cell>
          <cell r="L63">
            <v>43404</v>
          </cell>
          <cell r="M63">
            <v>0</v>
          </cell>
          <cell r="N63">
            <v>0</v>
          </cell>
          <cell r="O63">
            <v>17.950684931506849</v>
          </cell>
          <cell r="P63">
            <v>16.010958904109589</v>
          </cell>
          <cell r="Q63">
            <v>22.980821917808221</v>
          </cell>
          <cell r="R63" t="str">
            <v>áno</v>
          </cell>
          <cell r="S63">
            <v>6.9698630136986299</v>
          </cell>
          <cell r="T63" t="str">
            <v>áno</v>
          </cell>
          <cell r="U63">
            <v>5.0301369863013701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B63" t="e">
            <v>#VALUE!</v>
          </cell>
          <cell r="AC63" t="str">
            <v>-</v>
          </cell>
          <cell r="AD63" t="str">
            <v>-</v>
          </cell>
          <cell r="AE63" t="str">
            <v>-</v>
          </cell>
          <cell r="AF63" t="str">
            <v>-</v>
          </cell>
          <cell r="AG63">
            <v>42917</v>
          </cell>
          <cell r="AH63" t="str">
            <v>ok</v>
          </cell>
          <cell r="AJ63" t="b">
            <v>0</v>
          </cell>
        </row>
        <row r="64">
          <cell r="A64" t="str">
            <v>310011B032</v>
          </cell>
          <cell r="B64" t="str">
            <v>1.1.1</v>
          </cell>
          <cell r="C64" t="str">
            <v>OPKZP-PO1-SC111-2016-10</v>
          </cell>
          <cell r="D64" t="str">
            <v>Obec Klin</v>
          </cell>
          <cell r="E64" t="str">
            <v>Zberný dvor Klin</v>
          </cell>
          <cell r="F64">
            <v>42741</v>
          </cell>
          <cell r="G64" t="str">
            <v/>
          </cell>
          <cell r="H64">
            <v>43100</v>
          </cell>
          <cell r="I64">
            <v>42461</v>
          </cell>
          <cell r="J64">
            <v>43008</v>
          </cell>
          <cell r="K64">
            <v>42461</v>
          </cell>
          <cell r="L64">
            <v>43100</v>
          </cell>
          <cell r="M64">
            <v>0</v>
          </cell>
          <cell r="N64">
            <v>43100</v>
          </cell>
          <cell r="O64">
            <v>17.983561643835614</v>
          </cell>
          <cell r="P64">
            <v>21.008219178082193</v>
          </cell>
          <cell r="Q64">
            <v>21.008219178082193</v>
          </cell>
          <cell r="R64" t="str">
            <v>nie</v>
          </cell>
          <cell r="S64">
            <v>0</v>
          </cell>
          <cell r="T64" t="str">
            <v>áno</v>
          </cell>
          <cell r="U64">
            <v>3.0246575342465754</v>
          </cell>
          <cell r="V64">
            <v>42461</v>
          </cell>
          <cell r="W64">
            <v>43008</v>
          </cell>
          <cell r="X64">
            <v>42461</v>
          </cell>
          <cell r="Y64">
            <v>43100</v>
          </cell>
          <cell r="Z64">
            <v>17.983561643835614</v>
          </cell>
          <cell r="AA64">
            <v>21.008219178082193</v>
          </cell>
          <cell r="AB64">
            <v>21.008219178082193</v>
          </cell>
          <cell r="AC64" t="str">
            <v>nie</v>
          </cell>
          <cell r="AD64">
            <v>0</v>
          </cell>
          <cell r="AE64" t="str">
            <v>áno</v>
          </cell>
          <cell r="AF64">
            <v>3.0246575342465754</v>
          </cell>
          <cell r="AG64">
            <v>42461</v>
          </cell>
          <cell r="AH64" t="str">
            <v>ok</v>
          </cell>
          <cell r="AJ64" t="b">
            <v>1</v>
          </cell>
        </row>
        <row r="65">
          <cell r="A65" t="str">
            <v>310011B039</v>
          </cell>
          <cell r="B65" t="str">
            <v>1.1.1</v>
          </cell>
          <cell r="C65" t="str">
            <v>OPKZP-PO1-SC111-2016-10</v>
          </cell>
          <cell r="D65" t="str">
            <v>Obec Dedina Mládeže</v>
          </cell>
          <cell r="E65" t="str">
            <v>Rozšírenie Ekodvora v obci Dedina Mládeže</v>
          </cell>
          <cell r="F65">
            <v>42741</v>
          </cell>
          <cell r="G65" t="str">
            <v/>
          </cell>
          <cell r="H65">
            <v>43251</v>
          </cell>
          <cell r="I65">
            <v>42795</v>
          </cell>
          <cell r="J65">
            <v>43159</v>
          </cell>
          <cell r="K65">
            <v>42887</v>
          </cell>
          <cell r="L65">
            <v>43251</v>
          </cell>
          <cell r="M65">
            <v>0</v>
          </cell>
          <cell r="N65">
            <v>0</v>
          </cell>
          <cell r="O65">
            <v>11.967123287671233</v>
          </cell>
          <cell r="P65">
            <v>11.967123287671233</v>
          </cell>
          <cell r="Q65">
            <v>14.991780821917807</v>
          </cell>
          <cell r="R65" t="str">
            <v>áno</v>
          </cell>
          <cell r="S65">
            <v>3.0246575342465754</v>
          </cell>
          <cell r="T65" t="str">
            <v>áno</v>
          </cell>
          <cell r="U65">
            <v>3.0246575342465754</v>
          </cell>
          <cell r="V65">
            <v>42795</v>
          </cell>
          <cell r="W65">
            <v>43159</v>
          </cell>
          <cell r="X65">
            <v>42887</v>
          </cell>
          <cell r="Y65">
            <v>43251</v>
          </cell>
          <cell r="Z65">
            <v>11.967123287671233</v>
          </cell>
          <cell r="AA65">
            <v>11.967123287671233</v>
          </cell>
          <cell r="AB65">
            <v>14.991780821917807</v>
          </cell>
          <cell r="AC65" t="str">
            <v>áno</v>
          </cell>
          <cell r="AD65">
            <v>3.0246575342465754</v>
          </cell>
          <cell r="AE65" t="str">
            <v>áno</v>
          </cell>
          <cell r="AF65">
            <v>3.0246575342465754</v>
          </cell>
          <cell r="AG65">
            <v>42887</v>
          </cell>
          <cell r="AH65" t="str">
            <v>po termíne</v>
          </cell>
          <cell r="AJ65" t="b">
            <v>1</v>
          </cell>
        </row>
        <row r="66">
          <cell r="A66" t="str">
            <v>310011B052</v>
          </cell>
          <cell r="B66" t="str">
            <v>1.1.1</v>
          </cell>
          <cell r="C66" t="str">
            <v>OPKZP-PO1-SC111-2016-10</v>
          </cell>
          <cell r="D66" t="str">
            <v>Obec Trávnica</v>
          </cell>
          <cell r="E66" t="str">
            <v>Separovaný zberný dvor Trávnica</v>
          </cell>
          <cell r="F66">
            <v>42741</v>
          </cell>
          <cell r="G66" t="str">
            <v/>
          </cell>
          <cell r="H66">
            <v>43069</v>
          </cell>
          <cell r="I66">
            <v>42705</v>
          </cell>
          <cell r="J66">
            <v>43069</v>
          </cell>
          <cell r="K66">
            <v>42705</v>
          </cell>
          <cell r="L66">
            <v>43069</v>
          </cell>
          <cell r="M66" t="str">
            <v>n/a</v>
          </cell>
          <cell r="N66">
            <v>0</v>
          </cell>
          <cell r="O66">
            <v>11.967123287671233</v>
          </cell>
          <cell r="P66">
            <v>11.967123287671233</v>
          </cell>
          <cell r="Q66">
            <v>11.967123287671233</v>
          </cell>
          <cell r="R66" t="str">
            <v>nie</v>
          </cell>
          <cell r="S66">
            <v>0</v>
          </cell>
          <cell r="T66" t="str">
            <v>nie</v>
          </cell>
          <cell r="U66">
            <v>0</v>
          </cell>
          <cell r="V66">
            <v>42705</v>
          </cell>
          <cell r="W66">
            <v>43069</v>
          </cell>
          <cell r="X66">
            <v>42705</v>
          </cell>
          <cell r="Y66">
            <v>43069</v>
          </cell>
          <cell r="Z66">
            <v>11.967123287671233</v>
          </cell>
          <cell r="AA66">
            <v>11.967123287671233</v>
          </cell>
          <cell r="AB66">
            <v>11.967123287671233</v>
          </cell>
          <cell r="AC66" t="str">
            <v>nie</v>
          </cell>
          <cell r="AD66">
            <v>0</v>
          </cell>
          <cell r="AE66" t="str">
            <v>nie</v>
          </cell>
          <cell r="AF66">
            <v>0</v>
          </cell>
          <cell r="AG66">
            <v>42705</v>
          </cell>
          <cell r="AH66" t="str">
            <v>ok</v>
          </cell>
          <cell r="AJ66" t="b">
            <v>1</v>
          </cell>
        </row>
        <row r="67">
          <cell r="A67" t="str">
            <v>310011B064</v>
          </cell>
          <cell r="B67" t="str">
            <v>1.1.1</v>
          </cell>
          <cell r="C67" t="str">
            <v>OPKZP-PO1-SC111-2016-11</v>
          </cell>
          <cell r="D67" t="str">
            <v>Mesto Kremnica</v>
          </cell>
          <cell r="E67" t="str">
            <v>Technické vybavenie kompostoviska v meste Kremnica</v>
          </cell>
          <cell r="F67">
            <v>42740</v>
          </cell>
          <cell r="G67" t="str">
            <v/>
          </cell>
          <cell r="H67">
            <v>43100</v>
          </cell>
          <cell r="I67">
            <v>42736</v>
          </cell>
          <cell r="J67">
            <v>43100</v>
          </cell>
          <cell r="K67">
            <v>42887</v>
          </cell>
          <cell r="L67">
            <v>43100</v>
          </cell>
          <cell r="M67">
            <v>0</v>
          </cell>
          <cell r="N67">
            <v>0</v>
          </cell>
          <cell r="O67">
            <v>11.967123287671233</v>
          </cell>
          <cell r="P67">
            <v>7.0027397260273982</v>
          </cell>
          <cell r="Q67">
            <v>11.967123287671233</v>
          </cell>
          <cell r="R67" t="str">
            <v>áno</v>
          </cell>
          <cell r="S67">
            <v>4.9643835616438361</v>
          </cell>
          <cell r="T67" t="str">
            <v>nie</v>
          </cell>
          <cell r="U67">
            <v>0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e">
            <v>#VALUE!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  <cell r="AG67">
            <v>42887</v>
          </cell>
          <cell r="AH67" t="str">
            <v>ok</v>
          </cell>
          <cell r="AJ67" t="b">
            <v>0</v>
          </cell>
        </row>
        <row r="68">
          <cell r="A68" t="str">
            <v>310011B068</v>
          </cell>
          <cell r="B68" t="str">
            <v>1.1.1</v>
          </cell>
          <cell r="C68" t="str">
            <v>OPKZP-PO1-SC111-2016-10</v>
          </cell>
          <cell r="D68" t="str">
            <v>Obec Horné Srnie</v>
          </cell>
          <cell r="E68" t="str">
            <v>Intenzifikácia triedeného zberu komunálneho odpadu v obci Horné Srnie</v>
          </cell>
          <cell r="F68">
            <v>42754</v>
          </cell>
          <cell r="G68" t="str">
            <v/>
          </cell>
          <cell r="H68">
            <v>43100</v>
          </cell>
          <cell r="I68">
            <v>42736</v>
          </cell>
          <cell r="J68">
            <v>43100</v>
          </cell>
          <cell r="K68">
            <v>42736</v>
          </cell>
          <cell r="L68">
            <v>43100</v>
          </cell>
          <cell r="M68">
            <v>0</v>
          </cell>
          <cell r="N68">
            <v>0</v>
          </cell>
          <cell r="O68">
            <v>11.967123287671233</v>
          </cell>
          <cell r="P68">
            <v>11.967123287671233</v>
          </cell>
          <cell r="Q68">
            <v>11.967123287671233</v>
          </cell>
          <cell r="R68" t="str">
            <v>nie</v>
          </cell>
          <cell r="S68">
            <v>0</v>
          </cell>
          <cell r="T68" t="str">
            <v>nie</v>
          </cell>
          <cell r="U68">
            <v>0</v>
          </cell>
          <cell r="V68">
            <v>42736</v>
          </cell>
          <cell r="W68">
            <v>43100</v>
          </cell>
          <cell r="X68">
            <v>42736</v>
          </cell>
          <cell r="Y68">
            <v>43100</v>
          </cell>
          <cell r="Z68">
            <v>11.967123287671233</v>
          </cell>
          <cell r="AA68">
            <v>11.967123287671233</v>
          </cell>
          <cell r="AB68">
            <v>11.967123287671233</v>
          </cell>
          <cell r="AC68" t="str">
            <v>nie</v>
          </cell>
          <cell r="AD68">
            <v>0</v>
          </cell>
          <cell r="AE68" t="str">
            <v>nie</v>
          </cell>
          <cell r="AF68">
            <v>0</v>
          </cell>
          <cell r="AG68">
            <v>42736</v>
          </cell>
          <cell r="AH68" t="str">
            <v>ok</v>
          </cell>
          <cell r="AJ68" t="b">
            <v>1</v>
          </cell>
        </row>
        <row r="69">
          <cell r="A69" t="str">
            <v>310011B071</v>
          </cell>
          <cell r="B69" t="str">
            <v>1.1.1</v>
          </cell>
          <cell r="C69" t="str">
            <v>OPKZP-PO1-SC111-2016-10</v>
          </cell>
          <cell r="D69" t="str">
            <v>Obec Hliník nad Hronom</v>
          </cell>
          <cell r="E69" t="str">
            <v>Zberný dvor – Hliník nad Hronom</v>
          </cell>
          <cell r="F69">
            <v>42740</v>
          </cell>
          <cell r="G69" t="str">
            <v/>
          </cell>
          <cell r="H69">
            <v>43220</v>
          </cell>
          <cell r="I69">
            <v>42736</v>
          </cell>
          <cell r="J69">
            <v>43131</v>
          </cell>
          <cell r="K69">
            <v>42948</v>
          </cell>
          <cell r="L69">
            <v>43220</v>
          </cell>
          <cell r="M69">
            <v>0</v>
          </cell>
          <cell r="N69">
            <v>0</v>
          </cell>
          <cell r="O69">
            <v>12.986301369863014</v>
          </cell>
          <cell r="P69">
            <v>8.9424657534246581</v>
          </cell>
          <cell r="Q69">
            <v>15.912328767123288</v>
          </cell>
          <cell r="R69" t="str">
            <v>áno</v>
          </cell>
          <cell r="S69">
            <v>6.9698630136986299</v>
          </cell>
          <cell r="T69" t="str">
            <v>áno</v>
          </cell>
          <cell r="U69">
            <v>2.9260273972602739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e">
            <v>#VALUE!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  <cell r="AG69">
            <v>42948</v>
          </cell>
          <cell r="AH69" t="str">
            <v>po termíne</v>
          </cell>
          <cell r="AJ69" t="b">
            <v>0</v>
          </cell>
        </row>
        <row r="70">
          <cell r="A70" t="str">
            <v>310011B079</v>
          </cell>
          <cell r="B70" t="str">
            <v>1.1.1</v>
          </cell>
          <cell r="C70" t="str">
            <v>OPKZP-PO1-SC111-2016-10</v>
          </cell>
          <cell r="D70" t="str">
            <v>Obec Trenčianske Stankovce</v>
          </cell>
          <cell r="E70" t="str">
            <v>Posilnenie technických kapacít pre zber triedeného komunálneho odpadu v obci Trenčianske Stankovce</v>
          </cell>
          <cell r="F70">
            <v>42748</v>
          </cell>
          <cell r="G70" t="str">
            <v/>
          </cell>
          <cell r="H70">
            <v>43100</v>
          </cell>
          <cell r="I70">
            <v>42736</v>
          </cell>
          <cell r="J70">
            <v>43100</v>
          </cell>
          <cell r="K70">
            <v>42826</v>
          </cell>
          <cell r="L70">
            <v>43100</v>
          </cell>
          <cell r="M70">
            <v>0</v>
          </cell>
          <cell r="N70">
            <v>0</v>
          </cell>
          <cell r="O70">
            <v>11.967123287671233</v>
          </cell>
          <cell r="P70">
            <v>9.008219178082193</v>
          </cell>
          <cell r="Q70">
            <v>11.967123287671233</v>
          </cell>
          <cell r="R70" t="str">
            <v>áno</v>
          </cell>
          <cell r="S70">
            <v>2.9589041095890409</v>
          </cell>
          <cell r="T70" t="str">
            <v>nie</v>
          </cell>
          <cell r="U70">
            <v>0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e">
            <v>#VALUE!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42826</v>
          </cell>
          <cell r="AH70" t="str">
            <v>ok</v>
          </cell>
          <cell r="AJ70" t="b">
            <v>0</v>
          </cell>
        </row>
        <row r="71">
          <cell r="A71" t="str">
            <v>310011B080</v>
          </cell>
          <cell r="B71" t="str">
            <v>1.1.1</v>
          </cell>
          <cell r="C71" t="str">
            <v>OPKZP-PO1-SC111-2016-10</v>
          </cell>
          <cell r="D71" t="str">
            <v>Obec Dlhá nad Oravou</v>
          </cell>
          <cell r="E71" t="str">
            <v>Zberný dvor v obci Dlhá nad Oravou</v>
          </cell>
          <cell r="F71">
            <v>42770</v>
          </cell>
          <cell r="G71" t="str">
            <v/>
          </cell>
          <cell r="H71">
            <v>43131</v>
          </cell>
          <cell r="I71">
            <v>42401</v>
          </cell>
          <cell r="J71">
            <v>43131</v>
          </cell>
          <cell r="K71">
            <v>42401</v>
          </cell>
          <cell r="L71">
            <v>43131</v>
          </cell>
          <cell r="M71">
            <v>0</v>
          </cell>
          <cell r="N71">
            <v>0</v>
          </cell>
          <cell r="O71">
            <v>24</v>
          </cell>
          <cell r="P71">
            <v>24</v>
          </cell>
          <cell r="Q71">
            <v>24</v>
          </cell>
          <cell r="R71" t="str">
            <v>nie</v>
          </cell>
          <cell r="S71">
            <v>0</v>
          </cell>
          <cell r="T71" t="str">
            <v>nie</v>
          </cell>
          <cell r="U71">
            <v>0</v>
          </cell>
          <cell r="V71">
            <v>42583</v>
          </cell>
          <cell r="W71">
            <v>43131</v>
          </cell>
          <cell r="X71">
            <v>42583</v>
          </cell>
          <cell r="Y71">
            <v>43131</v>
          </cell>
          <cell r="Z71">
            <v>18.016438356164386</v>
          </cell>
          <cell r="AA71">
            <v>18.016438356164386</v>
          </cell>
          <cell r="AB71">
            <v>18.016438356164386</v>
          </cell>
          <cell r="AC71" t="str">
            <v>nie</v>
          </cell>
          <cell r="AD71">
            <v>0</v>
          </cell>
          <cell r="AE71" t="str">
            <v>nie</v>
          </cell>
          <cell r="AF71">
            <v>0</v>
          </cell>
          <cell r="AG71">
            <v>42583</v>
          </cell>
          <cell r="AH71" t="str">
            <v>ok</v>
          </cell>
          <cell r="AJ71" t="b">
            <v>1</v>
          </cell>
        </row>
        <row r="72">
          <cell r="A72" t="str">
            <v>310011B082</v>
          </cell>
          <cell r="B72" t="str">
            <v>1.1.1</v>
          </cell>
          <cell r="C72" t="str">
            <v>OPKZP-PO1-SC111-2016-10</v>
          </cell>
          <cell r="D72" t="str">
            <v>Obec Dolná Streda</v>
          </cell>
          <cell r="E72" t="str">
            <v>Zberný dvor v obci Dolná Streda</v>
          </cell>
          <cell r="F72">
            <v>42740</v>
          </cell>
          <cell r="G72" t="str">
            <v/>
          </cell>
          <cell r="H72">
            <v>43281</v>
          </cell>
          <cell r="I72">
            <v>42736</v>
          </cell>
          <cell r="J72">
            <v>43281</v>
          </cell>
          <cell r="K72">
            <v>42856</v>
          </cell>
          <cell r="L72">
            <v>43281</v>
          </cell>
          <cell r="M72">
            <v>0</v>
          </cell>
          <cell r="N72">
            <v>0</v>
          </cell>
          <cell r="O72">
            <v>17.917808219178081</v>
          </cell>
          <cell r="P72">
            <v>13.972602739726028</v>
          </cell>
          <cell r="Q72">
            <v>17.917808219178081</v>
          </cell>
          <cell r="R72" t="str">
            <v>áno</v>
          </cell>
          <cell r="S72">
            <v>3.9452054794520546</v>
          </cell>
          <cell r="T72" t="str">
            <v>nie</v>
          </cell>
          <cell r="U72">
            <v>0</v>
          </cell>
          <cell r="V72">
            <v>42736</v>
          </cell>
          <cell r="W72">
            <v>43281</v>
          </cell>
          <cell r="X72">
            <v>42856</v>
          </cell>
          <cell r="Y72">
            <v>43281</v>
          </cell>
          <cell r="Z72">
            <v>17.917808219178081</v>
          </cell>
          <cell r="AA72">
            <v>13.972602739726028</v>
          </cell>
          <cell r="AB72">
            <v>17.917808219178081</v>
          </cell>
          <cell r="AC72" t="str">
            <v>áno</v>
          </cell>
          <cell r="AD72">
            <v>3.9452054794520546</v>
          </cell>
          <cell r="AE72" t="str">
            <v>nie</v>
          </cell>
          <cell r="AF72">
            <v>0</v>
          </cell>
          <cell r="AG72">
            <v>42856</v>
          </cell>
          <cell r="AH72" t="str">
            <v>po termíne</v>
          </cell>
          <cell r="AJ72" t="b">
            <v>1</v>
          </cell>
        </row>
        <row r="73">
          <cell r="A73" t="str">
            <v>310011B097</v>
          </cell>
          <cell r="B73" t="str">
            <v>1.1.1</v>
          </cell>
          <cell r="C73" t="str">
            <v>OPKZP-PO1-SC111-2016-11</v>
          </cell>
          <cell r="D73" t="str">
            <v>Mesto Kysucké Nové Mesto</v>
          </cell>
          <cell r="E73" t="str">
            <v>Zhodnocovanie biologicky rozložiteľných odpadov Kysucké Nové Mesto</v>
          </cell>
          <cell r="F73">
            <v>42740</v>
          </cell>
          <cell r="G73" t="str">
            <v/>
          </cell>
          <cell r="H73">
            <v>43220</v>
          </cell>
          <cell r="I73">
            <v>42736</v>
          </cell>
          <cell r="J73">
            <v>43100</v>
          </cell>
          <cell r="K73">
            <v>42856</v>
          </cell>
          <cell r="L73">
            <v>43220</v>
          </cell>
          <cell r="M73">
            <v>0</v>
          </cell>
          <cell r="N73">
            <v>0</v>
          </cell>
          <cell r="O73">
            <v>11.967123287671233</v>
          </cell>
          <cell r="P73">
            <v>11.967123287671233</v>
          </cell>
          <cell r="Q73">
            <v>15.912328767123288</v>
          </cell>
          <cell r="R73" t="str">
            <v>áno</v>
          </cell>
          <cell r="S73">
            <v>3.9452054794520546</v>
          </cell>
          <cell r="T73" t="str">
            <v>áno</v>
          </cell>
          <cell r="U73">
            <v>3.9452054794520546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e">
            <v>#VALUE!</v>
          </cell>
          <cell r="AC73" t="str">
            <v>-</v>
          </cell>
          <cell r="AD73" t="str">
            <v>-</v>
          </cell>
          <cell r="AE73" t="str">
            <v>-</v>
          </cell>
          <cell r="AF73" t="str">
            <v>-</v>
          </cell>
          <cell r="AG73">
            <v>42856</v>
          </cell>
          <cell r="AH73" t="str">
            <v>po termíne</v>
          </cell>
          <cell r="AJ73" t="b">
            <v>0</v>
          </cell>
        </row>
        <row r="74">
          <cell r="A74" t="str">
            <v>310011B107</v>
          </cell>
          <cell r="B74" t="str">
            <v>1.1.1</v>
          </cell>
          <cell r="C74" t="str">
            <v>OPKZP-PO1-SC111-2016-11</v>
          </cell>
          <cell r="D74" t="str">
            <v>Obec Čierny Balog</v>
          </cell>
          <cell r="E74" t="str">
            <v>Kompostovisko Čierny Balog</v>
          </cell>
          <cell r="F74">
            <v>42740</v>
          </cell>
          <cell r="G74" t="str">
            <v/>
          </cell>
          <cell r="H74">
            <v>43251</v>
          </cell>
          <cell r="I74">
            <v>42736</v>
          </cell>
          <cell r="J74">
            <v>43100</v>
          </cell>
          <cell r="K74">
            <v>42887</v>
          </cell>
          <cell r="L74">
            <v>43251</v>
          </cell>
          <cell r="M74">
            <v>0</v>
          </cell>
          <cell r="N74">
            <v>0</v>
          </cell>
          <cell r="O74">
            <v>11.967123287671233</v>
          </cell>
          <cell r="P74">
            <v>11.967123287671233</v>
          </cell>
          <cell r="Q74">
            <v>16.93150684931507</v>
          </cell>
          <cell r="R74" t="str">
            <v>áno</v>
          </cell>
          <cell r="S74">
            <v>4.9643835616438361</v>
          </cell>
          <cell r="T74" t="str">
            <v>áno</v>
          </cell>
          <cell r="U74">
            <v>4.9643835616438361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e">
            <v>#VALUE!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42887</v>
          </cell>
          <cell r="AH74" t="str">
            <v>ok</v>
          </cell>
          <cell r="AJ74" t="b">
            <v>0</v>
          </cell>
        </row>
        <row r="75">
          <cell r="A75" t="str">
            <v>310011B108</v>
          </cell>
          <cell r="B75" t="str">
            <v>1.1.1</v>
          </cell>
          <cell r="C75" t="str">
            <v>OPKZP-PO1-SC111-2016-11</v>
          </cell>
          <cell r="D75" t="str">
            <v>Mesto Kolárovo</v>
          </cell>
          <cell r="E75" t="str">
            <v>Zber a zhodnotenie BRKO v meste Kolárovo</v>
          </cell>
          <cell r="F75">
            <v>42740</v>
          </cell>
          <cell r="G75" t="str">
            <v/>
          </cell>
          <cell r="H75">
            <v>43404</v>
          </cell>
          <cell r="I75">
            <v>42491</v>
          </cell>
          <cell r="J75">
            <v>43039</v>
          </cell>
          <cell r="K75">
            <v>42491</v>
          </cell>
          <cell r="L75">
            <v>43404</v>
          </cell>
          <cell r="M75" t="str">
            <v>n/a</v>
          </cell>
          <cell r="N75">
            <v>0</v>
          </cell>
          <cell r="O75">
            <v>18.016438356164386</v>
          </cell>
          <cell r="P75">
            <v>30.016438356164386</v>
          </cell>
          <cell r="Q75">
            <v>30.016438356164386</v>
          </cell>
          <cell r="R75" t="str">
            <v>nie</v>
          </cell>
          <cell r="S75">
            <v>0</v>
          </cell>
          <cell r="T75" t="str">
            <v>áno</v>
          </cell>
          <cell r="U75">
            <v>12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e">
            <v>#VALUE!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  <cell r="AG75">
            <v>42491</v>
          </cell>
          <cell r="AH75" t="str">
            <v>ok</v>
          </cell>
          <cell r="AJ75" t="b">
            <v>0</v>
          </cell>
        </row>
        <row r="76">
          <cell r="A76" t="str">
            <v>310011B110</v>
          </cell>
          <cell r="B76" t="str">
            <v>1.1.1</v>
          </cell>
          <cell r="C76" t="str">
            <v>OPKZP-PO1-SC111-2016-11</v>
          </cell>
          <cell r="D76" t="str">
            <v>Mesto Fiľakovo</v>
          </cell>
          <cell r="E76" t="str">
            <v>Kompostáreň mesta Fiľakovo - rozvoj odpadového hospodárstva II. etapa</v>
          </cell>
          <cell r="F76">
            <v>42727</v>
          </cell>
          <cell r="G76" t="str">
            <v/>
          </cell>
          <cell r="H76">
            <v>43220</v>
          </cell>
          <cell r="I76">
            <v>42491</v>
          </cell>
          <cell r="J76">
            <v>43100</v>
          </cell>
          <cell r="K76">
            <v>42491</v>
          </cell>
          <cell r="L76">
            <v>43220</v>
          </cell>
          <cell r="M76" t="str">
            <v>n/a</v>
          </cell>
          <cell r="N76">
            <v>0</v>
          </cell>
          <cell r="O76">
            <v>20.021917808219179</v>
          </cell>
          <cell r="P76">
            <v>23.967123287671232</v>
          </cell>
          <cell r="Q76">
            <v>23.967123287671232</v>
          </cell>
          <cell r="R76" t="str">
            <v>nie</v>
          </cell>
          <cell r="S76">
            <v>0</v>
          </cell>
          <cell r="T76" t="str">
            <v>áno</v>
          </cell>
          <cell r="U76">
            <v>3.9452054794520546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e">
            <v>#VALUE!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42491</v>
          </cell>
          <cell r="AH76" t="str">
            <v>ok</v>
          </cell>
          <cell r="AJ76" t="b">
            <v>0</v>
          </cell>
        </row>
        <row r="77">
          <cell r="A77" t="str">
            <v>310011B121</v>
          </cell>
          <cell r="B77" t="str">
            <v>1.1.1</v>
          </cell>
          <cell r="C77" t="str">
            <v>OPKZP-PO1-SC111-2016-10</v>
          </cell>
          <cell r="D77" t="str">
            <v>Obec Brestovany</v>
          </cell>
          <cell r="E77" t="str">
            <v>Dobudovanie infraštruktúry odpadového hospodárstva v obci Brestovany</v>
          </cell>
          <cell r="F77">
            <v>42773</v>
          </cell>
          <cell r="G77" t="str">
            <v/>
          </cell>
          <cell r="H77">
            <v>43251</v>
          </cell>
          <cell r="I77">
            <v>42736</v>
          </cell>
          <cell r="J77">
            <v>43100</v>
          </cell>
          <cell r="K77">
            <v>42887</v>
          </cell>
          <cell r="L77">
            <v>43251</v>
          </cell>
          <cell r="M77">
            <v>0</v>
          </cell>
          <cell r="N77">
            <v>0</v>
          </cell>
          <cell r="O77">
            <v>11.967123287671233</v>
          </cell>
          <cell r="P77">
            <v>11.967123287671233</v>
          </cell>
          <cell r="Q77">
            <v>16.93150684931507</v>
          </cell>
          <cell r="R77" t="str">
            <v>áno</v>
          </cell>
          <cell r="S77">
            <v>4.9643835616438361</v>
          </cell>
          <cell r="T77" t="str">
            <v>áno</v>
          </cell>
          <cell r="U77">
            <v>4.9643835616438361</v>
          </cell>
          <cell r="V77">
            <v>42736</v>
          </cell>
          <cell r="W77">
            <v>43100</v>
          </cell>
          <cell r="X77">
            <v>42887</v>
          </cell>
          <cell r="Y77">
            <v>43251</v>
          </cell>
          <cell r="Z77">
            <v>11.967123287671233</v>
          </cell>
          <cell r="AA77">
            <v>11.967123287671233</v>
          </cell>
          <cell r="AB77">
            <v>16.93150684931507</v>
          </cell>
          <cell r="AC77" t="str">
            <v>áno</v>
          </cell>
          <cell r="AD77">
            <v>4.9643835616438361</v>
          </cell>
          <cell r="AE77" t="str">
            <v>áno</v>
          </cell>
          <cell r="AF77">
            <v>4.9643835616438361</v>
          </cell>
          <cell r="AG77">
            <v>42887</v>
          </cell>
          <cell r="AH77" t="str">
            <v>ok</v>
          </cell>
          <cell r="AJ77" t="b">
            <v>1</v>
          </cell>
        </row>
        <row r="78">
          <cell r="A78" t="str">
            <v>310011B127</v>
          </cell>
          <cell r="B78" t="str">
            <v>1.1.1</v>
          </cell>
          <cell r="C78" t="str">
            <v>OPKZP-PO1-SC111-2016-10</v>
          </cell>
          <cell r="D78" t="str">
            <v>Obec Červeník</v>
          </cell>
          <cell r="E78" t="str">
            <v>Triedený zber komunálnych odpadov v obci Červeník</v>
          </cell>
          <cell r="F78">
            <v>42741</v>
          </cell>
          <cell r="G78" t="str">
            <v/>
          </cell>
          <cell r="H78">
            <v>43100</v>
          </cell>
          <cell r="I78">
            <v>42736</v>
          </cell>
          <cell r="J78">
            <v>43100</v>
          </cell>
          <cell r="K78">
            <v>42736</v>
          </cell>
          <cell r="L78">
            <v>43100</v>
          </cell>
          <cell r="M78">
            <v>0</v>
          </cell>
          <cell r="N78">
            <v>0</v>
          </cell>
          <cell r="O78">
            <v>11.967123287671233</v>
          </cell>
          <cell r="P78">
            <v>11.967123287671233</v>
          </cell>
          <cell r="Q78">
            <v>11.967123287671233</v>
          </cell>
          <cell r="R78" t="str">
            <v>nie</v>
          </cell>
          <cell r="S78">
            <v>0</v>
          </cell>
          <cell r="T78" t="str">
            <v>nie</v>
          </cell>
          <cell r="U78">
            <v>0</v>
          </cell>
          <cell r="V78">
            <v>42736</v>
          </cell>
          <cell r="W78">
            <v>43100</v>
          </cell>
          <cell r="X78">
            <v>42736</v>
          </cell>
          <cell r="Y78">
            <v>43100</v>
          </cell>
          <cell r="Z78">
            <v>11.967123287671233</v>
          </cell>
          <cell r="AA78">
            <v>11.967123287671233</v>
          </cell>
          <cell r="AB78">
            <v>11.967123287671233</v>
          </cell>
          <cell r="AC78" t="str">
            <v>nie</v>
          </cell>
          <cell r="AD78">
            <v>0</v>
          </cell>
          <cell r="AE78" t="str">
            <v>nie</v>
          </cell>
          <cell r="AF78">
            <v>0</v>
          </cell>
          <cell r="AG78">
            <v>42736</v>
          </cell>
          <cell r="AH78" t="str">
            <v>ok</v>
          </cell>
          <cell r="AJ78" t="b">
            <v>1</v>
          </cell>
        </row>
        <row r="79">
          <cell r="A79" t="str">
            <v>310011B131</v>
          </cell>
          <cell r="B79" t="str">
            <v>1.1.1</v>
          </cell>
          <cell r="C79" t="str">
            <v>OPKZP-PO1-SC111-2016-10</v>
          </cell>
          <cell r="D79" t="str">
            <v>Obec Sačurov</v>
          </cell>
          <cell r="E79" t="str">
            <v>Technologické vybavenie zberného dvora v obci Sačurov</v>
          </cell>
          <cell r="F79">
            <v>42740</v>
          </cell>
          <cell r="G79" t="str">
            <v/>
          </cell>
          <cell r="H79">
            <v>42978</v>
          </cell>
          <cell r="I79">
            <v>42736</v>
          </cell>
          <cell r="J79">
            <v>42855</v>
          </cell>
          <cell r="K79">
            <v>42856</v>
          </cell>
          <cell r="L79">
            <v>42978</v>
          </cell>
          <cell r="M79">
            <v>0</v>
          </cell>
          <cell r="N79">
            <v>0</v>
          </cell>
          <cell r="O79">
            <v>3.9123287671232876</v>
          </cell>
          <cell r="P79">
            <v>4.0109589041095894</v>
          </cell>
          <cell r="Q79">
            <v>7.956164383561644</v>
          </cell>
          <cell r="R79" t="str">
            <v>áno</v>
          </cell>
          <cell r="S79">
            <v>3.9452054794520546</v>
          </cell>
          <cell r="T79" t="str">
            <v>áno</v>
          </cell>
          <cell r="U79">
            <v>4.043835616438356</v>
          </cell>
          <cell r="V79">
            <v>42736</v>
          </cell>
          <cell r="W79">
            <v>42978</v>
          </cell>
          <cell r="X79">
            <v>42736</v>
          </cell>
          <cell r="Y79">
            <v>42978</v>
          </cell>
          <cell r="Z79">
            <v>7.956164383561644</v>
          </cell>
          <cell r="AA79">
            <v>7.956164383561644</v>
          </cell>
          <cell r="AB79">
            <v>7.956164383561644</v>
          </cell>
          <cell r="AC79" t="str">
            <v>nie</v>
          </cell>
          <cell r="AD79">
            <v>0</v>
          </cell>
          <cell r="AE79" t="str">
            <v>nie</v>
          </cell>
          <cell r="AF79">
            <v>0</v>
          </cell>
          <cell r="AG79">
            <v>42736</v>
          </cell>
          <cell r="AH79" t="str">
            <v>ok</v>
          </cell>
          <cell r="AJ79" t="b">
            <v>1</v>
          </cell>
        </row>
        <row r="80">
          <cell r="A80" t="str">
            <v>310011B135</v>
          </cell>
          <cell r="B80" t="str">
            <v>1.1.1</v>
          </cell>
          <cell r="C80" t="str">
            <v>OPKZP-PO1-SC111-2016-10</v>
          </cell>
          <cell r="D80" t="str">
            <v>Mesto Levice</v>
          </cell>
          <cell r="E80" t="str">
            <v>Intenzifikácia zberu biologicky rozložiteľných odpadov v meste Levice</v>
          </cell>
          <cell r="F80">
            <v>42755</v>
          </cell>
          <cell r="G80" t="str">
            <v/>
          </cell>
          <cell r="H80">
            <v>43100</v>
          </cell>
          <cell r="I80">
            <v>42736</v>
          </cell>
          <cell r="J80">
            <v>43100</v>
          </cell>
          <cell r="K80">
            <v>42736</v>
          </cell>
          <cell r="L80">
            <v>43100</v>
          </cell>
          <cell r="M80">
            <v>0</v>
          </cell>
          <cell r="N80">
            <v>0</v>
          </cell>
          <cell r="O80">
            <v>11.967123287671233</v>
          </cell>
          <cell r="P80">
            <v>11.967123287671233</v>
          </cell>
          <cell r="Q80">
            <v>11.967123287671233</v>
          </cell>
          <cell r="R80" t="str">
            <v>nie</v>
          </cell>
          <cell r="S80">
            <v>0</v>
          </cell>
          <cell r="T80" t="str">
            <v>nie</v>
          </cell>
          <cell r="U80">
            <v>0</v>
          </cell>
          <cell r="V80">
            <v>42736</v>
          </cell>
          <cell r="W80">
            <v>43100</v>
          </cell>
          <cell r="X80">
            <v>42736</v>
          </cell>
          <cell r="Y80">
            <v>43100</v>
          </cell>
          <cell r="Z80">
            <v>11.967123287671233</v>
          </cell>
          <cell r="AA80">
            <v>11.967123287671233</v>
          </cell>
          <cell r="AB80">
            <v>11.967123287671233</v>
          </cell>
          <cell r="AC80" t="str">
            <v>nie</v>
          </cell>
          <cell r="AD80">
            <v>0</v>
          </cell>
          <cell r="AE80" t="str">
            <v>nie</v>
          </cell>
          <cell r="AF80">
            <v>0</v>
          </cell>
          <cell r="AG80">
            <v>42736</v>
          </cell>
          <cell r="AH80" t="str">
            <v>po termíne</v>
          </cell>
          <cell r="AJ80" t="b">
            <v>1</v>
          </cell>
        </row>
        <row r="81">
          <cell r="A81" t="str">
            <v>310011B142</v>
          </cell>
          <cell r="B81" t="str">
            <v>1.1.1</v>
          </cell>
          <cell r="C81" t="str">
            <v>OPKZP-PO1-SC111-2016-10</v>
          </cell>
          <cell r="D81" t="str">
            <v>Obec Zubrohlava</v>
          </cell>
          <cell r="E81" t="str">
            <v>Vybudovanie zberného dvora v obci Zubrohlava</v>
          </cell>
          <cell r="F81">
            <v>42770</v>
          </cell>
          <cell r="G81" t="str">
            <v/>
          </cell>
          <cell r="H81">
            <v>43465</v>
          </cell>
          <cell r="I81">
            <v>42430</v>
          </cell>
          <cell r="J81">
            <v>43465</v>
          </cell>
          <cell r="K81">
            <v>42430</v>
          </cell>
          <cell r="L81">
            <v>43465</v>
          </cell>
          <cell r="M81" t="str">
            <v>n/a</v>
          </cell>
          <cell r="N81" t="str">
            <v>n/a</v>
          </cell>
          <cell r="O81">
            <v>34.027397260273972</v>
          </cell>
          <cell r="P81">
            <v>34.027397260273972</v>
          </cell>
          <cell r="Q81">
            <v>34.027397260273972</v>
          </cell>
          <cell r="R81" t="str">
            <v>nie</v>
          </cell>
          <cell r="S81">
            <v>0</v>
          </cell>
          <cell r="T81" t="str">
            <v>nie</v>
          </cell>
          <cell r="U81">
            <v>0</v>
          </cell>
          <cell r="V81">
            <v>42614</v>
          </cell>
          <cell r="W81">
            <v>43465</v>
          </cell>
          <cell r="X81">
            <v>42614</v>
          </cell>
          <cell r="Y81">
            <v>43465</v>
          </cell>
          <cell r="Z81">
            <v>27.978082191780821</v>
          </cell>
          <cell r="AA81">
            <v>27.978082191780821</v>
          </cell>
          <cell r="AB81">
            <v>27.978082191780821</v>
          </cell>
          <cell r="AC81" t="str">
            <v>nie</v>
          </cell>
          <cell r="AD81">
            <v>0</v>
          </cell>
          <cell r="AE81" t="str">
            <v>nie</v>
          </cell>
          <cell r="AF81">
            <v>0</v>
          </cell>
          <cell r="AG81">
            <v>42614</v>
          </cell>
          <cell r="AH81" t="str">
            <v>ok</v>
          </cell>
          <cell r="AJ81" t="b">
            <v>1</v>
          </cell>
        </row>
        <row r="82">
          <cell r="A82" t="str">
            <v>310011B145</v>
          </cell>
          <cell r="B82" t="str">
            <v>1.1.1</v>
          </cell>
          <cell r="C82" t="str">
            <v>OPKZP-PO1-SC111-2016-10</v>
          </cell>
          <cell r="D82" t="str">
            <v>Obec Bátorove Kosihy</v>
          </cell>
          <cell r="E82" t="str">
            <v>Technické a technologické vybavenie zberného dvora v obci Bátorove Kosihy</v>
          </cell>
          <cell r="F82">
            <v>42746</v>
          </cell>
          <cell r="G82" t="str">
            <v/>
          </cell>
          <cell r="H82">
            <v>43159</v>
          </cell>
          <cell r="I82">
            <v>42736</v>
          </cell>
          <cell r="J82">
            <v>43100</v>
          </cell>
          <cell r="K82">
            <v>42887</v>
          </cell>
          <cell r="L82">
            <v>43159</v>
          </cell>
          <cell r="M82">
            <v>0</v>
          </cell>
          <cell r="N82">
            <v>0</v>
          </cell>
          <cell r="O82">
            <v>11.967123287671233</v>
          </cell>
          <cell r="P82">
            <v>8.9424657534246581</v>
          </cell>
          <cell r="Q82">
            <v>13.906849315068493</v>
          </cell>
          <cell r="R82" t="str">
            <v>áno</v>
          </cell>
          <cell r="S82">
            <v>4.9643835616438361</v>
          </cell>
          <cell r="T82" t="str">
            <v>áno</v>
          </cell>
          <cell r="U82">
            <v>1.9397260273972603</v>
          </cell>
          <cell r="V82">
            <v>42736</v>
          </cell>
          <cell r="W82">
            <v>43100</v>
          </cell>
          <cell r="X82">
            <v>42736</v>
          </cell>
          <cell r="Y82">
            <v>43159</v>
          </cell>
          <cell r="Z82">
            <v>11.967123287671233</v>
          </cell>
          <cell r="AA82">
            <v>13.906849315068493</v>
          </cell>
          <cell r="AB82">
            <v>13.906849315068493</v>
          </cell>
          <cell r="AC82" t="str">
            <v>nie</v>
          </cell>
          <cell r="AD82">
            <v>0</v>
          </cell>
          <cell r="AE82" t="str">
            <v>áno</v>
          </cell>
          <cell r="AF82">
            <v>1.9397260273972603</v>
          </cell>
          <cell r="AG82">
            <v>42736</v>
          </cell>
          <cell r="AH82" t="str">
            <v>ok</v>
          </cell>
          <cell r="AJ82" t="b">
            <v>1</v>
          </cell>
        </row>
        <row r="83">
          <cell r="A83" t="str">
            <v>310011B146</v>
          </cell>
          <cell r="B83" t="str">
            <v>1.1.1</v>
          </cell>
          <cell r="C83" t="str">
            <v>OPKZP-PO1-SC111-2016-10</v>
          </cell>
          <cell r="D83" t="str">
            <v>Obec Pata</v>
          </cell>
          <cell r="E83" t="str">
            <v>Zberný dvor odpadu v obci Pata</v>
          </cell>
          <cell r="F83">
            <v>42741</v>
          </cell>
          <cell r="G83" t="str">
            <v/>
          </cell>
          <cell r="H83">
            <v>43069</v>
          </cell>
          <cell r="I83">
            <v>41852</v>
          </cell>
          <cell r="J83">
            <v>42886</v>
          </cell>
          <cell r="K83">
            <v>41852</v>
          </cell>
          <cell r="L83">
            <v>43069</v>
          </cell>
          <cell r="M83" t="str">
            <v>n/a</v>
          </cell>
          <cell r="N83">
            <v>0</v>
          </cell>
          <cell r="O83">
            <v>33.994520547945207</v>
          </cell>
          <cell r="P83">
            <v>40.010958904109593</v>
          </cell>
          <cell r="Q83">
            <v>40.010958904109593</v>
          </cell>
          <cell r="R83" t="str">
            <v>nie</v>
          </cell>
          <cell r="S83">
            <v>0</v>
          </cell>
          <cell r="T83" t="str">
            <v>áno</v>
          </cell>
          <cell r="U83">
            <v>6.0164383561643842</v>
          </cell>
          <cell r="V83">
            <v>42552</v>
          </cell>
          <cell r="W83">
            <v>42886</v>
          </cell>
          <cell r="X83">
            <v>42552</v>
          </cell>
          <cell r="Y83">
            <v>43069</v>
          </cell>
          <cell r="Z83">
            <v>10.980821917808219</v>
          </cell>
          <cell r="AA83">
            <v>16.997260273972604</v>
          </cell>
          <cell r="AB83">
            <v>16.997260273972604</v>
          </cell>
          <cell r="AC83" t="str">
            <v>nie</v>
          </cell>
          <cell r="AD83">
            <v>0</v>
          </cell>
          <cell r="AE83" t="str">
            <v>áno</v>
          </cell>
          <cell r="AF83">
            <v>6.0164383561643842</v>
          </cell>
          <cell r="AG83">
            <v>42552</v>
          </cell>
          <cell r="AH83" t="str">
            <v>po termíne</v>
          </cell>
          <cell r="AJ83" t="b">
            <v>1</v>
          </cell>
        </row>
        <row r="84">
          <cell r="A84" t="str">
            <v>310011B148</v>
          </cell>
          <cell r="B84" t="str">
            <v>1.1.1</v>
          </cell>
          <cell r="C84" t="str">
            <v>OPKZP-PO1-SC111-2016-10</v>
          </cell>
          <cell r="D84" t="str">
            <v>Obec Kamenec pod Vtáčnikom</v>
          </cell>
          <cell r="E84" t="str">
            <v>Zberný dvor Kamenec pod Vtáčnikom</v>
          </cell>
          <cell r="F84">
            <v>42753</v>
          </cell>
          <cell r="G84" t="str">
            <v/>
          </cell>
          <cell r="H84">
            <v>43465</v>
          </cell>
          <cell r="I84">
            <v>42736</v>
          </cell>
          <cell r="J84">
            <v>43465</v>
          </cell>
          <cell r="K84">
            <v>42856</v>
          </cell>
          <cell r="L84">
            <v>43465</v>
          </cell>
          <cell r="M84">
            <v>0</v>
          </cell>
          <cell r="N84">
            <v>0</v>
          </cell>
          <cell r="O84">
            <v>23.967123287671232</v>
          </cell>
          <cell r="P84">
            <v>20.021917808219179</v>
          </cell>
          <cell r="Q84">
            <v>23.967123287671232</v>
          </cell>
          <cell r="R84" t="str">
            <v>áno</v>
          </cell>
          <cell r="S84">
            <v>3.9452054794520546</v>
          </cell>
          <cell r="T84" t="str">
            <v>nie</v>
          </cell>
          <cell r="U84">
            <v>0</v>
          </cell>
          <cell r="V84">
            <v>42736</v>
          </cell>
          <cell r="W84">
            <v>43465</v>
          </cell>
          <cell r="X84">
            <v>42856</v>
          </cell>
          <cell r="Y84">
            <v>43465</v>
          </cell>
          <cell r="Z84">
            <v>23.967123287671232</v>
          </cell>
          <cell r="AA84">
            <v>20.021917808219179</v>
          </cell>
          <cell r="AB84">
            <v>23.967123287671232</v>
          </cell>
          <cell r="AC84" t="str">
            <v>áno</v>
          </cell>
          <cell r="AD84">
            <v>3.9452054794520546</v>
          </cell>
          <cell r="AE84" t="str">
            <v>nie</v>
          </cell>
          <cell r="AF84">
            <v>0</v>
          </cell>
          <cell r="AG84">
            <v>42856</v>
          </cell>
          <cell r="AH84" t="str">
            <v>ok</v>
          </cell>
          <cell r="AJ84" t="b">
            <v>1</v>
          </cell>
        </row>
        <row r="85">
          <cell r="A85" t="str">
            <v>310011B149</v>
          </cell>
          <cell r="B85" t="str">
            <v>1.1.1</v>
          </cell>
          <cell r="C85" t="str">
            <v>OPKZP-PO1-SC111-2016-10</v>
          </cell>
          <cell r="D85" t="str">
            <v>Obec Bohdanovce nad Trnavou</v>
          </cell>
          <cell r="E85" t="str">
            <v>Zberný dvor v obci Bohdanovce nad Trnavou</v>
          </cell>
          <cell r="F85">
            <v>42741</v>
          </cell>
          <cell r="G85" t="str">
            <v/>
          </cell>
          <cell r="H85">
            <v>43312</v>
          </cell>
          <cell r="I85">
            <v>42217</v>
          </cell>
          <cell r="J85">
            <v>43131</v>
          </cell>
          <cell r="K85">
            <v>42217</v>
          </cell>
          <cell r="L85">
            <v>43312</v>
          </cell>
          <cell r="M85">
            <v>0</v>
          </cell>
          <cell r="N85">
            <v>0</v>
          </cell>
          <cell r="O85">
            <v>30.049315068493151</v>
          </cell>
          <cell r="P85">
            <v>36</v>
          </cell>
          <cell r="Q85">
            <v>36</v>
          </cell>
          <cell r="R85" t="str">
            <v>nie</v>
          </cell>
          <cell r="S85">
            <v>0</v>
          </cell>
          <cell r="T85" t="str">
            <v>áno</v>
          </cell>
          <cell r="U85">
            <v>5.9506849315068493</v>
          </cell>
          <cell r="V85">
            <v>42583</v>
          </cell>
          <cell r="W85">
            <v>43131</v>
          </cell>
          <cell r="X85">
            <v>42583</v>
          </cell>
          <cell r="Y85">
            <v>43312</v>
          </cell>
          <cell r="Z85">
            <v>18.016438356164386</v>
          </cell>
          <cell r="AA85">
            <v>23.967123287671232</v>
          </cell>
          <cell r="AB85">
            <v>23.967123287671232</v>
          </cell>
          <cell r="AC85" t="str">
            <v>nie</v>
          </cell>
          <cell r="AD85">
            <v>0</v>
          </cell>
          <cell r="AE85" t="str">
            <v>áno</v>
          </cell>
          <cell r="AF85">
            <v>5.9506849315068493</v>
          </cell>
          <cell r="AG85">
            <v>42583</v>
          </cell>
          <cell r="AH85" t="str">
            <v>ok</v>
          </cell>
          <cell r="AJ85" t="b">
            <v>1</v>
          </cell>
        </row>
        <row r="86">
          <cell r="A86" t="str">
            <v>310011B151</v>
          </cell>
          <cell r="B86" t="str">
            <v>1.1.1</v>
          </cell>
          <cell r="C86" t="str">
            <v>OPKZP-PO1-SC111-2016-10</v>
          </cell>
          <cell r="D86" t="str">
            <v>Obec Oravská Polhora</v>
          </cell>
          <cell r="E86" t="str">
            <v>Zberný dvor Oravská Polhora</v>
          </cell>
          <cell r="F86">
            <v>42748</v>
          </cell>
          <cell r="G86" t="str">
            <v/>
          </cell>
          <cell r="H86">
            <v>43100</v>
          </cell>
          <cell r="I86">
            <v>42430</v>
          </cell>
          <cell r="J86">
            <v>42916</v>
          </cell>
          <cell r="K86">
            <v>42430</v>
          </cell>
          <cell r="L86">
            <v>43100</v>
          </cell>
          <cell r="M86">
            <v>42430</v>
          </cell>
          <cell r="N86">
            <v>43100</v>
          </cell>
          <cell r="O86">
            <v>15.978082191780823</v>
          </cell>
          <cell r="P86">
            <v>22.027397260273972</v>
          </cell>
          <cell r="Q86">
            <v>22.027397260273972</v>
          </cell>
          <cell r="R86" t="str">
            <v>nie</v>
          </cell>
          <cell r="S86">
            <v>0</v>
          </cell>
          <cell r="T86" t="str">
            <v>áno</v>
          </cell>
          <cell r="U86">
            <v>6.0493150684931507</v>
          </cell>
          <cell r="V86">
            <v>42644</v>
          </cell>
          <cell r="W86">
            <v>42916</v>
          </cell>
          <cell r="X86">
            <v>42644</v>
          </cell>
          <cell r="Y86">
            <v>43100</v>
          </cell>
          <cell r="Z86">
            <v>8.9424657534246581</v>
          </cell>
          <cell r="AA86">
            <v>14.991780821917807</v>
          </cell>
          <cell r="AB86">
            <v>14.991780821917807</v>
          </cell>
          <cell r="AC86" t="str">
            <v>nie</v>
          </cell>
          <cell r="AD86">
            <v>0</v>
          </cell>
          <cell r="AE86" t="str">
            <v>áno</v>
          </cell>
          <cell r="AF86">
            <v>6.0493150684931507</v>
          </cell>
          <cell r="AG86">
            <v>42644</v>
          </cell>
          <cell r="AH86" t="str">
            <v>ok</v>
          </cell>
          <cell r="AJ86" t="b">
            <v>1</v>
          </cell>
        </row>
        <row r="87">
          <cell r="A87" t="str">
            <v>310011B156</v>
          </cell>
          <cell r="B87" t="str">
            <v>1.1.1</v>
          </cell>
          <cell r="C87" t="str">
            <v>OPKZP-PO1-SC111-2016-10</v>
          </cell>
          <cell r="D87" t="str">
            <v>Obec Mužla</v>
          </cell>
          <cell r="E87" t="str">
            <v>Modernizácia odpadového hospodárstva v obci Mužla</v>
          </cell>
          <cell r="F87">
            <v>42741</v>
          </cell>
          <cell r="G87" t="str">
            <v/>
          </cell>
          <cell r="H87">
            <v>43100</v>
          </cell>
          <cell r="I87">
            <v>42461</v>
          </cell>
          <cell r="J87">
            <v>43100</v>
          </cell>
          <cell r="K87">
            <v>42461</v>
          </cell>
          <cell r="L87">
            <v>43100</v>
          </cell>
          <cell r="M87" t="str">
            <v>n/a</v>
          </cell>
          <cell r="N87" t="str">
            <v>n/a</v>
          </cell>
          <cell r="O87">
            <v>21.008219178082193</v>
          </cell>
          <cell r="P87">
            <v>21.008219178082193</v>
          </cell>
          <cell r="Q87">
            <v>21.008219178082193</v>
          </cell>
          <cell r="R87" t="str">
            <v>nie</v>
          </cell>
          <cell r="S87">
            <v>0</v>
          </cell>
          <cell r="T87" t="str">
            <v>nie</v>
          </cell>
          <cell r="U87">
            <v>0</v>
          </cell>
          <cell r="V87">
            <v>42736</v>
          </cell>
          <cell r="W87">
            <v>43100</v>
          </cell>
          <cell r="X87">
            <v>42736</v>
          </cell>
          <cell r="Y87">
            <v>43100</v>
          </cell>
          <cell r="Z87">
            <v>11.967123287671233</v>
          </cell>
          <cell r="AA87">
            <v>11.967123287671233</v>
          </cell>
          <cell r="AB87">
            <v>11.967123287671233</v>
          </cell>
          <cell r="AC87" t="str">
            <v>nie</v>
          </cell>
          <cell r="AD87">
            <v>0</v>
          </cell>
          <cell r="AE87" t="str">
            <v>nie</v>
          </cell>
          <cell r="AF87">
            <v>0</v>
          </cell>
          <cell r="AG87">
            <v>42736</v>
          </cell>
          <cell r="AH87" t="str">
            <v>ok</v>
          </cell>
          <cell r="AJ87" t="b">
            <v>1</v>
          </cell>
        </row>
        <row r="88">
          <cell r="A88" t="str">
            <v>310011B177</v>
          </cell>
          <cell r="B88" t="str">
            <v>1.1.1</v>
          </cell>
          <cell r="C88" t="str">
            <v>OPKZP-PO1-SC111-2016-10</v>
          </cell>
          <cell r="D88" t="str">
            <v>Obec Jakubov</v>
          </cell>
          <cell r="E88" t="str">
            <v>Zefektívnenie triedeného zberu komunálneho odpadu v obci Jakubov</v>
          </cell>
          <cell r="F88">
            <v>42773</v>
          </cell>
          <cell r="G88" t="str">
            <v/>
          </cell>
          <cell r="H88">
            <v>43190</v>
          </cell>
          <cell r="I88">
            <v>42491</v>
          </cell>
          <cell r="J88">
            <v>42794</v>
          </cell>
          <cell r="K88">
            <v>42491</v>
          </cell>
          <cell r="L88">
            <v>43190</v>
          </cell>
          <cell r="M88">
            <v>0</v>
          </cell>
          <cell r="N88">
            <v>0</v>
          </cell>
          <cell r="O88">
            <v>9.9616438356164387</v>
          </cell>
          <cell r="P88">
            <v>22.980821917808221</v>
          </cell>
          <cell r="Q88">
            <v>22.980821917808221</v>
          </cell>
          <cell r="R88" t="str">
            <v>nie</v>
          </cell>
          <cell r="S88">
            <v>0</v>
          </cell>
          <cell r="T88" t="str">
            <v>áno</v>
          </cell>
          <cell r="U88">
            <v>13.019178082191781</v>
          </cell>
          <cell r="V88">
            <v>42614</v>
          </cell>
          <cell r="W88">
            <v>42794</v>
          </cell>
          <cell r="X88">
            <v>42614</v>
          </cell>
          <cell r="Y88">
            <v>43190</v>
          </cell>
          <cell r="Z88">
            <v>5.9178082191780819</v>
          </cell>
          <cell r="AA88">
            <v>18.936986301369863</v>
          </cell>
          <cell r="AB88">
            <v>18.936986301369863</v>
          </cell>
          <cell r="AC88" t="str">
            <v>nie</v>
          </cell>
          <cell r="AD88">
            <v>0</v>
          </cell>
          <cell r="AE88" t="str">
            <v>áno</v>
          </cell>
          <cell r="AF88">
            <v>13.019178082191781</v>
          </cell>
          <cell r="AG88">
            <v>42614</v>
          </cell>
          <cell r="AH88" t="str">
            <v>ok</v>
          </cell>
          <cell r="AJ88" t="b">
            <v>1</v>
          </cell>
        </row>
        <row r="89">
          <cell r="A89" t="str">
            <v>310011B179</v>
          </cell>
          <cell r="B89" t="str">
            <v>1.1.1</v>
          </cell>
          <cell r="C89" t="str">
            <v>OPKZP-PO1-SC111-2016-10</v>
          </cell>
          <cell r="D89" t="str">
            <v>Obec Svodín</v>
          </cell>
          <cell r="E89" t="str">
            <v>Modernizácia odpadového hospodárstva v obci Svodín</v>
          </cell>
          <cell r="F89">
            <v>42746</v>
          </cell>
          <cell r="G89" t="str">
            <v/>
          </cell>
          <cell r="H89">
            <v>43343</v>
          </cell>
          <cell r="I89">
            <v>42736</v>
          </cell>
          <cell r="J89">
            <v>43100</v>
          </cell>
          <cell r="K89">
            <v>42979</v>
          </cell>
          <cell r="L89">
            <v>43343</v>
          </cell>
          <cell r="M89">
            <v>0</v>
          </cell>
          <cell r="N89">
            <v>0</v>
          </cell>
          <cell r="O89">
            <v>11.967123287671233</v>
          </cell>
          <cell r="P89">
            <v>11.967123287671233</v>
          </cell>
          <cell r="Q89">
            <v>19.956164383561642</v>
          </cell>
          <cell r="R89" t="str">
            <v>áno</v>
          </cell>
          <cell r="S89">
            <v>7.9890410958904114</v>
          </cell>
          <cell r="T89" t="str">
            <v>áno</v>
          </cell>
          <cell r="U89">
            <v>7.9890410958904114</v>
          </cell>
          <cell r="V89">
            <v>42736</v>
          </cell>
          <cell r="W89">
            <v>43100</v>
          </cell>
          <cell r="X89">
            <v>42979</v>
          </cell>
          <cell r="Y89">
            <v>43343</v>
          </cell>
          <cell r="Z89">
            <v>11.967123287671233</v>
          </cell>
          <cell r="AA89">
            <v>11.967123287671233</v>
          </cell>
          <cell r="AB89">
            <v>19.956164383561642</v>
          </cell>
          <cell r="AC89" t="str">
            <v>áno</v>
          </cell>
          <cell r="AD89">
            <v>7.9890410958904114</v>
          </cell>
          <cell r="AE89" t="str">
            <v>áno</v>
          </cell>
          <cell r="AF89">
            <v>7.9890410958904114</v>
          </cell>
          <cell r="AG89">
            <v>42979</v>
          </cell>
          <cell r="AH89" t="str">
            <v>po termíne</v>
          </cell>
          <cell r="AJ89" t="b">
            <v>1</v>
          </cell>
        </row>
        <row r="90">
          <cell r="A90" t="str">
            <v>310011B180</v>
          </cell>
          <cell r="B90" t="str">
            <v>1.1.1</v>
          </cell>
          <cell r="C90" t="str">
            <v>OPKZP-PO1-SC111-2016-10</v>
          </cell>
          <cell r="D90" t="str">
            <v>Obec Gajary</v>
          </cell>
          <cell r="E90" t="str">
            <v>Gajary – zberný dvor odpadov</v>
          </cell>
          <cell r="F90">
            <v>42741</v>
          </cell>
          <cell r="G90" t="str">
            <v/>
          </cell>
          <cell r="H90">
            <v>43343</v>
          </cell>
          <cell r="I90">
            <v>42736</v>
          </cell>
          <cell r="J90">
            <v>42886</v>
          </cell>
          <cell r="K90">
            <v>42887</v>
          </cell>
          <cell r="L90">
            <v>43312</v>
          </cell>
          <cell r="M90">
            <v>0</v>
          </cell>
          <cell r="N90">
            <v>0</v>
          </cell>
          <cell r="O90">
            <v>4.9315068493150687</v>
          </cell>
          <cell r="P90">
            <v>13.972602739726028</v>
          </cell>
          <cell r="Q90">
            <v>18.936986301369863</v>
          </cell>
          <cell r="R90" t="str">
            <v>áno</v>
          </cell>
          <cell r="S90">
            <v>4.9643835616438361</v>
          </cell>
          <cell r="T90" t="str">
            <v>áno</v>
          </cell>
          <cell r="U90">
            <v>14.005479452054796</v>
          </cell>
          <cell r="V90">
            <v>42736</v>
          </cell>
          <cell r="W90">
            <v>42886</v>
          </cell>
          <cell r="X90">
            <v>42767</v>
          </cell>
          <cell r="Y90">
            <v>43343</v>
          </cell>
          <cell r="Z90">
            <v>4.9315068493150687</v>
          </cell>
          <cell r="AA90">
            <v>18.936986301369863</v>
          </cell>
          <cell r="AB90">
            <v>19.956164383561642</v>
          </cell>
          <cell r="AC90" t="str">
            <v>áno</v>
          </cell>
          <cell r="AD90">
            <v>1.0191780821917809</v>
          </cell>
          <cell r="AE90" t="str">
            <v>áno</v>
          </cell>
          <cell r="AF90">
            <v>15.024657534246575</v>
          </cell>
          <cell r="AG90">
            <v>42767</v>
          </cell>
          <cell r="AH90" t="str">
            <v>ok</v>
          </cell>
          <cell r="AJ90" t="b">
            <v>0</v>
          </cell>
        </row>
        <row r="91">
          <cell r="A91" t="str">
            <v>310011B183</v>
          </cell>
          <cell r="B91" t="str">
            <v>1.1.1</v>
          </cell>
          <cell r="C91" t="str">
            <v>OPKZP-PO1-SC111-2016-10</v>
          </cell>
          <cell r="D91" t="str">
            <v>Obec Rybník</v>
          </cell>
          <cell r="E91" t="str">
            <v>Separovaný zber komunálneho odpadu v obci Rybník</v>
          </cell>
          <cell r="F91">
            <v>42741</v>
          </cell>
          <cell r="G91" t="str">
            <v/>
          </cell>
          <cell r="H91">
            <v>43220</v>
          </cell>
          <cell r="I91">
            <v>42736</v>
          </cell>
          <cell r="J91">
            <v>43039</v>
          </cell>
          <cell r="K91">
            <v>42917</v>
          </cell>
          <cell r="L91">
            <v>43220</v>
          </cell>
          <cell r="M91">
            <v>0</v>
          </cell>
          <cell r="N91">
            <v>0</v>
          </cell>
          <cell r="O91">
            <v>9.9616438356164387</v>
          </cell>
          <cell r="P91">
            <v>9.9616438356164387</v>
          </cell>
          <cell r="Q91">
            <v>15.912328767123288</v>
          </cell>
          <cell r="R91" t="str">
            <v>áno</v>
          </cell>
          <cell r="S91">
            <v>5.9506849315068493</v>
          </cell>
          <cell r="T91" t="str">
            <v>áno</v>
          </cell>
          <cell r="U91">
            <v>5.9506849315068493</v>
          </cell>
          <cell r="V91">
            <v>42736</v>
          </cell>
          <cell r="W91">
            <v>43039</v>
          </cell>
          <cell r="X91">
            <v>42917</v>
          </cell>
          <cell r="Y91">
            <v>43220</v>
          </cell>
          <cell r="Z91">
            <v>9.9616438356164387</v>
          </cell>
          <cell r="AA91">
            <v>9.9616438356164387</v>
          </cell>
          <cell r="AB91">
            <v>15.912328767123288</v>
          </cell>
          <cell r="AC91" t="str">
            <v>áno</v>
          </cell>
          <cell r="AD91">
            <v>5.9506849315068493</v>
          </cell>
          <cell r="AE91" t="str">
            <v>áno</v>
          </cell>
          <cell r="AF91">
            <v>5.9506849315068493</v>
          </cell>
          <cell r="AG91">
            <v>42917</v>
          </cell>
          <cell r="AH91" t="str">
            <v>ok</v>
          </cell>
          <cell r="AJ91" t="b">
            <v>1</v>
          </cell>
        </row>
        <row r="92">
          <cell r="A92" t="str">
            <v>310011B185</v>
          </cell>
          <cell r="B92" t="str">
            <v>1.1.1</v>
          </cell>
          <cell r="C92" t="str">
            <v>OPKZP-PO1-SC111-2016-11</v>
          </cell>
          <cell r="D92" t="str">
            <v>Mesto Giraltovce</v>
          </cell>
          <cell r="E92" t="str">
            <v>Zariadenie na zhodnocovanie biologicky rozložiteľného odpadu - kompostáreň.</v>
          </cell>
          <cell r="F92">
            <v>42727</v>
          </cell>
          <cell r="G92" t="str">
            <v/>
          </cell>
          <cell r="H92">
            <v>43281</v>
          </cell>
          <cell r="I92">
            <v>42736</v>
          </cell>
          <cell r="J92">
            <v>43100</v>
          </cell>
          <cell r="K92">
            <v>42856</v>
          </cell>
          <cell r="L92">
            <v>43281</v>
          </cell>
          <cell r="M92">
            <v>0</v>
          </cell>
          <cell r="N92">
            <v>0</v>
          </cell>
          <cell r="O92">
            <v>11.967123287671233</v>
          </cell>
          <cell r="P92">
            <v>13.972602739726028</v>
          </cell>
          <cell r="Q92">
            <v>17.917808219178081</v>
          </cell>
          <cell r="R92" t="str">
            <v>áno</v>
          </cell>
          <cell r="S92">
            <v>3.9452054794520546</v>
          </cell>
          <cell r="T92" t="str">
            <v>áno</v>
          </cell>
          <cell r="U92">
            <v>5.9506849315068493</v>
          </cell>
          <cell r="V92" t="str">
            <v>-</v>
          </cell>
          <cell r="W92" t="str">
            <v>-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e">
            <v>#VALUE!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  <cell r="AG92">
            <v>42856</v>
          </cell>
          <cell r="AH92" t="str">
            <v>ok</v>
          </cell>
          <cell r="AJ92" t="b">
            <v>0</v>
          </cell>
        </row>
        <row r="93">
          <cell r="A93" t="str">
            <v>310011B199</v>
          </cell>
          <cell r="B93" t="str">
            <v>1.1.1</v>
          </cell>
          <cell r="C93" t="str">
            <v>OPKZP-PO1-SC111-2016-10</v>
          </cell>
          <cell r="D93" t="str">
            <v>Mesto Levoča</v>
          </cell>
          <cell r="E93" t="str">
            <v>Mesto Levoča – modernizácia zberného dvora a nákup manipulačnej techniky</v>
          </cell>
          <cell r="F93">
            <v>42770</v>
          </cell>
          <cell r="G93" t="str">
            <v/>
          </cell>
          <cell r="H93">
            <v>43100</v>
          </cell>
          <cell r="I93">
            <v>42795</v>
          </cell>
          <cell r="J93">
            <v>43100</v>
          </cell>
          <cell r="K93">
            <v>42795</v>
          </cell>
          <cell r="L93">
            <v>43100</v>
          </cell>
          <cell r="M93">
            <v>0</v>
          </cell>
          <cell r="N93">
            <v>0</v>
          </cell>
          <cell r="O93">
            <v>10.027397260273972</v>
          </cell>
          <cell r="P93">
            <v>10.027397260273972</v>
          </cell>
          <cell r="Q93">
            <v>10.027397260273972</v>
          </cell>
          <cell r="R93" t="str">
            <v>nie</v>
          </cell>
          <cell r="S93">
            <v>0</v>
          </cell>
          <cell r="T93" t="str">
            <v>nie</v>
          </cell>
          <cell r="U93">
            <v>0</v>
          </cell>
          <cell r="V93">
            <v>42795</v>
          </cell>
          <cell r="W93">
            <v>43100</v>
          </cell>
          <cell r="X93">
            <v>42795</v>
          </cell>
          <cell r="Y93">
            <v>43100</v>
          </cell>
          <cell r="Z93">
            <v>10.027397260273972</v>
          </cell>
          <cell r="AA93">
            <v>10.027397260273972</v>
          </cell>
          <cell r="AB93">
            <v>10.027397260273972</v>
          </cell>
          <cell r="AC93" t="str">
            <v>nie</v>
          </cell>
          <cell r="AD93">
            <v>0</v>
          </cell>
          <cell r="AE93" t="str">
            <v>nie</v>
          </cell>
          <cell r="AF93">
            <v>0</v>
          </cell>
          <cell r="AG93">
            <v>42795</v>
          </cell>
          <cell r="AH93" t="str">
            <v>ok</v>
          </cell>
          <cell r="AJ93" t="b">
            <v>1</v>
          </cell>
        </row>
        <row r="94">
          <cell r="A94" t="str">
            <v>310011B200</v>
          </cell>
          <cell r="B94" t="str">
            <v>1.1.1</v>
          </cell>
          <cell r="C94" t="str">
            <v>OPKZP-PO1-SC111-2016-11</v>
          </cell>
          <cell r="D94" t="str">
            <v>VPS Vysoké Tatry, s.r.o.</v>
          </cell>
          <cell r="E94" t="str">
            <v>Rozšírenie systému triedeného zberu KO v Meste Vysoké Tatry</v>
          </cell>
          <cell r="F94">
            <v>42726</v>
          </cell>
          <cell r="G94" t="str">
            <v/>
          </cell>
          <cell r="H94">
            <v>43220</v>
          </cell>
          <cell r="I94">
            <v>42767</v>
          </cell>
          <cell r="J94">
            <v>43039</v>
          </cell>
          <cell r="K94">
            <v>42948</v>
          </cell>
          <cell r="L94">
            <v>43220</v>
          </cell>
          <cell r="M94">
            <v>0</v>
          </cell>
          <cell r="N94">
            <v>0</v>
          </cell>
          <cell r="O94">
            <v>8.9424657534246581</v>
          </cell>
          <cell r="P94">
            <v>8.9424657534246581</v>
          </cell>
          <cell r="Q94">
            <v>14.893150684931506</v>
          </cell>
          <cell r="R94" t="str">
            <v>áno</v>
          </cell>
          <cell r="S94">
            <v>5.9506849315068493</v>
          </cell>
          <cell r="T94" t="str">
            <v>áno</v>
          </cell>
          <cell r="U94">
            <v>5.9506849315068493</v>
          </cell>
          <cell r="V94" t="str">
            <v>-</v>
          </cell>
          <cell r="W94" t="str">
            <v>-</v>
          </cell>
          <cell r="X94" t="str">
            <v>-</v>
          </cell>
          <cell r="Y94" t="str">
            <v>-</v>
          </cell>
          <cell r="Z94" t="str">
            <v>-</v>
          </cell>
          <cell r="AA94" t="str">
            <v>-</v>
          </cell>
          <cell r="AB94" t="e">
            <v>#VALUE!</v>
          </cell>
          <cell r="AC94" t="str">
            <v>-</v>
          </cell>
          <cell r="AD94" t="str">
            <v>-</v>
          </cell>
          <cell r="AE94" t="str">
            <v>-</v>
          </cell>
          <cell r="AF94" t="str">
            <v>-</v>
          </cell>
          <cell r="AG94">
            <v>42948</v>
          </cell>
          <cell r="AH94" t="str">
            <v>po termíne</v>
          </cell>
          <cell r="AJ94" t="b">
            <v>0</v>
          </cell>
        </row>
        <row r="95">
          <cell r="A95" t="str">
            <v>310011B237</v>
          </cell>
          <cell r="B95" t="str">
            <v>1.1.1</v>
          </cell>
          <cell r="C95" t="str">
            <v>OPKZP-PO1-SC111-2016-10</v>
          </cell>
          <cell r="D95" t="str">
            <v>obec Lokca</v>
          </cell>
          <cell r="E95" t="str">
            <v>Zberný dvor obce Lokca</v>
          </cell>
          <cell r="F95">
            <v>42746</v>
          </cell>
          <cell r="G95" t="str">
            <v/>
          </cell>
          <cell r="H95">
            <v>43159</v>
          </cell>
          <cell r="I95">
            <v>42430</v>
          </cell>
          <cell r="J95">
            <v>42916</v>
          </cell>
          <cell r="K95">
            <v>42430</v>
          </cell>
          <cell r="L95">
            <v>43159</v>
          </cell>
          <cell r="M95">
            <v>42795</v>
          </cell>
          <cell r="N95">
            <v>43159</v>
          </cell>
          <cell r="O95">
            <v>15.978082191780823</v>
          </cell>
          <cell r="P95">
            <v>23.967123287671232</v>
          </cell>
          <cell r="Q95">
            <v>23.967123287671232</v>
          </cell>
          <cell r="R95" t="str">
            <v>nie</v>
          </cell>
          <cell r="S95">
            <v>0</v>
          </cell>
          <cell r="T95" t="str">
            <v>áno</v>
          </cell>
          <cell r="U95">
            <v>7.9890410958904114</v>
          </cell>
          <cell r="V95">
            <v>42644</v>
          </cell>
          <cell r="W95">
            <v>42916</v>
          </cell>
          <cell r="X95">
            <v>42644</v>
          </cell>
          <cell r="Y95">
            <v>43159</v>
          </cell>
          <cell r="Z95">
            <v>8.9424657534246581</v>
          </cell>
          <cell r="AA95">
            <v>16.93150684931507</v>
          </cell>
          <cell r="AB95">
            <v>16.93150684931507</v>
          </cell>
          <cell r="AC95" t="str">
            <v>nie</v>
          </cell>
          <cell r="AD95">
            <v>0</v>
          </cell>
          <cell r="AE95" t="str">
            <v>áno</v>
          </cell>
          <cell r="AF95">
            <v>7.9890410958904114</v>
          </cell>
          <cell r="AG95">
            <v>42644</v>
          </cell>
          <cell r="AH95" t="str">
            <v>ok</v>
          </cell>
          <cell r="AJ95" t="b">
            <v>1</v>
          </cell>
        </row>
        <row r="96">
          <cell r="A96" t="str">
            <v>310011B255</v>
          </cell>
          <cell r="B96" t="str">
            <v>1.1.1</v>
          </cell>
          <cell r="C96" t="str">
            <v>OPKZP-PO1-SC111-2016-10</v>
          </cell>
          <cell r="D96" t="str">
            <v>Obec Palárikovo</v>
          </cell>
          <cell r="E96" t="str">
            <v>Intenzifikácia regionálneho triedeného zberu komunálnych odpadov, Palárikovo.</v>
          </cell>
          <cell r="F96">
            <v>42753</v>
          </cell>
          <cell r="G96" t="str">
            <v/>
          </cell>
          <cell r="H96">
            <v>43190</v>
          </cell>
          <cell r="I96">
            <v>42767</v>
          </cell>
          <cell r="J96">
            <v>43008</v>
          </cell>
          <cell r="K96">
            <v>42948</v>
          </cell>
          <cell r="L96">
            <v>43190</v>
          </cell>
          <cell r="M96">
            <v>42948</v>
          </cell>
          <cell r="N96">
            <v>43190</v>
          </cell>
          <cell r="O96">
            <v>7.9232876712328757</v>
          </cell>
          <cell r="P96">
            <v>7.956164383561644</v>
          </cell>
          <cell r="Q96">
            <v>13.906849315068493</v>
          </cell>
          <cell r="R96" t="str">
            <v>áno</v>
          </cell>
          <cell r="S96">
            <v>5.9506849315068493</v>
          </cell>
          <cell r="T96" t="str">
            <v>áno</v>
          </cell>
          <cell r="U96">
            <v>5.9835616438356167</v>
          </cell>
          <cell r="V96">
            <v>42767</v>
          </cell>
          <cell r="W96">
            <v>43008</v>
          </cell>
          <cell r="X96">
            <v>42767</v>
          </cell>
          <cell r="Y96">
            <v>43190</v>
          </cell>
          <cell r="Z96">
            <v>7.9232876712328757</v>
          </cell>
          <cell r="AA96">
            <v>13.906849315068493</v>
          </cell>
          <cell r="AB96">
            <v>13.906849315068493</v>
          </cell>
          <cell r="AC96" t="str">
            <v>nie</v>
          </cell>
          <cell r="AD96">
            <v>0</v>
          </cell>
          <cell r="AE96" t="str">
            <v>áno</v>
          </cell>
          <cell r="AF96">
            <v>5.9835616438356167</v>
          </cell>
          <cell r="AG96">
            <v>42767</v>
          </cell>
          <cell r="AH96" t="str">
            <v>po termíne</v>
          </cell>
          <cell r="AJ96" t="b">
            <v>1</v>
          </cell>
        </row>
        <row r="97">
          <cell r="A97" t="str">
            <v>310011B256</v>
          </cell>
          <cell r="B97" t="str">
            <v>1.1.1</v>
          </cell>
          <cell r="C97" t="str">
            <v>OPKZP-PO1-SC111-2016-10</v>
          </cell>
          <cell r="D97" t="str">
            <v>Obec Moča</v>
          </cell>
          <cell r="E97" t="str">
            <v>Zberný dvor Moča</v>
          </cell>
          <cell r="F97">
            <v>42741</v>
          </cell>
          <cell r="G97" t="str">
            <v/>
          </cell>
          <cell r="H97">
            <v>43159</v>
          </cell>
          <cell r="I97">
            <v>42795</v>
          </cell>
          <cell r="J97">
            <v>43159</v>
          </cell>
          <cell r="K97">
            <v>42795</v>
          </cell>
          <cell r="L97">
            <v>43159</v>
          </cell>
          <cell r="M97">
            <v>0</v>
          </cell>
          <cell r="N97">
            <v>0</v>
          </cell>
          <cell r="O97">
            <v>11.967123287671233</v>
          </cell>
          <cell r="P97">
            <v>11.967123287671233</v>
          </cell>
          <cell r="Q97">
            <v>11.967123287671233</v>
          </cell>
          <cell r="R97" t="str">
            <v>nie</v>
          </cell>
          <cell r="S97">
            <v>0</v>
          </cell>
          <cell r="T97" t="str">
            <v>nie</v>
          </cell>
          <cell r="U97">
            <v>0</v>
          </cell>
          <cell r="V97">
            <v>42795</v>
          </cell>
          <cell r="W97">
            <v>43159</v>
          </cell>
          <cell r="X97">
            <v>42795</v>
          </cell>
          <cell r="Y97">
            <v>43159</v>
          </cell>
          <cell r="Z97">
            <v>11.967123287671233</v>
          </cell>
          <cell r="AA97">
            <v>11.967123287671233</v>
          </cell>
          <cell r="AB97">
            <v>11.967123287671233</v>
          </cell>
          <cell r="AC97" t="str">
            <v>nie</v>
          </cell>
          <cell r="AD97">
            <v>0</v>
          </cell>
          <cell r="AE97" t="str">
            <v>nie</v>
          </cell>
          <cell r="AF97">
            <v>0</v>
          </cell>
          <cell r="AG97">
            <v>42795</v>
          </cell>
          <cell r="AH97" t="str">
            <v>ok</v>
          </cell>
          <cell r="AJ97" t="b">
            <v>1</v>
          </cell>
        </row>
        <row r="98">
          <cell r="A98" t="str">
            <v>310011B274</v>
          </cell>
          <cell r="B98" t="str">
            <v>1.1.1</v>
          </cell>
          <cell r="C98" t="str">
            <v>OPKZP-PO1-SC111-2016-10</v>
          </cell>
          <cell r="D98" t="str">
            <v>Mesto Brezová pod Bradlom</v>
          </cell>
          <cell r="E98" t="str">
            <v>Rozšírenie triedeného zberu v Brezovej pod Bradlom</v>
          </cell>
          <cell r="F98">
            <v>42740</v>
          </cell>
          <cell r="G98" t="str">
            <v/>
          </cell>
          <cell r="H98">
            <v>43190</v>
          </cell>
          <cell r="I98">
            <v>42767</v>
          </cell>
          <cell r="J98">
            <v>43008</v>
          </cell>
          <cell r="K98">
            <v>42948</v>
          </cell>
          <cell r="L98">
            <v>43190</v>
          </cell>
          <cell r="M98">
            <v>0</v>
          </cell>
          <cell r="N98">
            <v>0</v>
          </cell>
          <cell r="O98">
            <v>7.9232876712328757</v>
          </cell>
          <cell r="P98">
            <v>7.956164383561644</v>
          </cell>
          <cell r="Q98">
            <v>13.906849315068493</v>
          </cell>
          <cell r="R98" t="str">
            <v>áno</v>
          </cell>
          <cell r="S98">
            <v>5.9506849315068493</v>
          </cell>
          <cell r="T98" t="str">
            <v>áno</v>
          </cell>
          <cell r="U98">
            <v>5.9835616438356167</v>
          </cell>
          <cell r="V98">
            <v>42767</v>
          </cell>
          <cell r="W98">
            <v>43008</v>
          </cell>
          <cell r="X98">
            <v>42948</v>
          </cell>
          <cell r="Y98">
            <v>43190</v>
          </cell>
          <cell r="Z98">
            <v>7.9232876712328757</v>
          </cell>
          <cell r="AA98">
            <v>7.956164383561644</v>
          </cell>
          <cell r="AB98">
            <v>13.906849315068493</v>
          </cell>
          <cell r="AC98" t="str">
            <v>áno</v>
          </cell>
          <cell r="AD98">
            <v>5.9506849315068493</v>
          </cell>
          <cell r="AE98" t="str">
            <v>áno</v>
          </cell>
          <cell r="AF98">
            <v>5.9835616438356167</v>
          </cell>
          <cell r="AG98">
            <v>42948</v>
          </cell>
          <cell r="AH98" t="str">
            <v>po termíne</v>
          </cell>
          <cell r="AJ98" t="b">
            <v>1</v>
          </cell>
        </row>
        <row r="99">
          <cell r="A99" t="str">
            <v>310011B276</v>
          </cell>
          <cell r="B99" t="str">
            <v>1.1.1</v>
          </cell>
          <cell r="C99" t="str">
            <v>OPKZP-PO1-SC111-2016-10</v>
          </cell>
          <cell r="D99" t="str">
            <v>Obec Lehnice</v>
          </cell>
          <cell r="E99" t="str">
            <v>Zvýšenie kvantitatívnej a kvalitatívnej úrovne separácie odpadov v obci Lehnice</v>
          </cell>
          <cell r="F99">
            <v>42746</v>
          </cell>
          <cell r="G99" t="str">
            <v/>
          </cell>
          <cell r="H99">
            <v>43251</v>
          </cell>
          <cell r="I99">
            <v>42705</v>
          </cell>
          <cell r="J99">
            <v>43251</v>
          </cell>
          <cell r="K99">
            <v>42705</v>
          </cell>
          <cell r="L99">
            <v>43251</v>
          </cell>
          <cell r="M99" t="str">
            <v>n/a</v>
          </cell>
          <cell r="N99" t="str">
            <v>n/a</v>
          </cell>
          <cell r="O99">
            <v>17.950684931506849</v>
          </cell>
          <cell r="P99">
            <v>17.950684931506849</v>
          </cell>
          <cell r="Q99">
            <v>17.950684931506849</v>
          </cell>
          <cell r="R99" t="str">
            <v>nie</v>
          </cell>
          <cell r="S99">
            <v>0</v>
          </cell>
          <cell r="T99" t="str">
            <v>nie</v>
          </cell>
          <cell r="U99">
            <v>0</v>
          </cell>
          <cell r="V99">
            <v>42705</v>
          </cell>
          <cell r="W99">
            <v>43251</v>
          </cell>
          <cell r="X99">
            <v>42705</v>
          </cell>
          <cell r="Y99">
            <v>43251</v>
          </cell>
          <cell r="Z99">
            <v>17.950684931506849</v>
          </cell>
          <cell r="AA99">
            <v>17.950684931506849</v>
          </cell>
          <cell r="AB99">
            <v>17.950684931506849</v>
          </cell>
          <cell r="AC99" t="str">
            <v>nie</v>
          </cell>
          <cell r="AD99">
            <v>0</v>
          </cell>
          <cell r="AE99" t="str">
            <v>nie</v>
          </cell>
          <cell r="AF99">
            <v>0</v>
          </cell>
          <cell r="AG99">
            <v>42705</v>
          </cell>
          <cell r="AH99" t="str">
            <v>ok</v>
          </cell>
          <cell r="AJ99" t="b">
            <v>1</v>
          </cell>
        </row>
        <row r="100">
          <cell r="A100" t="str">
            <v>310011B284</v>
          </cell>
          <cell r="B100" t="str">
            <v>1.1.1</v>
          </cell>
          <cell r="C100" t="str">
            <v>OPKZP-PO1-SC111-2016-10</v>
          </cell>
          <cell r="D100" t="str">
            <v>Obec Brestovec</v>
          </cell>
          <cell r="E100" t="str">
            <v>Eko dvor Brestovec</v>
          </cell>
          <cell r="F100">
            <v>42741</v>
          </cell>
          <cell r="G100" t="str">
            <v/>
          </cell>
          <cell r="H100">
            <v>43465</v>
          </cell>
          <cell r="I100">
            <v>42736</v>
          </cell>
          <cell r="J100">
            <v>43465</v>
          </cell>
          <cell r="K100">
            <v>42795</v>
          </cell>
          <cell r="L100">
            <v>43465</v>
          </cell>
          <cell r="M100">
            <v>0</v>
          </cell>
          <cell r="N100">
            <v>0</v>
          </cell>
          <cell r="O100">
            <v>23.967123287671232</v>
          </cell>
          <cell r="P100">
            <v>22.027397260273972</v>
          </cell>
          <cell r="Q100">
            <v>23.967123287671232</v>
          </cell>
          <cell r="R100" t="str">
            <v>áno</v>
          </cell>
          <cell r="S100">
            <v>1.9397260273972603</v>
          </cell>
          <cell r="T100" t="str">
            <v>nie</v>
          </cell>
          <cell r="U100">
            <v>0</v>
          </cell>
          <cell r="V100">
            <v>42736</v>
          </cell>
          <cell r="W100">
            <v>43465</v>
          </cell>
          <cell r="X100">
            <v>42736</v>
          </cell>
          <cell r="Y100">
            <v>43465</v>
          </cell>
          <cell r="Z100">
            <v>23.967123287671232</v>
          </cell>
          <cell r="AA100">
            <v>23.967123287671232</v>
          </cell>
          <cell r="AB100">
            <v>23.967123287671232</v>
          </cell>
          <cell r="AC100" t="str">
            <v>nie</v>
          </cell>
          <cell r="AD100">
            <v>0</v>
          </cell>
          <cell r="AE100" t="str">
            <v>nie</v>
          </cell>
          <cell r="AF100">
            <v>0</v>
          </cell>
          <cell r="AG100">
            <v>42736</v>
          </cell>
          <cell r="AH100" t="str">
            <v>ok</v>
          </cell>
          <cell r="AJ100" t="b">
            <v>1</v>
          </cell>
        </row>
        <row r="101">
          <cell r="A101" t="str">
            <v>310011B285</v>
          </cell>
          <cell r="B101" t="str">
            <v>1.1.1</v>
          </cell>
          <cell r="C101" t="str">
            <v>OPKZP-PO1-SC111-2016-10</v>
          </cell>
          <cell r="D101" t="str">
            <v>Obec Trhovište</v>
          </cell>
          <cell r="E101" t="str">
            <v>Strojové vybavenie zberného dvora v obci Trhovište</v>
          </cell>
          <cell r="F101">
            <v>42748</v>
          </cell>
          <cell r="G101" t="str">
            <v/>
          </cell>
          <cell r="H101">
            <v>43343</v>
          </cell>
          <cell r="I101">
            <v>42736</v>
          </cell>
          <cell r="J101">
            <v>43100</v>
          </cell>
          <cell r="K101">
            <v>42979</v>
          </cell>
          <cell r="L101">
            <v>43343</v>
          </cell>
          <cell r="M101">
            <v>0</v>
          </cell>
          <cell r="N101">
            <v>0</v>
          </cell>
          <cell r="O101">
            <v>11.967123287671233</v>
          </cell>
          <cell r="P101">
            <v>11.967123287671233</v>
          </cell>
          <cell r="Q101">
            <v>19.956164383561642</v>
          </cell>
          <cell r="R101" t="str">
            <v>áno</v>
          </cell>
          <cell r="S101">
            <v>7.9890410958904114</v>
          </cell>
          <cell r="T101" t="str">
            <v>áno</v>
          </cell>
          <cell r="U101">
            <v>7.9890410958904114</v>
          </cell>
          <cell r="V101">
            <v>42736</v>
          </cell>
          <cell r="W101">
            <v>43100</v>
          </cell>
          <cell r="X101">
            <v>42736</v>
          </cell>
          <cell r="Y101">
            <v>43343</v>
          </cell>
          <cell r="Z101">
            <v>11.967123287671233</v>
          </cell>
          <cell r="AA101">
            <v>19.956164383561642</v>
          </cell>
          <cell r="AB101">
            <v>19.956164383561642</v>
          </cell>
          <cell r="AC101" t="str">
            <v>nie</v>
          </cell>
          <cell r="AD101">
            <v>0</v>
          </cell>
          <cell r="AE101" t="str">
            <v>áno</v>
          </cell>
          <cell r="AF101">
            <v>7.9890410958904114</v>
          </cell>
          <cell r="AG101">
            <v>42736</v>
          </cell>
          <cell r="AH101" t="str">
            <v>po termíne</v>
          </cell>
          <cell r="AJ101" t="b">
            <v>1</v>
          </cell>
        </row>
        <row r="102">
          <cell r="A102" t="str">
            <v>310011B309</v>
          </cell>
          <cell r="B102" t="str">
            <v>1.1.1</v>
          </cell>
          <cell r="C102" t="str">
            <v>OPKZP-PO1-SC111-2016-10</v>
          </cell>
          <cell r="D102" t="str">
            <v>Obec Horná Poruba</v>
          </cell>
          <cell r="E102" t="str">
            <v>Zberný dvor v obci Horná Poruba</v>
          </cell>
          <cell r="F102">
            <v>42741</v>
          </cell>
          <cell r="G102" t="str">
            <v/>
          </cell>
          <cell r="H102">
            <v>43220</v>
          </cell>
          <cell r="I102">
            <v>42370</v>
          </cell>
          <cell r="J102">
            <v>43220</v>
          </cell>
          <cell r="K102">
            <v>42370</v>
          </cell>
          <cell r="L102">
            <v>43220</v>
          </cell>
          <cell r="M102" t="str">
            <v/>
          </cell>
          <cell r="N102" t="str">
            <v/>
          </cell>
          <cell r="O102">
            <v>27.945205479452056</v>
          </cell>
          <cell r="P102">
            <v>27.945205479452056</v>
          </cell>
          <cell r="Q102">
            <v>27.945205479452056</v>
          </cell>
          <cell r="R102" t="str">
            <v>nie</v>
          </cell>
          <cell r="S102">
            <v>0</v>
          </cell>
          <cell r="T102" t="str">
            <v>nie</v>
          </cell>
          <cell r="U102">
            <v>0</v>
          </cell>
          <cell r="V102">
            <v>42370</v>
          </cell>
          <cell r="W102">
            <v>43220</v>
          </cell>
          <cell r="X102">
            <v>42370</v>
          </cell>
          <cell r="Y102">
            <v>43220</v>
          </cell>
          <cell r="Z102">
            <v>27.945205479452056</v>
          </cell>
          <cell r="AA102">
            <v>27.945205479452056</v>
          </cell>
          <cell r="AB102">
            <v>27.945205479452056</v>
          </cell>
          <cell r="AC102" t="str">
            <v>nie</v>
          </cell>
          <cell r="AD102">
            <v>0</v>
          </cell>
          <cell r="AE102" t="str">
            <v>nie</v>
          </cell>
          <cell r="AF102">
            <v>0</v>
          </cell>
          <cell r="AG102">
            <v>42370</v>
          </cell>
          <cell r="AH102" t="str">
            <v>ok</v>
          </cell>
          <cell r="AJ102" t="b">
            <v>1</v>
          </cell>
        </row>
        <row r="103">
          <cell r="A103" t="str">
            <v>310011B316</v>
          </cell>
          <cell r="B103" t="str">
            <v>1.1.1</v>
          </cell>
          <cell r="C103" t="str">
            <v>OPKZP-PO1-SC111-2016-11</v>
          </cell>
          <cell r="D103" t="str">
            <v>Mestský podnik Dudince s.r.o.</v>
          </cell>
          <cell r="E103" t="str">
            <v>Triedený zber komunálnych odpadov a zhodnocovanie biologicky rozložiteľného komunálneho odpadu</v>
          </cell>
          <cell r="F103">
            <v>42740</v>
          </cell>
          <cell r="G103" t="str">
            <v/>
          </cell>
          <cell r="H103">
            <v>43100</v>
          </cell>
          <cell r="I103">
            <v>42430</v>
          </cell>
          <cell r="J103">
            <v>43100</v>
          </cell>
          <cell r="K103">
            <v>42430</v>
          </cell>
          <cell r="L103">
            <v>43100</v>
          </cell>
          <cell r="M103" t="str">
            <v>n/a</v>
          </cell>
          <cell r="N103" t="str">
            <v>n/a</v>
          </cell>
          <cell r="O103">
            <v>22.027397260273972</v>
          </cell>
          <cell r="P103">
            <v>22.027397260273972</v>
          </cell>
          <cell r="Q103">
            <v>22.027397260273972</v>
          </cell>
          <cell r="R103" t="str">
            <v>nie</v>
          </cell>
          <cell r="S103">
            <v>0</v>
          </cell>
          <cell r="T103" t="str">
            <v>nie</v>
          </cell>
          <cell r="U103">
            <v>0</v>
          </cell>
          <cell r="V103" t="str">
            <v>-</v>
          </cell>
          <cell r="W103" t="str">
            <v>-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e">
            <v>#VALUE!</v>
          </cell>
          <cell r="AC103" t="str">
            <v>-</v>
          </cell>
          <cell r="AD103" t="str">
            <v>-</v>
          </cell>
          <cell r="AE103" t="str">
            <v>-</v>
          </cell>
          <cell r="AF103" t="str">
            <v>-</v>
          </cell>
          <cell r="AG103">
            <v>42430</v>
          </cell>
          <cell r="AH103" t="str">
            <v>ok</v>
          </cell>
          <cell r="AJ103" t="b">
            <v>0</v>
          </cell>
        </row>
        <row r="104">
          <cell r="A104" t="str">
            <v>310011B326</v>
          </cell>
          <cell r="B104" t="str">
            <v>1.4.1</v>
          </cell>
          <cell r="C104" t="str">
            <v>OPKZP-PO1-SC141-2016-14</v>
          </cell>
          <cell r="D104" t="str">
            <v>U. S. Steel Košice, s.r.o.</v>
          </cell>
          <cell r="E104" t="str">
            <v>Odprašovanie aglomerácie – pás č. 1</v>
          </cell>
          <cell r="F104">
            <v>42703</v>
          </cell>
          <cell r="G104" t="str">
            <v/>
          </cell>
          <cell r="H104">
            <v>43769</v>
          </cell>
          <cell r="I104">
            <v>43040</v>
          </cell>
          <cell r="J104">
            <v>43646</v>
          </cell>
          <cell r="K104">
            <v>43160</v>
          </cell>
          <cell r="L104">
            <v>43769</v>
          </cell>
          <cell r="M104">
            <v>0</v>
          </cell>
          <cell r="N104">
            <v>0</v>
          </cell>
          <cell r="O104">
            <v>19.923287671232877</v>
          </cell>
          <cell r="P104">
            <v>20.021917808219179</v>
          </cell>
          <cell r="Q104">
            <v>23.967123287671232</v>
          </cell>
          <cell r="R104" t="str">
            <v>áno</v>
          </cell>
          <cell r="S104">
            <v>3.9452054794520546</v>
          </cell>
          <cell r="T104" t="str">
            <v>áno</v>
          </cell>
          <cell r="U104">
            <v>4.043835616438356</v>
          </cell>
          <cell r="V104" t="str">
            <v>-</v>
          </cell>
          <cell r="W104" t="str">
            <v>-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e">
            <v>#VALUE!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  <cell r="AG104">
            <v>43160</v>
          </cell>
          <cell r="AH104" t="str">
            <v>po termíne</v>
          </cell>
          <cell r="AJ104" t="b">
            <v>0</v>
          </cell>
        </row>
        <row r="105">
          <cell r="A105" t="str">
            <v>310011B327</v>
          </cell>
          <cell r="B105" t="str">
            <v>1.4.1</v>
          </cell>
          <cell r="C105" t="str">
            <v>OPKZP-PO1-SC141-2016-14</v>
          </cell>
          <cell r="D105" t="str">
            <v>U. S. Steel Košice, s.r.o.</v>
          </cell>
          <cell r="E105" t="str">
            <v>Odprašovanie aglomerácie – pás č. 2</v>
          </cell>
          <cell r="F105">
            <v>42703</v>
          </cell>
          <cell r="G105" t="str">
            <v/>
          </cell>
          <cell r="H105">
            <v>43677</v>
          </cell>
          <cell r="I105">
            <v>42917</v>
          </cell>
          <cell r="J105">
            <v>43524</v>
          </cell>
          <cell r="K105">
            <v>43070</v>
          </cell>
          <cell r="L105">
            <v>43677</v>
          </cell>
          <cell r="M105">
            <v>0</v>
          </cell>
          <cell r="N105">
            <v>0</v>
          </cell>
          <cell r="O105">
            <v>19.956164383561642</v>
          </cell>
          <cell r="P105">
            <v>19.956164383561642</v>
          </cell>
          <cell r="Q105">
            <v>24.986301369863014</v>
          </cell>
          <cell r="R105" t="str">
            <v>áno</v>
          </cell>
          <cell r="S105">
            <v>5.0301369863013701</v>
          </cell>
          <cell r="T105" t="str">
            <v>áno</v>
          </cell>
          <cell r="U105">
            <v>5.0301369863013701</v>
          </cell>
          <cell r="V105" t="str">
            <v>-</v>
          </cell>
          <cell r="W105" t="str">
            <v>-</v>
          </cell>
          <cell r="X105" t="str">
            <v>-</v>
          </cell>
          <cell r="Y105" t="str">
            <v>-</v>
          </cell>
          <cell r="Z105" t="str">
            <v>-</v>
          </cell>
          <cell r="AA105" t="str">
            <v>-</v>
          </cell>
          <cell r="AB105" t="e">
            <v>#VALUE!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  <cell r="AG105">
            <v>43070</v>
          </cell>
          <cell r="AH105" t="str">
            <v>po termíne</v>
          </cell>
          <cell r="AJ105" t="b">
            <v>0</v>
          </cell>
        </row>
        <row r="106">
          <cell r="A106" t="str">
            <v>310011B328</v>
          </cell>
          <cell r="B106" t="str">
            <v>1.4.1</v>
          </cell>
          <cell r="C106" t="str">
            <v>OPKZP-PO1-SC141-2016-14</v>
          </cell>
          <cell r="D106" t="str">
            <v>U. S. Steel Košice, s.r.o.</v>
          </cell>
          <cell r="E106" t="str">
            <v>Odprašovanie aglomerácie – pás č.3</v>
          </cell>
          <cell r="F106">
            <v>42703</v>
          </cell>
          <cell r="G106" t="str">
            <v/>
          </cell>
          <cell r="H106">
            <v>43585</v>
          </cell>
          <cell r="I106">
            <v>42795</v>
          </cell>
          <cell r="J106">
            <v>43404</v>
          </cell>
          <cell r="K106">
            <v>42979</v>
          </cell>
          <cell r="L106">
            <v>43585</v>
          </cell>
          <cell r="M106">
            <v>0</v>
          </cell>
          <cell r="N106">
            <v>0</v>
          </cell>
          <cell r="O106">
            <v>20.021917808219179</v>
          </cell>
          <cell r="P106">
            <v>19.923287671232877</v>
          </cell>
          <cell r="Q106">
            <v>25.972602739726028</v>
          </cell>
          <cell r="R106" t="str">
            <v>áno</v>
          </cell>
          <cell r="S106">
            <v>6.0493150684931507</v>
          </cell>
          <cell r="T106" t="str">
            <v>áno</v>
          </cell>
          <cell r="U106">
            <v>5.9506849315068493</v>
          </cell>
          <cell r="V106" t="str">
            <v>-</v>
          </cell>
          <cell r="W106" t="str">
            <v>-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e">
            <v>#VALUE!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  <cell r="AG106">
            <v>42979</v>
          </cell>
          <cell r="AH106" t="str">
            <v>po termíne</v>
          </cell>
          <cell r="AJ106" t="b">
            <v>0</v>
          </cell>
        </row>
        <row r="107">
          <cell r="A107" t="str">
            <v>310011B331</v>
          </cell>
          <cell r="B107" t="str">
            <v>1.4.1</v>
          </cell>
          <cell r="C107" t="str">
            <v>OPKZP-PO1-SC141-2016-14</v>
          </cell>
          <cell r="D107" t="str">
            <v>U. S. Steel Košice, s.r.o.</v>
          </cell>
          <cell r="E107" t="str">
            <v>Odprašovanie aglomerácie – pás č.4</v>
          </cell>
          <cell r="F107">
            <v>42704</v>
          </cell>
          <cell r="G107" t="str">
            <v/>
          </cell>
          <cell r="H107">
            <v>43496</v>
          </cell>
          <cell r="I107">
            <v>42675</v>
          </cell>
          <cell r="J107">
            <v>43281</v>
          </cell>
          <cell r="K107">
            <v>42887</v>
          </cell>
          <cell r="L107">
            <v>43496</v>
          </cell>
          <cell r="M107">
            <v>0</v>
          </cell>
          <cell r="N107">
            <v>0</v>
          </cell>
          <cell r="O107">
            <v>19.923287671232877</v>
          </cell>
          <cell r="P107">
            <v>20.021917808219179</v>
          </cell>
          <cell r="Q107">
            <v>26.991780821917811</v>
          </cell>
          <cell r="R107" t="str">
            <v>áno</v>
          </cell>
          <cell r="S107">
            <v>6.9698630136986299</v>
          </cell>
          <cell r="T107" t="str">
            <v>áno</v>
          </cell>
          <cell r="U107">
            <v>7.0684931506849313</v>
          </cell>
          <cell r="V107" t="str">
            <v>-</v>
          </cell>
          <cell r="W107" t="str">
            <v>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e">
            <v>#VALUE!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42887</v>
          </cell>
          <cell r="AH107" t="str">
            <v>po termíne</v>
          </cell>
          <cell r="AJ107" t="b">
            <v>0</v>
          </cell>
        </row>
        <row r="108">
          <cell r="A108" t="str">
            <v>310011B332</v>
          </cell>
          <cell r="B108" t="str">
            <v>1.4.1</v>
          </cell>
          <cell r="C108" t="str">
            <v>OPKZP-PO1-SC141-2016-14</v>
          </cell>
          <cell r="D108" t="str">
            <v>U. S. Steel Košice, s.r.o.</v>
          </cell>
          <cell r="E108" t="str">
            <v>Odprášenie koncov spekacích pásov 1 a 2</v>
          </cell>
          <cell r="F108">
            <v>42704</v>
          </cell>
          <cell r="G108" t="str">
            <v/>
          </cell>
          <cell r="H108">
            <v>43677</v>
          </cell>
          <cell r="I108">
            <v>42856</v>
          </cell>
          <cell r="J108">
            <v>43677</v>
          </cell>
          <cell r="K108">
            <v>42856</v>
          </cell>
          <cell r="L108">
            <v>43677</v>
          </cell>
          <cell r="M108" t="str">
            <v/>
          </cell>
          <cell r="N108" t="str">
            <v/>
          </cell>
          <cell r="O108">
            <v>26.991780821917811</v>
          </cell>
          <cell r="P108">
            <v>26.991780821917811</v>
          </cell>
          <cell r="Q108">
            <v>26.991780821917811</v>
          </cell>
          <cell r="R108" t="str">
            <v>nie</v>
          </cell>
          <cell r="S108">
            <v>0</v>
          </cell>
          <cell r="T108" t="str">
            <v>nie</v>
          </cell>
          <cell r="U108">
            <v>0</v>
          </cell>
          <cell r="V108" t="str">
            <v>-</v>
          </cell>
          <cell r="W108" t="str">
            <v>-</v>
          </cell>
          <cell r="X108" t="str">
            <v>-</v>
          </cell>
          <cell r="Y108" t="str">
            <v>-</v>
          </cell>
          <cell r="Z108" t="str">
            <v>-</v>
          </cell>
          <cell r="AA108" t="str">
            <v>-</v>
          </cell>
          <cell r="AB108" t="e">
            <v>#VALUE!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  <cell r="AG108">
            <v>42856</v>
          </cell>
          <cell r="AH108" t="str">
            <v>ok</v>
          </cell>
          <cell r="AJ108" t="b">
            <v>0</v>
          </cell>
        </row>
        <row r="109">
          <cell r="A109" t="str">
            <v>310011B334</v>
          </cell>
          <cell r="B109" t="str">
            <v>1.4.1</v>
          </cell>
          <cell r="C109" t="str">
            <v>OPKZP-PO1-SC141-2016-14</v>
          </cell>
          <cell r="D109" t="str">
            <v>U. S. Steel Košice, s.r.o.</v>
          </cell>
          <cell r="E109" t="str">
            <v>Odprášenie koncov spekacích pásov 3 a 4</v>
          </cell>
          <cell r="F109">
            <v>42704</v>
          </cell>
          <cell r="G109" t="str">
            <v/>
          </cell>
          <cell r="H109">
            <v>43646</v>
          </cell>
          <cell r="I109">
            <v>42826</v>
          </cell>
          <cell r="J109">
            <v>43646</v>
          </cell>
          <cell r="K109">
            <v>42826</v>
          </cell>
          <cell r="L109">
            <v>43646</v>
          </cell>
          <cell r="M109" t="str">
            <v/>
          </cell>
          <cell r="N109" t="str">
            <v/>
          </cell>
          <cell r="O109">
            <v>26.958904109589042</v>
          </cell>
          <cell r="P109">
            <v>26.958904109589042</v>
          </cell>
          <cell r="Q109">
            <v>26.958904109589042</v>
          </cell>
          <cell r="R109" t="str">
            <v>nie</v>
          </cell>
          <cell r="S109">
            <v>0</v>
          </cell>
          <cell r="T109" t="str">
            <v>nie</v>
          </cell>
          <cell r="U109">
            <v>0</v>
          </cell>
          <cell r="V109" t="str">
            <v>-</v>
          </cell>
          <cell r="W109" t="str">
            <v>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e">
            <v>#VALUE!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42826</v>
          </cell>
          <cell r="AH109" t="str">
            <v>ok</v>
          </cell>
          <cell r="AJ109" t="b">
            <v>0</v>
          </cell>
        </row>
        <row r="110">
          <cell r="A110" t="str">
            <v>310011B358</v>
          </cell>
          <cell r="B110" t="str">
            <v>1.1.1</v>
          </cell>
          <cell r="C110" t="str">
            <v>OPKZP-PO1-SC111-2016-10</v>
          </cell>
          <cell r="D110" t="str">
            <v>Obec Fričovce</v>
          </cell>
          <cell r="E110" t="str">
            <v>Zavedenie zberu biologicky rozložiteľného komunálneho odpadu v obci Fričovce</v>
          </cell>
          <cell r="F110">
            <v>42741</v>
          </cell>
          <cell r="G110" t="str">
            <v/>
          </cell>
          <cell r="H110">
            <v>42978</v>
          </cell>
          <cell r="I110">
            <v>42491</v>
          </cell>
          <cell r="J110">
            <v>42978</v>
          </cell>
          <cell r="K110">
            <v>42491</v>
          </cell>
          <cell r="L110">
            <v>42978</v>
          </cell>
          <cell r="M110" t="str">
            <v>n/a</v>
          </cell>
          <cell r="N110">
            <v>43220</v>
          </cell>
          <cell r="O110">
            <v>16.010958904109589</v>
          </cell>
          <cell r="P110">
            <v>16.010958904109589</v>
          </cell>
          <cell r="Q110">
            <v>16.010958904109589</v>
          </cell>
          <cell r="R110" t="str">
            <v>nie</v>
          </cell>
          <cell r="S110">
            <v>0</v>
          </cell>
          <cell r="T110" t="str">
            <v>nie</v>
          </cell>
          <cell r="U110">
            <v>0</v>
          </cell>
          <cell r="V110">
            <v>42491</v>
          </cell>
          <cell r="W110">
            <v>42978</v>
          </cell>
          <cell r="X110">
            <v>42491</v>
          </cell>
          <cell r="Y110">
            <v>42978</v>
          </cell>
          <cell r="Z110">
            <v>16.010958904109589</v>
          </cell>
          <cell r="AA110">
            <v>16.010958904109589</v>
          </cell>
          <cell r="AB110">
            <v>16.010958904109589</v>
          </cell>
          <cell r="AC110" t="str">
            <v>nie</v>
          </cell>
          <cell r="AD110">
            <v>0</v>
          </cell>
          <cell r="AE110" t="str">
            <v>nie</v>
          </cell>
          <cell r="AF110">
            <v>0</v>
          </cell>
          <cell r="AG110">
            <v>42491</v>
          </cell>
          <cell r="AH110" t="str">
            <v>ok</v>
          </cell>
          <cell r="AJ110" t="b">
            <v>1</v>
          </cell>
        </row>
        <row r="111">
          <cell r="A111" t="str">
            <v>310011B363</v>
          </cell>
          <cell r="B111" t="str">
            <v>1.1.1</v>
          </cell>
          <cell r="C111" t="str">
            <v>OPKZP-PO1-SC111-2016-11</v>
          </cell>
          <cell r="D111" t="str">
            <v>Obec Diviacka Nová Ves</v>
          </cell>
          <cell r="E111" t="str">
            <v>Zhodnotenie biologicky rozložiteľného komunálneho odpadu v obci Diviacka Nová Ves</v>
          </cell>
          <cell r="F111">
            <v>42740</v>
          </cell>
          <cell r="G111" t="str">
            <v/>
          </cell>
          <cell r="H111">
            <v>43100</v>
          </cell>
          <cell r="I111">
            <v>42736</v>
          </cell>
          <cell r="J111">
            <v>43100</v>
          </cell>
          <cell r="K111">
            <v>42826</v>
          </cell>
          <cell r="L111">
            <v>43100</v>
          </cell>
          <cell r="M111">
            <v>0</v>
          </cell>
          <cell r="N111">
            <v>0</v>
          </cell>
          <cell r="O111">
            <v>11.967123287671233</v>
          </cell>
          <cell r="P111">
            <v>9.008219178082193</v>
          </cell>
          <cell r="Q111">
            <v>11.967123287671233</v>
          </cell>
          <cell r="R111" t="str">
            <v>áno</v>
          </cell>
          <cell r="S111">
            <v>2.9589041095890409</v>
          </cell>
          <cell r="T111" t="str">
            <v>nie</v>
          </cell>
          <cell r="U111">
            <v>0</v>
          </cell>
          <cell r="V111" t="str">
            <v>-</v>
          </cell>
          <cell r="W111" t="str">
            <v>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e">
            <v>#VALUE!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42826</v>
          </cell>
          <cell r="AH111" t="str">
            <v>ok</v>
          </cell>
          <cell r="AJ111" t="b">
            <v>0</v>
          </cell>
        </row>
        <row r="112">
          <cell r="A112" t="str">
            <v>310011B371</v>
          </cell>
          <cell r="B112" t="str">
            <v>1.1.1</v>
          </cell>
          <cell r="C112" t="str">
            <v>OPKZP-PO1-SC111-2016-10</v>
          </cell>
          <cell r="D112" t="str">
            <v>Obec Krajné</v>
          </cell>
          <cell r="E112" t="str">
            <v>Zefektívnenie systému triedeného zberu v obci Krajné</v>
          </cell>
          <cell r="F112">
            <v>42740</v>
          </cell>
          <cell r="G112" t="str">
            <v/>
          </cell>
          <cell r="H112">
            <v>43312</v>
          </cell>
          <cell r="I112">
            <v>42736</v>
          </cell>
          <cell r="J112">
            <v>43100</v>
          </cell>
          <cell r="K112">
            <v>43009</v>
          </cell>
          <cell r="L112">
            <v>43312</v>
          </cell>
          <cell r="M112">
            <v>42826</v>
          </cell>
          <cell r="N112">
            <v>43190</v>
          </cell>
          <cell r="O112">
            <v>11.967123287671233</v>
          </cell>
          <cell r="P112">
            <v>9.9616438356164387</v>
          </cell>
          <cell r="Q112">
            <v>18.936986301369863</v>
          </cell>
          <cell r="R112" t="str">
            <v>áno</v>
          </cell>
          <cell r="S112">
            <v>8.9753424657534246</v>
          </cell>
          <cell r="T112" t="str">
            <v>áno</v>
          </cell>
          <cell r="U112">
            <v>6.9698630136986299</v>
          </cell>
          <cell r="V112">
            <v>42736</v>
          </cell>
          <cell r="W112">
            <v>43100</v>
          </cell>
          <cell r="X112">
            <v>42826</v>
          </cell>
          <cell r="Y112">
            <v>43312</v>
          </cell>
          <cell r="Z112">
            <v>11.967123287671233</v>
          </cell>
          <cell r="AA112">
            <v>15.978082191780823</v>
          </cell>
          <cell r="AB112">
            <v>18.936986301369863</v>
          </cell>
          <cell r="AC112" t="str">
            <v>áno</v>
          </cell>
          <cell r="AD112">
            <v>2.9589041095890409</v>
          </cell>
          <cell r="AE112" t="str">
            <v>áno</v>
          </cell>
          <cell r="AF112">
            <v>6.9698630136986299</v>
          </cell>
          <cell r="AG112">
            <v>42826</v>
          </cell>
          <cell r="AH112" t="str">
            <v>termín na začatie do konca mesiaca</v>
          </cell>
          <cell r="AJ112" t="b">
            <v>1</v>
          </cell>
        </row>
        <row r="113">
          <cell r="A113" t="str">
            <v>310011B372</v>
          </cell>
          <cell r="B113" t="str">
            <v>1.1.1</v>
          </cell>
          <cell r="C113" t="str">
            <v>OPKZP-PO1-SC111-2016-11</v>
          </cell>
          <cell r="D113" t="str">
            <v>Obec Ráztočno</v>
          </cell>
          <cell r="E113" t="str">
            <v>Zhodnocovanie biologicky rozložiteľného komunálneho odpadu v obci Ráztočno</v>
          </cell>
          <cell r="F113">
            <v>42726</v>
          </cell>
          <cell r="G113" t="str">
            <v/>
          </cell>
          <cell r="H113">
            <v>43100</v>
          </cell>
          <cell r="I113">
            <v>42736</v>
          </cell>
          <cell r="J113">
            <v>43100</v>
          </cell>
          <cell r="K113">
            <v>42826</v>
          </cell>
          <cell r="L113">
            <v>43100</v>
          </cell>
          <cell r="M113">
            <v>0</v>
          </cell>
          <cell r="N113">
            <v>0</v>
          </cell>
          <cell r="O113">
            <v>11.967123287671233</v>
          </cell>
          <cell r="P113">
            <v>9.008219178082193</v>
          </cell>
          <cell r="Q113">
            <v>11.967123287671233</v>
          </cell>
          <cell r="R113" t="str">
            <v>áno</v>
          </cell>
          <cell r="S113">
            <v>2.9589041095890409</v>
          </cell>
          <cell r="T113" t="str">
            <v>nie</v>
          </cell>
          <cell r="U113">
            <v>0</v>
          </cell>
          <cell r="V113" t="str">
            <v>-</v>
          </cell>
          <cell r="W113" t="str">
            <v>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e">
            <v>#VALUE!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42826</v>
          </cell>
          <cell r="AH113" t="str">
            <v>ok</v>
          </cell>
          <cell r="AJ113" t="b">
            <v>0</v>
          </cell>
        </row>
        <row r="114">
          <cell r="A114" t="str">
            <v>310011B386</v>
          </cell>
          <cell r="B114" t="str">
            <v>1.4.1</v>
          </cell>
          <cell r="C114" t="str">
            <v>OPKZP-PO1-SC141-2015-7</v>
          </cell>
          <cell r="D114" t="str">
            <v>Schüle Slovakia, s.r.o.</v>
          </cell>
          <cell r="E114" t="str">
            <v>Znižovanie emisií zo stacionárnych zdrojov znečisťovania ovzdušia v spoločnosti Schüle Slovakia, s.r.o.</v>
          </cell>
          <cell r="F114">
            <v>42678</v>
          </cell>
          <cell r="G114" t="str">
            <v/>
          </cell>
          <cell r="H114">
            <v>43555</v>
          </cell>
          <cell r="I114">
            <v>42644</v>
          </cell>
          <cell r="J114">
            <v>43373</v>
          </cell>
          <cell r="K114">
            <v>43009</v>
          </cell>
          <cell r="L114">
            <v>43555</v>
          </cell>
          <cell r="M114">
            <v>42826</v>
          </cell>
          <cell r="N114">
            <v>43555</v>
          </cell>
          <cell r="O114">
            <v>23.967123287671232</v>
          </cell>
          <cell r="P114">
            <v>17.950684931506849</v>
          </cell>
          <cell r="Q114">
            <v>29.950684931506849</v>
          </cell>
          <cell r="R114" t="str">
            <v>áno</v>
          </cell>
          <cell r="S114">
            <v>12</v>
          </cell>
          <cell r="T114" t="str">
            <v>áno</v>
          </cell>
          <cell r="U114">
            <v>5.9835616438356167</v>
          </cell>
          <cell r="V114" t="str">
            <v>-</v>
          </cell>
          <cell r="W114" t="str">
            <v>-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e">
            <v>#VALUE!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  <cell r="AG114">
            <v>43009</v>
          </cell>
          <cell r="AH114" t="str">
            <v>termín na začatie do konca mesiaca</v>
          </cell>
          <cell r="AJ114" t="b">
            <v>0</v>
          </cell>
        </row>
        <row r="115">
          <cell r="A115" t="str">
            <v>310011B390</v>
          </cell>
          <cell r="B115" t="str">
            <v>1.1.1</v>
          </cell>
          <cell r="C115" t="str">
            <v>OPKZP-PO1-SC111-2016-10</v>
          </cell>
          <cell r="D115" t="str">
            <v>Obec Hranovnica</v>
          </cell>
          <cell r="E115" t="str">
            <v>Triedený zber komunálnych odpadov v obci Hranovnica</v>
          </cell>
          <cell r="F115">
            <v>42741</v>
          </cell>
          <cell r="G115" t="str">
            <v/>
          </cell>
          <cell r="H115">
            <v>43069</v>
          </cell>
          <cell r="I115">
            <v>42795</v>
          </cell>
          <cell r="J115">
            <v>42978</v>
          </cell>
          <cell r="K115">
            <v>42795</v>
          </cell>
          <cell r="L115">
            <v>43069</v>
          </cell>
          <cell r="M115">
            <v>0</v>
          </cell>
          <cell r="N115">
            <v>0</v>
          </cell>
          <cell r="O115">
            <v>6.0164383561643842</v>
          </cell>
          <cell r="P115">
            <v>9.008219178082193</v>
          </cell>
          <cell r="Q115">
            <v>9.008219178082193</v>
          </cell>
          <cell r="R115" t="str">
            <v>nie</v>
          </cell>
          <cell r="S115">
            <v>0</v>
          </cell>
          <cell r="T115" t="str">
            <v>áno</v>
          </cell>
          <cell r="U115">
            <v>2.9917808219178084</v>
          </cell>
          <cell r="V115">
            <v>42795</v>
          </cell>
          <cell r="W115">
            <v>42978</v>
          </cell>
          <cell r="X115">
            <v>42795</v>
          </cell>
          <cell r="Y115">
            <v>43069</v>
          </cell>
          <cell r="Z115">
            <v>6.0164383561643842</v>
          </cell>
          <cell r="AA115">
            <v>9.008219178082193</v>
          </cell>
          <cell r="AB115">
            <v>9.008219178082193</v>
          </cell>
          <cell r="AC115" t="str">
            <v>nie</v>
          </cell>
          <cell r="AD115">
            <v>0</v>
          </cell>
          <cell r="AE115" t="str">
            <v>áno</v>
          </cell>
          <cell r="AF115">
            <v>2.9917808219178084</v>
          </cell>
          <cell r="AG115">
            <v>42795</v>
          </cell>
          <cell r="AH115" t="str">
            <v>ok</v>
          </cell>
          <cell r="AJ115" t="b">
            <v>1</v>
          </cell>
        </row>
        <row r="116">
          <cell r="A116" t="str">
            <v>310011B409</v>
          </cell>
          <cell r="B116" t="str">
            <v>1.1.1</v>
          </cell>
          <cell r="C116" t="str">
            <v>OPKZP-PO1-SC111-2016-10</v>
          </cell>
          <cell r="D116" t="str">
            <v>Obec Hul</v>
          </cell>
          <cell r="E116" t="str">
            <v>Separovaný zber komunálneho odpadu v obci Hul</v>
          </cell>
          <cell r="F116">
            <v>42755</v>
          </cell>
          <cell r="G116" t="str">
            <v/>
          </cell>
          <cell r="H116">
            <v>43190</v>
          </cell>
          <cell r="I116">
            <v>42767</v>
          </cell>
          <cell r="J116">
            <v>43008</v>
          </cell>
          <cell r="K116">
            <v>42767</v>
          </cell>
          <cell r="L116">
            <v>43190</v>
          </cell>
          <cell r="M116">
            <v>42767</v>
          </cell>
          <cell r="N116">
            <v>0</v>
          </cell>
          <cell r="O116">
            <v>7.9232876712328757</v>
          </cell>
          <cell r="P116">
            <v>13.906849315068493</v>
          </cell>
          <cell r="Q116">
            <v>13.906849315068493</v>
          </cell>
          <cell r="R116" t="str">
            <v>nie</v>
          </cell>
          <cell r="S116">
            <v>0</v>
          </cell>
          <cell r="T116" t="str">
            <v>áno</v>
          </cell>
          <cell r="U116">
            <v>5.9835616438356167</v>
          </cell>
          <cell r="V116">
            <v>42767</v>
          </cell>
          <cell r="W116">
            <v>43008</v>
          </cell>
          <cell r="X116">
            <v>42767</v>
          </cell>
          <cell r="Y116">
            <v>43190</v>
          </cell>
          <cell r="Z116">
            <v>7.9232876712328757</v>
          </cell>
          <cell r="AA116">
            <v>13.906849315068493</v>
          </cell>
          <cell r="AB116">
            <v>13.906849315068493</v>
          </cell>
          <cell r="AC116" t="str">
            <v>nie</v>
          </cell>
          <cell r="AD116">
            <v>0</v>
          </cell>
          <cell r="AE116" t="str">
            <v>áno</v>
          </cell>
          <cell r="AF116">
            <v>5.9835616438356167</v>
          </cell>
          <cell r="AG116">
            <v>42767</v>
          </cell>
          <cell r="AH116" t="str">
            <v>ok</v>
          </cell>
          <cell r="AJ116" t="b">
            <v>1</v>
          </cell>
        </row>
        <row r="117">
          <cell r="A117" t="str">
            <v>310011B416</v>
          </cell>
          <cell r="B117" t="str">
            <v>1.1.1</v>
          </cell>
          <cell r="C117" t="str">
            <v>OPKZP-PO1-SC111-2016-10</v>
          </cell>
          <cell r="D117" t="str">
            <v>Obec Marcelová</v>
          </cell>
          <cell r="E117" t="str">
            <v>Triedený zber komunálnych odpadov v obci Marcelová</v>
          </cell>
          <cell r="F117">
            <v>42741</v>
          </cell>
          <cell r="G117" t="str">
            <v/>
          </cell>
          <cell r="H117">
            <v>43281</v>
          </cell>
          <cell r="I117">
            <v>42736</v>
          </cell>
          <cell r="J117">
            <v>43100</v>
          </cell>
          <cell r="K117">
            <v>42917</v>
          </cell>
          <cell r="L117">
            <v>43281</v>
          </cell>
          <cell r="M117">
            <v>0</v>
          </cell>
          <cell r="N117">
            <v>0</v>
          </cell>
          <cell r="O117">
            <v>11.967123287671233</v>
          </cell>
          <cell r="P117">
            <v>11.967123287671233</v>
          </cell>
          <cell r="Q117">
            <v>17.917808219178081</v>
          </cell>
          <cell r="R117" t="str">
            <v>áno</v>
          </cell>
          <cell r="S117">
            <v>5.9506849315068493</v>
          </cell>
          <cell r="T117" t="str">
            <v>áno</v>
          </cell>
          <cell r="U117">
            <v>5.9506849315068493</v>
          </cell>
          <cell r="V117">
            <v>42736</v>
          </cell>
          <cell r="W117">
            <v>43100</v>
          </cell>
          <cell r="X117">
            <v>42917</v>
          </cell>
          <cell r="Y117">
            <v>43281</v>
          </cell>
          <cell r="Z117">
            <v>11.967123287671233</v>
          </cell>
          <cell r="AA117">
            <v>11.967123287671233</v>
          </cell>
          <cell r="AB117">
            <v>17.917808219178081</v>
          </cell>
          <cell r="AC117" t="str">
            <v>áno</v>
          </cell>
          <cell r="AD117">
            <v>5.9506849315068493</v>
          </cell>
          <cell r="AE117" t="str">
            <v>áno</v>
          </cell>
          <cell r="AF117">
            <v>5.9506849315068493</v>
          </cell>
          <cell r="AG117">
            <v>42917</v>
          </cell>
          <cell r="AH117" t="str">
            <v>po termíne</v>
          </cell>
          <cell r="AJ117" t="b">
            <v>1</v>
          </cell>
        </row>
        <row r="118">
          <cell r="A118" t="str">
            <v>310011B419</v>
          </cell>
          <cell r="B118" t="str">
            <v>1.1.1</v>
          </cell>
          <cell r="C118" t="str">
            <v>OPKZP-PO1-SC111-2016-10</v>
          </cell>
          <cell r="D118" t="str">
            <v>Obec Dobrá Niva</v>
          </cell>
          <cell r="E118" t="str">
            <v>Zberný dvor Dobrá Niva</v>
          </cell>
          <cell r="F118">
            <v>42773</v>
          </cell>
          <cell r="G118" t="str">
            <v/>
          </cell>
          <cell r="H118">
            <v>43281</v>
          </cell>
          <cell r="I118">
            <v>42736</v>
          </cell>
          <cell r="J118">
            <v>43281</v>
          </cell>
          <cell r="K118">
            <v>42826</v>
          </cell>
          <cell r="L118">
            <v>43281</v>
          </cell>
          <cell r="M118">
            <v>0</v>
          </cell>
          <cell r="N118">
            <v>0</v>
          </cell>
          <cell r="O118">
            <v>17.917808219178081</v>
          </cell>
          <cell r="P118">
            <v>14.958904109589042</v>
          </cell>
          <cell r="Q118">
            <v>17.917808219178081</v>
          </cell>
          <cell r="R118" t="str">
            <v>áno</v>
          </cell>
          <cell r="S118">
            <v>2.9589041095890409</v>
          </cell>
          <cell r="T118" t="str">
            <v>nie</v>
          </cell>
          <cell r="U118">
            <v>0</v>
          </cell>
          <cell r="V118">
            <v>42736</v>
          </cell>
          <cell r="W118">
            <v>43281</v>
          </cell>
          <cell r="X118">
            <v>42736</v>
          </cell>
          <cell r="Y118">
            <v>43281</v>
          </cell>
          <cell r="Z118">
            <v>17.917808219178081</v>
          </cell>
          <cell r="AA118">
            <v>17.917808219178081</v>
          </cell>
          <cell r="AB118">
            <v>17.917808219178081</v>
          </cell>
          <cell r="AC118" t="str">
            <v>nie</v>
          </cell>
          <cell r="AD118">
            <v>0</v>
          </cell>
          <cell r="AE118" t="str">
            <v>nie</v>
          </cell>
          <cell r="AF118">
            <v>0</v>
          </cell>
          <cell r="AG118">
            <v>42736</v>
          </cell>
          <cell r="AH118" t="str">
            <v>po termíne</v>
          </cell>
          <cell r="AJ118" t="b">
            <v>1</v>
          </cell>
        </row>
        <row r="119">
          <cell r="A119" t="str">
            <v>310011B426</v>
          </cell>
          <cell r="B119" t="str">
            <v>1.4.2</v>
          </cell>
          <cell r="C119" t="str">
            <v>OPKZP-PO1-SC142-2015-4</v>
          </cell>
          <cell r="D119" t="str">
            <v>Štátny geologický ústav Dionýza Štúra</v>
          </cell>
          <cell r="E119" t="str">
            <v>Zabezpečenie monitorovania environmentálnych záťaží Slovenska – 1.časť</v>
          </cell>
          <cell r="F119">
            <v>42693</v>
          </cell>
          <cell r="G119" t="str">
            <v/>
          </cell>
          <cell r="H119">
            <v>44561</v>
          </cell>
          <cell r="I119">
            <v>42614</v>
          </cell>
          <cell r="J119">
            <v>44561</v>
          </cell>
          <cell r="K119">
            <v>42614</v>
          </cell>
          <cell r="L119">
            <v>44561</v>
          </cell>
          <cell r="M119">
            <v>0</v>
          </cell>
          <cell r="N119">
            <v>0</v>
          </cell>
          <cell r="O119">
            <v>64.010958904109586</v>
          </cell>
          <cell r="P119">
            <v>64.010958904109586</v>
          </cell>
          <cell r="Q119">
            <v>64.010958904109586</v>
          </cell>
          <cell r="R119" t="str">
            <v>nie</v>
          </cell>
          <cell r="S119">
            <v>0</v>
          </cell>
          <cell r="T119" t="str">
            <v>nie</v>
          </cell>
          <cell r="U119">
            <v>0</v>
          </cell>
          <cell r="V119">
            <v>42614</v>
          </cell>
          <cell r="W119">
            <v>44561</v>
          </cell>
          <cell r="X119">
            <v>42614</v>
          </cell>
          <cell r="Y119">
            <v>44561</v>
          </cell>
          <cell r="Z119">
            <v>64.010958904109586</v>
          </cell>
          <cell r="AA119">
            <v>64.010958904109586</v>
          </cell>
          <cell r="AB119">
            <v>64.010958904109586</v>
          </cell>
          <cell r="AC119" t="str">
            <v>nie</v>
          </cell>
          <cell r="AD119">
            <v>0</v>
          </cell>
          <cell r="AE119" t="str">
            <v>nie</v>
          </cell>
          <cell r="AF119">
            <v>0</v>
          </cell>
          <cell r="AG119">
            <v>42614</v>
          </cell>
          <cell r="AH119" t="str">
            <v>ok</v>
          </cell>
          <cell r="AJ119" t="b">
            <v>1</v>
          </cell>
        </row>
        <row r="120">
          <cell r="A120" t="str">
            <v>310011B429</v>
          </cell>
          <cell r="B120" t="str">
            <v>1.1.1</v>
          </cell>
          <cell r="C120" t="str">
            <v>OPKZP-PO1-SC111-2016-10</v>
          </cell>
          <cell r="D120" t="str">
            <v>Obec Boleráz</v>
          </cell>
          <cell r="E120" t="str">
            <v>Zberný dvor triedeného komunálneho odpadu v obci Boleráz</v>
          </cell>
          <cell r="F120">
            <v>42761</v>
          </cell>
          <cell r="G120" t="str">
            <v/>
          </cell>
          <cell r="H120">
            <v>43465</v>
          </cell>
          <cell r="I120">
            <v>42736</v>
          </cell>
          <cell r="J120">
            <v>43281</v>
          </cell>
          <cell r="K120">
            <v>43040</v>
          </cell>
          <cell r="L120">
            <v>43465</v>
          </cell>
          <cell r="M120">
            <v>0</v>
          </cell>
          <cell r="N120">
            <v>0</v>
          </cell>
          <cell r="O120">
            <v>17.917808219178081</v>
          </cell>
          <cell r="P120">
            <v>13.972602739726028</v>
          </cell>
          <cell r="Q120">
            <v>23.967123287671232</v>
          </cell>
          <cell r="R120" t="str">
            <v>áno</v>
          </cell>
          <cell r="S120">
            <v>9.9945205479452053</v>
          </cell>
          <cell r="T120" t="str">
            <v>áno</v>
          </cell>
          <cell r="U120">
            <v>6.0493150684931507</v>
          </cell>
          <cell r="V120">
            <v>42736</v>
          </cell>
          <cell r="W120">
            <v>43281</v>
          </cell>
          <cell r="X120">
            <v>42736</v>
          </cell>
          <cell r="Y120">
            <v>43465</v>
          </cell>
          <cell r="Z120">
            <v>17.917808219178081</v>
          </cell>
          <cell r="AA120">
            <v>23.967123287671232</v>
          </cell>
          <cell r="AB120">
            <v>23.967123287671232</v>
          </cell>
          <cell r="AC120" t="str">
            <v>nie</v>
          </cell>
          <cell r="AD120">
            <v>0</v>
          </cell>
          <cell r="AE120" t="str">
            <v>áno</v>
          </cell>
          <cell r="AF120">
            <v>6.0493150684931507</v>
          </cell>
          <cell r="AG120">
            <v>42736</v>
          </cell>
          <cell r="AH120" t="str">
            <v>ok</v>
          </cell>
          <cell r="AJ120" t="b">
            <v>1</v>
          </cell>
        </row>
        <row r="121">
          <cell r="A121" t="str">
            <v>310011B430</v>
          </cell>
          <cell r="B121" t="str">
            <v>1.1.1</v>
          </cell>
          <cell r="C121" t="str">
            <v>OPKZP-PO1-SC111-2016-10</v>
          </cell>
          <cell r="D121" t="str">
            <v>Mesto Liptovský Mikuláš</v>
          </cell>
          <cell r="E121" t="str">
            <v>Zber BRO pre kompostáreň v Liptovskom Mikuláši</v>
          </cell>
          <cell r="F121">
            <v>42748</v>
          </cell>
          <cell r="G121" t="str">
            <v/>
          </cell>
          <cell r="H121">
            <v>43343</v>
          </cell>
          <cell r="I121">
            <v>42795</v>
          </cell>
          <cell r="J121">
            <v>43343</v>
          </cell>
          <cell r="K121">
            <v>42979</v>
          </cell>
          <cell r="L121">
            <v>43343</v>
          </cell>
          <cell r="M121">
            <v>42979</v>
          </cell>
          <cell r="N121">
            <v>43343</v>
          </cell>
          <cell r="O121">
            <v>18.016438356164386</v>
          </cell>
          <cell r="P121">
            <v>11.967123287671233</v>
          </cell>
          <cell r="Q121">
            <v>18.016438356164386</v>
          </cell>
          <cell r="R121" t="str">
            <v>áno</v>
          </cell>
          <cell r="S121">
            <v>6.0493150684931507</v>
          </cell>
          <cell r="T121" t="str">
            <v>nie</v>
          </cell>
          <cell r="U121">
            <v>0</v>
          </cell>
          <cell r="V121">
            <v>42795</v>
          </cell>
          <cell r="W121">
            <v>43343</v>
          </cell>
          <cell r="X121">
            <v>42795</v>
          </cell>
          <cell r="Y121">
            <v>43343</v>
          </cell>
          <cell r="Z121">
            <v>18.016438356164386</v>
          </cell>
          <cell r="AA121">
            <v>18.016438356164386</v>
          </cell>
          <cell r="AB121">
            <v>18.016438356164386</v>
          </cell>
          <cell r="AC121" t="str">
            <v>nie</v>
          </cell>
          <cell r="AD121">
            <v>0</v>
          </cell>
          <cell r="AE121" t="str">
            <v>nie</v>
          </cell>
          <cell r="AF121">
            <v>0</v>
          </cell>
          <cell r="AG121">
            <v>42795</v>
          </cell>
          <cell r="AH121" t="str">
            <v>po termíne</v>
          </cell>
          <cell r="AJ121" t="b">
            <v>1</v>
          </cell>
        </row>
        <row r="122">
          <cell r="A122" t="str">
            <v>310011B431</v>
          </cell>
          <cell r="B122" t="str">
            <v>1.1.1</v>
          </cell>
          <cell r="C122" t="str">
            <v>OPKZP-PO1-SC111-2016-10</v>
          </cell>
          <cell r="D122" t="str">
            <v>Mesto Nováky</v>
          </cell>
          <cell r="E122" t="str">
            <v>Triedený zber a zhodnotenie BRO v meste Nováky</v>
          </cell>
          <cell r="F122">
            <v>42748</v>
          </cell>
          <cell r="G122" t="str">
            <v/>
          </cell>
          <cell r="H122">
            <v>43465</v>
          </cell>
          <cell r="I122">
            <v>42736</v>
          </cell>
          <cell r="J122">
            <v>43281</v>
          </cell>
          <cell r="K122">
            <v>42917</v>
          </cell>
          <cell r="L122">
            <v>43465</v>
          </cell>
          <cell r="M122">
            <v>0</v>
          </cell>
          <cell r="N122">
            <v>0</v>
          </cell>
          <cell r="O122">
            <v>17.917808219178081</v>
          </cell>
          <cell r="P122">
            <v>18.016438356164386</v>
          </cell>
          <cell r="Q122">
            <v>23.967123287671232</v>
          </cell>
          <cell r="R122" t="str">
            <v>áno</v>
          </cell>
          <cell r="S122">
            <v>5.9506849315068493</v>
          </cell>
          <cell r="T122" t="str">
            <v>áno</v>
          </cell>
          <cell r="U122">
            <v>6.0493150684931507</v>
          </cell>
          <cell r="V122">
            <v>42736</v>
          </cell>
          <cell r="W122">
            <v>43281</v>
          </cell>
          <cell r="X122">
            <v>42917</v>
          </cell>
          <cell r="Y122">
            <v>43465</v>
          </cell>
          <cell r="Z122">
            <v>17.917808219178081</v>
          </cell>
          <cell r="AA122">
            <v>18.016438356164386</v>
          </cell>
          <cell r="AB122">
            <v>23.967123287671232</v>
          </cell>
          <cell r="AC122" t="str">
            <v>áno</v>
          </cell>
          <cell r="AD122">
            <v>5.9506849315068493</v>
          </cell>
          <cell r="AE122" t="str">
            <v>áno</v>
          </cell>
          <cell r="AF122">
            <v>6.0493150684931507</v>
          </cell>
          <cell r="AG122">
            <v>42917</v>
          </cell>
          <cell r="AH122" t="str">
            <v>po termíne</v>
          </cell>
          <cell r="AJ122" t="b">
            <v>1</v>
          </cell>
        </row>
        <row r="123">
          <cell r="A123" t="str">
            <v>310011B433</v>
          </cell>
          <cell r="B123" t="str">
            <v>1.1.1</v>
          </cell>
          <cell r="C123" t="str">
            <v>OPKZP-PO1-SC111-2016-10</v>
          </cell>
          <cell r="D123" t="str">
            <v>Obec Bystričany</v>
          </cell>
          <cell r="E123" t="str">
            <v>Zhodnocovanie biologicky rozložiteľného komunálneho odpadu v obci Bystričany</v>
          </cell>
          <cell r="F123">
            <v>42755</v>
          </cell>
          <cell r="G123" t="str">
            <v/>
          </cell>
          <cell r="H123">
            <v>43100</v>
          </cell>
          <cell r="I123">
            <v>42736</v>
          </cell>
          <cell r="J123">
            <v>43100</v>
          </cell>
          <cell r="K123">
            <v>42736</v>
          </cell>
          <cell r="L123">
            <v>43100</v>
          </cell>
          <cell r="M123">
            <v>0</v>
          </cell>
          <cell r="N123">
            <v>0</v>
          </cell>
          <cell r="O123">
            <v>11.967123287671233</v>
          </cell>
          <cell r="P123">
            <v>11.967123287671233</v>
          </cell>
          <cell r="Q123">
            <v>11.967123287671233</v>
          </cell>
          <cell r="R123" t="str">
            <v>nie</v>
          </cell>
          <cell r="S123">
            <v>0</v>
          </cell>
          <cell r="T123" t="str">
            <v>nie</v>
          </cell>
          <cell r="U123">
            <v>0</v>
          </cell>
          <cell r="V123">
            <v>42736</v>
          </cell>
          <cell r="W123">
            <v>43100</v>
          </cell>
          <cell r="X123">
            <v>42736</v>
          </cell>
          <cell r="Y123">
            <v>43100</v>
          </cell>
          <cell r="Z123">
            <v>11.967123287671233</v>
          </cell>
          <cell r="AA123">
            <v>11.967123287671233</v>
          </cell>
          <cell r="AB123">
            <v>11.967123287671233</v>
          </cell>
          <cell r="AC123" t="str">
            <v>nie</v>
          </cell>
          <cell r="AD123">
            <v>0</v>
          </cell>
          <cell r="AE123" t="str">
            <v>nie</v>
          </cell>
          <cell r="AF123">
            <v>0</v>
          </cell>
          <cell r="AG123">
            <v>42736</v>
          </cell>
          <cell r="AH123" t="str">
            <v>ok</v>
          </cell>
          <cell r="AJ123" t="b">
            <v>1</v>
          </cell>
        </row>
        <row r="124">
          <cell r="A124" t="str">
            <v>310011B441</v>
          </cell>
          <cell r="B124" t="str">
            <v>1.1.1</v>
          </cell>
          <cell r="C124" t="str">
            <v>OPKZP-PO1-SC111-2016-10</v>
          </cell>
          <cell r="D124" t="str">
            <v>Obec Plevník-Drienové</v>
          </cell>
          <cell r="E124" t="str">
            <v>Intenzifikácia triedeného zberu v obci Plevník-Drienové</v>
          </cell>
          <cell r="F124">
            <v>42754</v>
          </cell>
          <cell r="G124" t="str">
            <v/>
          </cell>
          <cell r="H124">
            <v>43524</v>
          </cell>
          <cell r="I124">
            <v>42795</v>
          </cell>
          <cell r="J124">
            <v>43404</v>
          </cell>
          <cell r="K124">
            <v>42917</v>
          </cell>
          <cell r="L124">
            <v>43524</v>
          </cell>
          <cell r="M124">
            <v>0</v>
          </cell>
          <cell r="N124">
            <v>0</v>
          </cell>
          <cell r="O124">
            <v>20.021917808219179</v>
          </cell>
          <cell r="P124">
            <v>19.956164383561642</v>
          </cell>
          <cell r="Q124">
            <v>23.967123287671232</v>
          </cell>
          <cell r="R124" t="str">
            <v>áno</v>
          </cell>
          <cell r="S124">
            <v>4.0109589041095894</v>
          </cell>
          <cell r="T124" t="str">
            <v>áno</v>
          </cell>
          <cell r="U124">
            <v>3.9452054794520546</v>
          </cell>
          <cell r="V124">
            <v>42795</v>
          </cell>
          <cell r="W124">
            <v>43404</v>
          </cell>
          <cell r="X124">
            <v>42795</v>
          </cell>
          <cell r="Y124">
            <v>43404</v>
          </cell>
          <cell r="Z124">
            <v>20.021917808219179</v>
          </cell>
          <cell r="AA124">
            <v>20.021917808219179</v>
          </cell>
          <cell r="AB124">
            <v>20.021917808219179</v>
          </cell>
          <cell r="AC124" t="str">
            <v>nie</v>
          </cell>
          <cell r="AD124">
            <v>0</v>
          </cell>
          <cell r="AE124" t="str">
            <v>nie</v>
          </cell>
          <cell r="AF124">
            <v>0</v>
          </cell>
          <cell r="AG124">
            <v>42795</v>
          </cell>
          <cell r="AH124" t="str">
            <v>ok</v>
          </cell>
          <cell r="AJ124" t="b">
            <v>0</v>
          </cell>
        </row>
        <row r="125">
          <cell r="A125" t="str">
            <v>310011B443</v>
          </cell>
          <cell r="B125" t="str">
            <v>1.1.1</v>
          </cell>
          <cell r="C125" t="str">
            <v>OPKZP-PO1-SC111-2016-10</v>
          </cell>
          <cell r="D125" t="str">
            <v>Obec Vlčkovce</v>
          </cell>
          <cell r="E125" t="str">
            <v>Zberný dvor Vlčkovce</v>
          </cell>
          <cell r="F125">
            <v>42748</v>
          </cell>
          <cell r="G125" t="str">
            <v/>
          </cell>
          <cell r="H125">
            <v>43251</v>
          </cell>
          <cell r="I125">
            <v>42491</v>
          </cell>
          <cell r="J125">
            <v>43131</v>
          </cell>
          <cell r="K125">
            <v>42491</v>
          </cell>
          <cell r="L125">
            <v>43251</v>
          </cell>
          <cell r="M125">
            <v>0</v>
          </cell>
          <cell r="N125">
            <v>0</v>
          </cell>
          <cell r="O125">
            <v>21.041095890410958</v>
          </cell>
          <cell r="P125">
            <v>24.986301369863014</v>
          </cell>
          <cell r="Q125">
            <v>24.986301369863014</v>
          </cell>
          <cell r="R125" t="str">
            <v>nie</v>
          </cell>
          <cell r="S125">
            <v>0</v>
          </cell>
          <cell r="T125" t="str">
            <v>áno</v>
          </cell>
          <cell r="U125">
            <v>3.9452054794520546</v>
          </cell>
          <cell r="V125">
            <v>42491</v>
          </cell>
          <cell r="W125">
            <v>43131</v>
          </cell>
          <cell r="X125">
            <v>42491</v>
          </cell>
          <cell r="Y125">
            <v>43251</v>
          </cell>
          <cell r="Z125">
            <v>21.041095890410958</v>
          </cell>
          <cell r="AA125">
            <v>24.986301369863014</v>
          </cell>
          <cell r="AB125">
            <v>24.986301369863014</v>
          </cell>
          <cell r="AC125" t="str">
            <v>nie</v>
          </cell>
          <cell r="AD125">
            <v>0</v>
          </cell>
          <cell r="AE125" t="str">
            <v>áno</v>
          </cell>
          <cell r="AF125">
            <v>3.9452054794520546</v>
          </cell>
          <cell r="AG125">
            <v>42491</v>
          </cell>
          <cell r="AH125" t="str">
            <v>ok</v>
          </cell>
          <cell r="AJ125" t="b">
            <v>1</v>
          </cell>
        </row>
        <row r="126">
          <cell r="A126" t="str">
            <v>310011B444</v>
          </cell>
          <cell r="B126" t="str">
            <v>1.1.1</v>
          </cell>
          <cell r="C126" t="str">
            <v>OPKZP-PO1-SC111-2016-10</v>
          </cell>
          <cell r="D126" t="str">
            <v>Obec Vozokany</v>
          </cell>
          <cell r="E126" t="str">
            <v>Zberný dvor v obci Vozokany</v>
          </cell>
          <cell r="F126">
            <v>42746</v>
          </cell>
          <cell r="G126" t="str">
            <v/>
          </cell>
          <cell r="H126">
            <v>43131</v>
          </cell>
          <cell r="I126">
            <v>42491</v>
          </cell>
          <cell r="J126">
            <v>43131</v>
          </cell>
          <cell r="K126">
            <v>42491</v>
          </cell>
          <cell r="L126">
            <v>43131</v>
          </cell>
          <cell r="M126" t="str">
            <v>n/a</v>
          </cell>
          <cell r="N126">
            <v>0</v>
          </cell>
          <cell r="O126">
            <v>21.041095890410958</v>
          </cell>
          <cell r="P126">
            <v>21.041095890410958</v>
          </cell>
          <cell r="Q126">
            <v>21.041095890410958</v>
          </cell>
          <cell r="R126" t="str">
            <v>nie</v>
          </cell>
          <cell r="S126">
            <v>0</v>
          </cell>
          <cell r="T126" t="str">
            <v>nie</v>
          </cell>
          <cell r="U126">
            <v>0</v>
          </cell>
          <cell r="V126">
            <v>42491</v>
          </cell>
          <cell r="W126">
            <v>43131</v>
          </cell>
          <cell r="X126">
            <v>42491</v>
          </cell>
          <cell r="Y126">
            <v>43131</v>
          </cell>
          <cell r="Z126">
            <v>21.041095890410958</v>
          </cell>
          <cell r="AA126">
            <v>21.041095890410958</v>
          </cell>
          <cell r="AB126">
            <v>21.041095890410958</v>
          </cell>
          <cell r="AC126" t="str">
            <v>nie</v>
          </cell>
          <cell r="AD126">
            <v>0</v>
          </cell>
          <cell r="AE126" t="str">
            <v>nie</v>
          </cell>
          <cell r="AF126">
            <v>0</v>
          </cell>
          <cell r="AG126">
            <v>42491</v>
          </cell>
          <cell r="AH126" t="str">
            <v>ok</v>
          </cell>
          <cell r="AJ126" t="b">
            <v>1</v>
          </cell>
        </row>
        <row r="127">
          <cell r="A127" t="str">
            <v>310011B447</v>
          </cell>
          <cell r="B127" t="str">
            <v>1.1.1</v>
          </cell>
          <cell r="C127" t="str">
            <v>OPKZP-PO1-SC111-2016-10</v>
          </cell>
          <cell r="D127" t="str">
            <v>Obec Unín</v>
          </cell>
          <cell r="E127" t="str">
            <v>Navýšenie technickej kapacity pre triedený zber Komunálnych odpadov v obci Unín</v>
          </cell>
          <cell r="F127">
            <v>42753</v>
          </cell>
          <cell r="G127" t="str">
            <v/>
          </cell>
          <cell r="H127">
            <v>43100</v>
          </cell>
          <cell r="I127">
            <v>42736</v>
          </cell>
          <cell r="J127">
            <v>43100</v>
          </cell>
          <cell r="K127">
            <v>42736</v>
          </cell>
          <cell r="L127">
            <v>43100</v>
          </cell>
          <cell r="M127">
            <v>0</v>
          </cell>
          <cell r="N127">
            <v>0</v>
          </cell>
          <cell r="O127">
            <v>11.967123287671233</v>
          </cell>
          <cell r="P127">
            <v>11.967123287671233</v>
          </cell>
          <cell r="Q127">
            <v>11.967123287671233</v>
          </cell>
          <cell r="R127" t="str">
            <v>nie</v>
          </cell>
          <cell r="S127">
            <v>0</v>
          </cell>
          <cell r="T127" t="str">
            <v>nie</v>
          </cell>
          <cell r="U127">
            <v>0</v>
          </cell>
          <cell r="V127" t="str">
            <v>-</v>
          </cell>
          <cell r="W127" t="str">
            <v>-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e">
            <v>#VALUE!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  <cell r="AG127">
            <v>42736</v>
          </cell>
          <cell r="AH127" t="str">
            <v>ok</v>
          </cell>
          <cell r="AJ127" t="b">
            <v>0</v>
          </cell>
        </row>
        <row r="128">
          <cell r="A128" t="str">
            <v>310011B448</v>
          </cell>
          <cell r="B128" t="str">
            <v>1.1.1</v>
          </cell>
          <cell r="C128" t="str">
            <v>OPKZP-PO1-SC111-2016-10</v>
          </cell>
          <cell r="D128" t="str">
            <v>Obec Svätý Kríž</v>
          </cell>
          <cell r="E128" t="str">
            <v>Zberný dvor v obci Svätý Kríž</v>
          </cell>
          <cell r="F128">
            <v>42769</v>
          </cell>
          <cell r="G128" t="str">
            <v/>
          </cell>
          <cell r="H128">
            <v>43159</v>
          </cell>
          <cell r="I128">
            <v>42795</v>
          </cell>
          <cell r="J128">
            <v>43159</v>
          </cell>
          <cell r="K128">
            <v>42795</v>
          </cell>
          <cell r="L128">
            <v>43159</v>
          </cell>
          <cell r="M128" t="str">
            <v>n/a</v>
          </cell>
          <cell r="N128" t="str">
            <v>n/a</v>
          </cell>
          <cell r="O128">
            <v>11.967123287671233</v>
          </cell>
          <cell r="P128">
            <v>11.967123287671233</v>
          </cell>
          <cell r="Q128">
            <v>11.967123287671233</v>
          </cell>
          <cell r="R128" t="str">
            <v>nie</v>
          </cell>
          <cell r="S128">
            <v>0</v>
          </cell>
          <cell r="T128" t="str">
            <v>nie</v>
          </cell>
          <cell r="U128">
            <v>0</v>
          </cell>
          <cell r="V128">
            <v>42795</v>
          </cell>
          <cell r="W128">
            <v>43159</v>
          </cell>
          <cell r="X128">
            <v>42795</v>
          </cell>
          <cell r="Y128">
            <v>43159</v>
          </cell>
          <cell r="Z128">
            <v>11.967123287671233</v>
          </cell>
          <cell r="AA128">
            <v>11.967123287671233</v>
          </cell>
          <cell r="AB128">
            <v>11.967123287671233</v>
          </cell>
          <cell r="AC128" t="str">
            <v>nie</v>
          </cell>
          <cell r="AD128">
            <v>0</v>
          </cell>
          <cell r="AE128" t="str">
            <v>nie</v>
          </cell>
          <cell r="AF128">
            <v>0</v>
          </cell>
          <cell r="AG128">
            <v>42795</v>
          </cell>
          <cell r="AH128" t="str">
            <v>ok</v>
          </cell>
          <cell r="AJ128" t="b">
            <v>1</v>
          </cell>
        </row>
        <row r="129">
          <cell r="A129" t="str">
            <v>310011B449</v>
          </cell>
          <cell r="B129" t="str">
            <v>1.1.1</v>
          </cell>
          <cell r="C129" t="str">
            <v>OPKZP-PO1-SC111-2016-10</v>
          </cell>
          <cell r="D129" t="str">
            <v>obec Brvnište</v>
          </cell>
          <cell r="E129" t="str">
            <v>Zberný dvor v obci Brvnište</v>
          </cell>
          <cell r="F129">
            <v>42741</v>
          </cell>
          <cell r="G129" t="str">
            <v/>
          </cell>
          <cell r="H129">
            <v>43131</v>
          </cell>
          <cell r="I129">
            <v>42795</v>
          </cell>
          <cell r="J129">
            <v>43131</v>
          </cell>
          <cell r="K129">
            <v>42795</v>
          </cell>
          <cell r="L129">
            <v>43131</v>
          </cell>
          <cell r="M129">
            <v>0</v>
          </cell>
          <cell r="N129">
            <v>0</v>
          </cell>
          <cell r="O129">
            <v>11.046575342465754</v>
          </cell>
          <cell r="P129">
            <v>11.046575342465754</v>
          </cell>
          <cell r="Q129">
            <v>11.046575342465754</v>
          </cell>
          <cell r="R129" t="str">
            <v>nie</v>
          </cell>
          <cell r="S129">
            <v>0</v>
          </cell>
          <cell r="T129" t="str">
            <v>nie</v>
          </cell>
          <cell r="U129">
            <v>0</v>
          </cell>
          <cell r="V129">
            <v>42795</v>
          </cell>
          <cell r="W129">
            <v>43131</v>
          </cell>
          <cell r="X129">
            <v>42795</v>
          </cell>
          <cell r="Y129">
            <v>43131</v>
          </cell>
          <cell r="Z129">
            <v>11.046575342465754</v>
          </cell>
          <cell r="AA129">
            <v>11.046575342465754</v>
          </cell>
          <cell r="AB129">
            <v>11.046575342465754</v>
          </cell>
          <cell r="AC129" t="str">
            <v>nie</v>
          </cell>
          <cell r="AD129">
            <v>0</v>
          </cell>
          <cell r="AE129" t="str">
            <v>nie</v>
          </cell>
          <cell r="AF129">
            <v>0</v>
          </cell>
          <cell r="AG129">
            <v>42795</v>
          </cell>
          <cell r="AH129" t="str">
            <v>ok</v>
          </cell>
          <cell r="AJ129" t="b">
            <v>1</v>
          </cell>
        </row>
        <row r="130">
          <cell r="A130" t="str">
            <v>310011B450</v>
          </cell>
          <cell r="B130" t="str">
            <v>1.1.1</v>
          </cell>
          <cell r="C130" t="str">
            <v>OPKZP-PO1-SC111-2016-10</v>
          </cell>
          <cell r="D130" t="str">
            <v>Obec Medzibrodie nad Oravou</v>
          </cell>
          <cell r="E130" t="str">
            <v>Zberný dvor obce Medzibrodie nad Oravou</v>
          </cell>
          <cell r="F130">
            <v>42746</v>
          </cell>
          <cell r="G130" t="str">
            <v/>
          </cell>
          <cell r="H130">
            <v>43159</v>
          </cell>
          <cell r="I130">
            <v>42795</v>
          </cell>
          <cell r="J130">
            <v>43159</v>
          </cell>
          <cell r="K130">
            <v>42795</v>
          </cell>
          <cell r="L130">
            <v>43159</v>
          </cell>
          <cell r="M130">
            <v>0</v>
          </cell>
          <cell r="N130">
            <v>0</v>
          </cell>
          <cell r="O130">
            <v>11.967123287671233</v>
          </cell>
          <cell r="P130">
            <v>11.967123287671233</v>
          </cell>
          <cell r="Q130">
            <v>11.967123287671233</v>
          </cell>
          <cell r="R130" t="str">
            <v>nie</v>
          </cell>
          <cell r="S130">
            <v>0</v>
          </cell>
          <cell r="T130" t="str">
            <v>nie</v>
          </cell>
          <cell r="U130">
            <v>0</v>
          </cell>
          <cell r="V130">
            <v>42795</v>
          </cell>
          <cell r="W130">
            <v>43159</v>
          </cell>
          <cell r="X130">
            <v>42795</v>
          </cell>
          <cell r="Y130">
            <v>43159</v>
          </cell>
          <cell r="Z130">
            <v>11.967123287671233</v>
          </cell>
          <cell r="AA130">
            <v>11.967123287671233</v>
          </cell>
          <cell r="AB130">
            <v>11.967123287671233</v>
          </cell>
          <cell r="AC130" t="str">
            <v>nie</v>
          </cell>
          <cell r="AD130">
            <v>0</v>
          </cell>
          <cell r="AE130" t="str">
            <v>nie</v>
          </cell>
          <cell r="AF130">
            <v>0</v>
          </cell>
          <cell r="AG130">
            <v>42795</v>
          </cell>
          <cell r="AH130" t="str">
            <v>ok</v>
          </cell>
          <cell r="AJ130" t="b">
            <v>1</v>
          </cell>
        </row>
        <row r="131">
          <cell r="A131" t="str">
            <v>310011B451</v>
          </cell>
          <cell r="B131" t="str">
            <v>1.1.1</v>
          </cell>
          <cell r="C131" t="str">
            <v>OPKZP-PO1-SC111-2016-10</v>
          </cell>
          <cell r="D131" t="str">
            <v>Obec Nesluša</v>
          </cell>
          <cell r="E131" t="str">
            <v>Novostavba zberného dvora v obci Nesluša parcela č. 3221/1</v>
          </cell>
          <cell r="F131">
            <v>42748</v>
          </cell>
          <cell r="G131" t="str">
            <v/>
          </cell>
          <cell r="H131">
            <v>43465</v>
          </cell>
          <cell r="I131">
            <v>42461</v>
          </cell>
          <cell r="J131">
            <v>43039</v>
          </cell>
          <cell r="K131">
            <v>42461</v>
          </cell>
          <cell r="L131">
            <v>43465</v>
          </cell>
          <cell r="M131" t="str">
            <v>n/a</v>
          </cell>
          <cell r="N131">
            <v>43465</v>
          </cell>
          <cell r="O131">
            <v>19.002739726027396</v>
          </cell>
          <cell r="P131">
            <v>33.008219178082186</v>
          </cell>
          <cell r="Q131">
            <v>33.008219178082186</v>
          </cell>
          <cell r="R131" t="str">
            <v>nie</v>
          </cell>
          <cell r="S131">
            <v>0</v>
          </cell>
          <cell r="T131" t="str">
            <v>áno</v>
          </cell>
          <cell r="U131">
            <v>14.005479452054796</v>
          </cell>
          <cell r="V131">
            <v>42644</v>
          </cell>
          <cell r="W131">
            <v>43039</v>
          </cell>
          <cell r="X131">
            <v>42644</v>
          </cell>
          <cell r="Y131">
            <v>43465</v>
          </cell>
          <cell r="Z131">
            <v>12.986301369863014</v>
          </cell>
          <cell r="AA131">
            <v>26.991780821917811</v>
          </cell>
          <cell r="AB131">
            <v>26.991780821917811</v>
          </cell>
          <cell r="AC131" t="str">
            <v>nie</v>
          </cell>
          <cell r="AD131">
            <v>0</v>
          </cell>
          <cell r="AE131" t="str">
            <v>áno</v>
          </cell>
          <cell r="AF131">
            <v>14.005479452054796</v>
          </cell>
          <cell r="AG131">
            <v>42644</v>
          </cell>
          <cell r="AH131" t="str">
            <v>ok</v>
          </cell>
          <cell r="AJ131" t="b">
            <v>1</v>
          </cell>
        </row>
        <row r="132">
          <cell r="A132" t="str">
            <v>310011B452</v>
          </cell>
          <cell r="B132" t="str">
            <v>1.1.1</v>
          </cell>
          <cell r="C132" t="str">
            <v>OPKZP-PO1-SC111-2016-10</v>
          </cell>
          <cell r="D132" t="str">
            <v>Združenie obcí pre likvidáciu odpadu Poltár</v>
          </cell>
          <cell r="E132" t="str">
            <v>Technológia zhodnotenia komunálneho odpadu výrobou TAP a BRO</v>
          </cell>
          <cell r="F132">
            <v>42741</v>
          </cell>
          <cell r="G132" t="str">
            <v/>
          </cell>
          <cell r="H132">
            <v>43159</v>
          </cell>
          <cell r="I132">
            <v>42767</v>
          </cell>
          <cell r="J132">
            <v>43039</v>
          </cell>
          <cell r="K132">
            <v>42887</v>
          </cell>
          <cell r="L132">
            <v>43159</v>
          </cell>
          <cell r="M132">
            <v>42887</v>
          </cell>
          <cell r="N132">
            <v>43159</v>
          </cell>
          <cell r="O132">
            <v>8.9424657534246581</v>
          </cell>
          <cell r="P132">
            <v>8.9424657534246581</v>
          </cell>
          <cell r="Q132">
            <v>12.887671232876713</v>
          </cell>
          <cell r="R132" t="str">
            <v>áno</v>
          </cell>
          <cell r="S132">
            <v>3.9452054794520546</v>
          </cell>
          <cell r="T132" t="str">
            <v>áno</v>
          </cell>
          <cell r="U132">
            <v>3.9452054794520546</v>
          </cell>
          <cell r="V132" t="str">
            <v>-</v>
          </cell>
          <cell r="W132" t="str">
            <v>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e">
            <v>#VALUE!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42887</v>
          </cell>
          <cell r="AH132" t="str">
            <v>ok</v>
          </cell>
          <cell r="AJ132" t="b">
            <v>0</v>
          </cell>
        </row>
        <row r="133">
          <cell r="A133" t="str">
            <v>310011B454</v>
          </cell>
          <cell r="B133" t="str">
            <v>1.1.1</v>
          </cell>
          <cell r="C133" t="str">
            <v>OPKZP-PO1-SC111-2016-10</v>
          </cell>
          <cell r="D133" t="str">
            <v>Obec Spišský Štiavnik</v>
          </cell>
          <cell r="E133" t="str">
            <v>Zlepšenie nakladania s odpadmi v obci Spišský Štiavnik</v>
          </cell>
          <cell r="F133">
            <v>42740</v>
          </cell>
          <cell r="G133">
            <v>43085</v>
          </cell>
          <cell r="H133">
            <v>43069</v>
          </cell>
          <cell r="I133">
            <v>42736</v>
          </cell>
          <cell r="J133">
            <v>42916</v>
          </cell>
          <cell r="K133">
            <v>42736</v>
          </cell>
          <cell r="L133">
            <v>43069</v>
          </cell>
          <cell r="M133" t="str">
            <v>n/a</v>
          </cell>
          <cell r="N133">
            <v>43069</v>
          </cell>
          <cell r="O133">
            <v>5.9178082191780819</v>
          </cell>
          <cell r="P133">
            <v>10.947945205479453</v>
          </cell>
          <cell r="Q133">
            <v>10.947945205479453</v>
          </cell>
          <cell r="R133" t="str">
            <v>nie</v>
          </cell>
          <cell r="S133">
            <v>0</v>
          </cell>
          <cell r="T133" t="str">
            <v>áno</v>
          </cell>
          <cell r="U133">
            <v>5.0301369863013701</v>
          </cell>
          <cell r="V133">
            <v>42736</v>
          </cell>
          <cell r="W133">
            <v>42916</v>
          </cell>
          <cell r="X133">
            <v>42736</v>
          </cell>
          <cell r="Y133">
            <v>43069</v>
          </cell>
          <cell r="Z133">
            <v>5.9178082191780819</v>
          </cell>
          <cell r="AA133">
            <v>10.947945205479453</v>
          </cell>
          <cell r="AB133">
            <v>10.947945205479453</v>
          </cell>
          <cell r="AC133" t="str">
            <v>nie</v>
          </cell>
          <cell r="AD133">
            <v>0</v>
          </cell>
          <cell r="AE133" t="str">
            <v>áno</v>
          </cell>
          <cell r="AF133">
            <v>5.0301369863013701</v>
          </cell>
          <cell r="AG133">
            <v>42736</v>
          </cell>
          <cell r="AH133" t="str">
            <v>ok</v>
          </cell>
          <cell r="AJ133" t="b">
            <v>1</v>
          </cell>
        </row>
        <row r="134">
          <cell r="A134" t="str">
            <v>310011B455</v>
          </cell>
          <cell r="B134" t="str">
            <v>1.1.1</v>
          </cell>
          <cell r="C134" t="str">
            <v>OPKZP-PO1-SC111-2016-10</v>
          </cell>
          <cell r="D134" t="str">
            <v>Obec Mostová</v>
          </cell>
          <cell r="E134" t="str">
            <v>Zberný dvor Mostová</v>
          </cell>
          <cell r="F134">
            <v>42741</v>
          </cell>
          <cell r="G134" t="str">
            <v/>
          </cell>
          <cell r="H134">
            <v>43281</v>
          </cell>
          <cell r="I134">
            <v>42736</v>
          </cell>
          <cell r="J134">
            <v>43281</v>
          </cell>
          <cell r="K134">
            <v>42826</v>
          </cell>
          <cell r="L134">
            <v>43281</v>
          </cell>
          <cell r="M134">
            <v>0</v>
          </cell>
          <cell r="N134">
            <v>0</v>
          </cell>
          <cell r="O134">
            <v>17.917808219178081</v>
          </cell>
          <cell r="P134">
            <v>14.958904109589042</v>
          </cell>
          <cell r="Q134">
            <v>17.917808219178081</v>
          </cell>
          <cell r="R134" t="str">
            <v>áno</v>
          </cell>
          <cell r="S134">
            <v>2.9589041095890409</v>
          </cell>
          <cell r="T134" t="str">
            <v>nie</v>
          </cell>
          <cell r="U134">
            <v>0</v>
          </cell>
          <cell r="V134">
            <v>42736</v>
          </cell>
          <cell r="W134">
            <v>43281</v>
          </cell>
          <cell r="X134">
            <v>42736</v>
          </cell>
          <cell r="Y134">
            <v>43281</v>
          </cell>
          <cell r="Z134">
            <v>17.917808219178081</v>
          </cell>
          <cell r="AA134">
            <v>17.917808219178081</v>
          </cell>
          <cell r="AB134">
            <v>17.917808219178081</v>
          </cell>
          <cell r="AC134" t="str">
            <v>nie</v>
          </cell>
          <cell r="AD134">
            <v>0</v>
          </cell>
          <cell r="AE134" t="str">
            <v>nie</v>
          </cell>
          <cell r="AF134">
            <v>0</v>
          </cell>
          <cell r="AG134">
            <v>42736</v>
          </cell>
          <cell r="AH134" t="str">
            <v>po termíne</v>
          </cell>
          <cell r="AJ134" t="b">
            <v>1</v>
          </cell>
        </row>
        <row r="135">
          <cell r="A135" t="str">
            <v>310011B457</v>
          </cell>
          <cell r="B135" t="str">
            <v>1.1.1</v>
          </cell>
          <cell r="C135" t="str">
            <v>OPKZP-PO1-SC111-2016-10</v>
          </cell>
          <cell r="D135" t="str">
            <v>Obec Orechová Potôň</v>
          </cell>
          <cell r="E135" t="str">
            <v>Zberný dvor Orechová Potôň</v>
          </cell>
          <cell r="F135">
            <v>42727</v>
          </cell>
          <cell r="G135" t="str">
            <v/>
          </cell>
          <cell r="H135">
            <v>43100</v>
          </cell>
          <cell r="I135">
            <v>42461</v>
          </cell>
          <cell r="J135">
            <v>42735</v>
          </cell>
          <cell r="K135">
            <v>42461</v>
          </cell>
          <cell r="L135">
            <v>43100</v>
          </cell>
          <cell r="M135">
            <v>42461</v>
          </cell>
          <cell r="N135">
            <v>43100</v>
          </cell>
          <cell r="O135">
            <v>9.008219178082193</v>
          </cell>
          <cell r="P135">
            <v>21.008219178082193</v>
          </cell>
          <cell r="Q135">
            <v>21.008219178082193</v>
          </cell>
          <cell r="R135" t="str">
            <v>nie</v>
          </cell>
          <cell r="S135">
            <v>0</v>
          </cell>
          <cell r="T135" t="str">
            <v>áno</v>
          </cell>
          <cell r="U135">
            <v>12</v>
          </cell>
          <cell r="V135">
            <v>42552</v>
          </cell>
          <cell r="W135">
            <v>42735</v>
          </cell>
          <cell r="X135">
            <v>42552</v>
          </cell>
          <cell r="Y135">
            <v>43100</v>
          </cell>
          <cell r="Z135">
            <v>6.0164383561643842</v>
          </cell>
          <cell r="AA135">
            <v>18.016438356164386</v>
          </cell>
          <cell r="AB135">
            <v>18.016438356164386</v>
          </cell>
          <cell r="AC135" t="str">
            <v>nie</v>
          </cell>
          <cell r="AD135">
            <v>0</v>
          </cell>
          <cell r="AE135" t="str">
            <v>áno</v>
          </cell>
          <cell r="AF135">
            <v>12</v>
          </cell>
          <cell r="AG135">
            <v>42552</v>
          </cell>
          <cell r="AH135" t="str">
            <v>ok</v>
          </cell>
          <cell r="AJ135" t="b">
            <v>1</v>
          </cell>
        </row>
        <row r="136">
          <cell r="A136" t="str">
            <v>310011B462</v>
          </cell>
          <cell r="B136" t="str">
            <v>1.1.1</v>
          </cell>
          <cell r="C136" t="str">
            <v>OPKZP-PO1-SC111-2016-10</v>
          </cell>
          <cell r="D136" t="str">
            <v>Obec Močenok</v>
          </cell>
          <cell r="E136" t="str">
            <v>Technologické vybavenie zberného dvora v obci Močenok</v>
          </cell>
          <cell r="F136">
            <v>42761</v>
          </cell>
          <cell r="G136" t="str">
            <v/>
          </cell>
          <cell r="H136">
            <v>42947</v>
          </cell>
          <cell r="I136">
            <v>42736</v>
          </cell>
          <cell r="J136">
            <v>42855</v>
          </cell>
          <cell r="K136">
            <v>42826</v>
          </cell>
          <cell r="L136">
            <v>42947</v>
          </cell>
          <cell r="M136">
            <v>0</v>
          </cell>
          <cell r="N136">
            <v>0</v>
          </cell>
          <cell r="O136">
            <v>3.9123287671232876</v>
          </cell>
          <cell r="P136">
            <v>3.978082191780822</v>
          </cell>
          <cell r="Q136">
            <v>6.9369863013698625</v>
          </cell>
          <cell r="R136" t="str">
            <v>áno</v>
          </cell>
          <cell r="S136">
            <v>2.9589041095890409</v>
          </cell>
          <cell r="T136" t="str">
            <v>áno</v>
          </cell>
          <cell r="U136">
            <v>3.0246575342465754</v>
          </cell>
          <cell r="V136">
            <v>42705</v>
          </cell>
          <cell r="W136">
            <v>42947</v>
          </cell>
          <cell r="X136">
            <v>42705</v>
          </cell>
          <cell r="Y136">
            <v>42947</v>
          </cell>
          <cell r="Z136">
            <v>7.956164383561644</v>
          </cell>
          <cell r="AA136">
            <v>7.956164383561644</v>
          </cell>
          <cell r="AB136">
            <v>7.956164383561644</v>
          </cell>
          <cell r="AC136" t="str">
            <v>nie</v>
          </cell>
          <cell r="AD136">
            <v>0</v>
          </cell>
          <cell r="AE136" t="str">
            <v>nie</v>
          </cell>
          <cell r="AF136">
            <v>0</v>
          </cell>
          <cell r="AG136">
            <v>42705</v>
          </cell>
          <cell r="AH136" t="str">
            <v>ok</v>
          </cell>
          <cell r="AJ136" t="b">
            <v>1</v>
          </cell>
        </row>
        <row r="137">
          <cell r="A137" t="str">
            <v>310011B466</v>
          </cell>
          <cell r="B137" t="str">
            <v>1.1.1</v>
          </cell>
          <cell r="C137" t="str">
            <v>OPKZP-PO1-SC111-2016-10</v>
          </cell>
          <cell r="D137" t="str">
            <v>Obec Lendak</v>
          </cell>
          <cell r="E137" t="str">
            <v>Zabezpečenie triedeného zberu komunálnych odpadov v Lendaku</v>
          </cell>
          <cell r="F137">
            <v>42761</v>
          </cell>
          <cell r="G137" t="str">
            <v/>
          </cell>
          <cell r="H137">
            <v>43373</v>
          </cell>
          <cell r="I137">
            <v>42795</v>
          </cell>
          <cell r="J137">
            <v>42978</v>
          </cell>
          <cell r="K137">
            <v>42795</v>
          </cell>
          <cell r="L137">
            <v>43373</v>
          </cell>
          <cell r="M137" t="str">
            <v>n/a</v>
          </cell>
          <cell r="N137">
            <v>43373</v>
          </cell>
          <cell r="O137">
            <v>6.0164383561643842</v>
          </cell>
          <cell r="P137">
            <v>19.002739726027396</v>
          </cell>
          <cell r="Q137">
            <v>19.002739726027396</v>
          </cell>
          <cell r="R137" t="str">
            <v>nie</v>
          </cell>
          <cell r="S137">
            <v>0</v>
          </cell>
          <cell r="T137" t="str">
            <v>áno</v>
          </cell>
          <cell r="U137">
            <v>12.986301369863014</v>
          </cell>
          <cell r="V137">
            <v>42795</v>
          </cell>
          <cell r="W137">
            <v>42978</v>
          </cell>
          <cell r="X137">
            <v>42795</v>
          </cell>
          <cell r="Y137">
            <v>43373</v>
          </cell>
          <cell r="Z137">
            <v>6.0164383561643842</v>
          </cell>
          <cell r="AA137">
            <v>19.002739726027396</v>
          </cell>
          <cell r="AB137">
            <v>19.002739726027396</v>
          </cell>
          <cell r="AC137" t="str">
            <v>nie</v>
          </cell>
          <cell r="AD137">
            <v>0</v>
          </cell>
          <cell r="AE137" t="str">
            <v>áno</v>
          </cell>
          <cell r="AF137">
            <v>12.986301369863014</v>
          </cell>
          <cell r="AG137">
            <v>42795</v>
          </cell>
          <cell r="AH137" t="str">
            <v>ok</v>
          </cell>
          <cell r="AJ137" t="b">
            <v>1</v>
          </cell>
        </row>
        <row r="138">
          <cell r="A138" t="str">
            <v>310011B467</v>
          </cell>
          <cell r="B138" t="str">
            <v>1.1.1</v>
          </cell>
          <cell r="C138" t="str">
            <v>OPKZP-PO1-SC111-2016-10</v>
          </cell>
          <cell r="D138" t="str">
            <v>Obec Prašník</v>
          </cell>
          <cell r="E138" t="str">
            <v>Zefektívnenie separovaného zberu komunálneho odpadu v obci Prašník</v>
          </cell>
          <cell r="F138">
            <v>42741</v>
          </cell>
          <cell r="G138" t="str">
            <v/>
          </cell>
          <cell r="H138">
            <v>43343</v>
          </cell>
          <cell r="I138">
            <v>42795</v>
          </cell>
          <cell r="J138">
            <v>43159</v>
          </cell>
          <cell r="K138">
            <v>42979</v>
          </cell>
          <cell r="L138">
            <v>43343</v>
          </cell>
          <cell r="M138">
            <v>0</v>
          </cell>
          <cell r="N138">
            <v>0</v>
          </cell>
          <cell r="O138">
            <v>11.967123287671233</v>
          </cell>
          <cell r="P138">
            <v>11.967123287671233</v>
          </cell>
          <cell r="Q138">
            <v>18.016438356164386</v>
          </cell>
          <cell r="R138" t="str">
            <v>áno</v>
          </cell>
          <cell r="S138">
            <v>6.0493150684931507</v>
          </cell>
          <cell r="T138" t="str">
            <v>áno</v>
          </cell>
          <cell r="U138">
            <v>6.0493150684931507</v>
          </cell>
          <cell r="V138">
            <v>42795</v>
          </cell>
          <cell r="W138">
            <v>43159</v>
          </cell>
          <cell r="X138">
            <v>42979</v>
          </cell>
          <cell r="Y138">
            <v>43343</v>
          </cell>
          <cell r="Z138">
            <v>11.967123287671233</v>
          </cell>
          <cell r="AA138">
            <v>11.967123287671233</v>
          </cell>
          <cell r="AB138">
            <v>18.016438356164386</v>
          </cell>
          <cell r="AC138" t="str">
            <v>áno</v>
          </cell>
          <cell r="AD138">
            <v>6.0493150684931507</v>
          </cell>
          <cell r="AE138" t="str">
            <v>áno</v>
          </cell>
          <cell r="AF138">
            <v>6.0493150684931507</v>
          </cell>
          <cell r="AG138">
            <v>42979</v>
          </cell>
          <cell r="AH138" t="str">
            <v>po termíne</v>
          </cell>
          <cell r="AJ138" t="b">
            <v>1</v>
          </cell>
        </row>
        <row r="139">
          <cell r="A139" t="str">
            <v>310011B473</v>
          </cell>
          <cell r="B139" t="str">
            <v>1.1.1</v>
          </cell>
          <cell r="C139" t="str">
            <v>OPKZP-PO1-SC111-2016-11</v>
          </cell>
          <cell r="D139" t="str">
            <v>Obec Beluša</v>
          </cell>
          <cell r="E139" t="str">
            <v>Podpora zhodnocovania biologicky rozložiteľného komunálneho odpadu v obci Beluša</v>
          </cell>
          <cell r="F139">
            <v>42724</v>
          </cell>
          <cell r="G139">
            <v>43017</v>
          </cell>
          <cell r="H139">
            <v>42978</v>
          </cell>
          <cell r="I139">
            <v>42705</v>
          </cell>
          <cell r="J139">
            <v>42794</v>
          </cell>
          <cell r="K139">
            <v>42887</v>
          </cell>
          <cell r="L139">
            <v>42978</v>
          </cell>
          <cell r="M139">
            <v>0</v>
          </cell>
          <cell r="N139">
            <v>0</v>
          </cell>
          <cell r="O139">
            <v>2.9260273972602739</v>
          </cell>
          <cell r="P139">
            <v>2.9917808219178084</v>
          </cell>
          <cell r="Q139">
            <v>8.9753424657534246</v>
          </cell>
          <cell r="R139" t="str">
            <v>áno</v>
          </cell>
          <cell r="S139">
            <v>5.9835616438356167</v>
          </cell>
          <cell r="T139" t="str">
            <v>áno</v>
          </cell>
          <cell r="U139">
            <v>6.0493150684931507</v>
          </cell>
          <cell r="V139" t="str">
            <v>-</v>
          </cell>
          <cell r="W139" t="str">
            <v>-</v>
          </cell>
          <cell r="X139" t="str">
            <v>-</v>
          </cell>
          <cell r="Y139" t="str">
            <v>-</v>
          </cell>
          <cell r="Z139" t="str">
            <v>-</v>
          </cell>
          <cell r="AA139" t="str">
            <v>-</v>
          </cell>
          <cell r="AB139" t="e">
            <v>#VALUE!</v>
          </cell>
          <cell r="AC139" t="str">
            <v>-</v>
          </cell>
          <cell r="AD139" t="str">
            <v>-</v>
          </cell>
          <cell r="AE139" t="str">
            <v>-</v>
          </cell>
          <cell r="AF139" t="str">
            <v>-</v>
          </cell>
          <cell r="AG139">
            <v>42887</v>
          </cell>
          <cell r="AH139" t="str">
            <v>ok</v>
          </cell>
          <cell r="AJ139" t="b">
            <v>0</v>
          </cell>
        </row>
        <row r="140">
          <cell r="A140" t="str">
            <v>310011B478</v>
          </cell>
          <cell r="B140" t="str">
            <v>1.1.1</v>
          </cell>
          <cell r="C140" t="str">
            <v>OPKZP-PO1-SC111-2016-10</v>
          </cell>
          <cell r="D140" t="str">
            <v>Obec Horná Mariková</v>
          </cell>
          <cell r="E140" t="str">
            <v>Podpora triedeného zberu komunálnych odpadov v obci Horná Mariková</v>
          </cell>
          <cell r="F140">
            <v>42746</v>
          </cell>
          <cell r="G140" t="str">
            <v/>
          </cell>
          <cell r="H140">
            <v>42978</v>
          </cell>
          <cell r="I140">
            <v>42795</v>
          </cell>
          <cell r="J140">
            <v>42978</v>
          </cell>
          <cell r="K140">
            <v>42795</v>
          </cell>
          <cell r="L140">
            <v>42978</v>
          </cell>
          <cell r="M140" t="str">
            <v/>
          </cell>
          <cell r="N140" t="str">
            <v/>
          </cell>
          <cell r="O140">
            <v>6.0164383561643842</v>
          </cell>
          <cell r="P140">
            <v>6.0164383561643842</v>
          </cell>
          <cell r="Q140">
            <v>6.0164383561643842</v>
          </cell>
          <cell r="R140" t="str">
            <v>nie</v>
          </cell>
          <cell r="S140">
            <v>0</v>
          </cell>
          <cell r="T140" t="str">
            <v>nie</v>
          </cell>
          <cell r="U140">
            <v>0</v>
          </cell>
          <cell r="V140" t="str">
            <v>-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-</v>
          </cell>
          <cell r="AA140" t="str">
            <v>-</v>
          </cell>
          <cell r="AB140" t="e">
            <v>#VALUE!</v>
          </cell>
          <cell r="AC140" t="str">
            <v>-</v>
          </cell>
          <cell r="AD140" t="str">
            <v>-</v>
          </cell>
          <cell r="AE140" t="str">
            <v>-</v>
          </cell>
          <cell r="AF140" t="str">
            <v>-</v>
          </cell>
          <cell r="AG140">
            <v>42795</v>
          </cell>
          <cell r="AH140" t="str">
            <v>ok</v>
          </cell>
          <cell r="AJ140" t="b">
            <v>0</v>
          </cell>
        </row>
        <row r="141">
          <cell r="A141" t="str">
            <v>310011B480</v>
          </cell>
          <cell r="B141" t="str">
            <v>1.1.1</v>
          </cell>
          <cell r="C141" t="str">
            <v>OPKZP-PO1-SC111-2016-11</v>
          </cell>
          <cell r="D141" t="str">
            <v>Mesto Bardejov</v>
          </cell>
          <cell r="E141" t="str">
            <v>Regionálne centrum zhodnocovania biologicky rozložiteľných odpadov</v>
          </cell>
          <cell r="F141">
            <v>42740</v>
          </cell>
          <cell r="G141" t="str">
            <v/>
          </cell>
          <cell r="H141">
            <v>43404</v>
          </cell>
          <cell r="I141">
            <v>42767</v>
          </cell>
          <cell r="J141">
            <v>43220</v>
          </cell>
          <cell r="K141">
            <v>42948</v>
          </cell>
          <cell r="L141">
            <v>43404</v>
          </cell>
          <cell r="M141">
            <v>42948</v>
          </cell>
          <cell r="N141">
            <v>43404</v>
          </cell>
          <cell r="O141">
            <v>14.893150684931506</v>
          </cell>
          <cell r="P141">
            <v>14.991780821917807</v>
          </cell>
          <cell r="Q141">
            <v>20.942465753424656</v>
          </cell>
          <cell r="R141" t="str">
            <v>áno</v>
          </cell>
          <cell r="S141">
            <v>5.9506849315068493</v>
          </cell>
          <cell r="T141" t="str">
            <v>áno</v>
          </cell>
          <cell r="U141">
            <v>6.0493150684931507</v>
          </cell>
          <cell r="V141" t="str">
            <v>-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e">
            <v>#VALUE!</v>
          </cell>
          <cell r="AC141" t="str">
            <v>-</v>
          </cell>
          <cell r="AD141" t="str">
            <v>-</v>
          </cell>
          <cell r="AE141" t="str">
            <v>-</v>
          </cell>
          <cell r="AF141" t="str">
            <v>-</v>
          </cell>
          <cell r="AG141">
            <v>42948</v>
          </cell>
          <cell r="AH141" t="str">
            <v>po termíne</v>
          </cell>
          <cell r="AJ141" t="b">
            <v>0</v>
          </cell>
        </row>
        <row r="142">
          <cell r="A142" t="str">
            <v>310011B482</v>
          </cell>
          <cell r="B142" t="str">
            <v>1.1.1</v>
          </cell>
          <cell r="C142" t="str">
            <v>OPKZP-PO1-SC111-2016-10</v>
          </cell>
          <cell r="D142" t="str">
            <v>Obec Golianovo</v>
          </cell>
          <cell r="E142" t="str">
            <v>Technológia pre triedený zber v obci Golianovo</v>
          </cell>
          <cell r="F142">
            <v>42741</v>
          </cell>
          <cell r="G142" t="str">
            <v/>
          </cell>
          <cell r="H142">
            <v>43100</v>
          </cell>
          <cell r="I142">
            <v>42767</v>
          </cell>
          <cell r="J142">
            <v>42886</v>
          </cell>
          <cell r="K142">
            <v>42979</v>
          </cell>
          <cell r="L142">
            <v>43100</v>
          </cell>
          <cell r="M142">
            <v>42887</v>
          </cell>
          <cell r="N142">
            <v>43008</v>
          </cell>
          <cell r="O142">
            <v>3.9123287671232876</v>
          </cell>
          <cell r="P142">
            <v>3.978082191780822</v>
          </cell>
          <cell r="Q142">
            <v>10.947945205479453</v>
          </cell>
          <cell r="R142" t="str">
            <v>áno</v>
          </cell>
          <cell r="S142">
            <v>6.9698630136986299</v>
          </cell>
          <cell r="T142" t="str">
            <v>áno</v>
          </cell>
          <cell r="U142">
            <v>7.0356164383561648</v>
          </cell>
          <cell r="V142">
            <v>42736</v>
          </cell>
          <cell r="W142">
            <v>42978</v>
          </cell>
          <cell r="X142">
            <v>42979</v>
          </cell>
          <cell r="Y142">
            <v>43100</v>
          </cell>
          <cell r="Z142">
            <v>7.956164383561644</v>
          </cell>
          <cell r="AA142">
            <v>3.978082191780822</v>
          </cell>
          <cell r="AB142">
            <v>11.967123287671233</v>
          </cell>
          <cell r="AC142" t="str">
            <v>áno</v>
          </cell>
          <cell r="AD142">
            <v>7.9890410958904114</v>
          </cell>
          <cell r="AE142" t="str">
            <v>áno</v>
          </cell>
          <cell r="AF142">
            <v>4.0109589041095894</v>
          </cell>
          <cell r="AG142">
            <v>42979</v>
          </cell>
          <cell r="AH142" t="str">
            <v>ok</v>
          </cell>
          <cell r="AJ142" t="b">
            <v>1</v>
          </cell>
        </row>
        <row r="143">
          <cell r="A143" t="str">
            <v>310011B483</v>
          </cell>
          <cell r="B143" t="str">
            <v>1.1.1</v>
          </cell>
          <cell r="C143" t="str">
            <v>OPKZP-PO1-SC111-2016-11</v>
          </cell>
          <cell r="D143" t="str">
            <v>TEKOS, spol. s r.o.</v>
          </cell>
          <cell r="E143" t="str">
            <v>Zefektívnenie zberu BRO a DSO v okrese Malacky</v>
          </cell>
          <cell r="F143">
            <v>42741</v>
          </cell>
          <cell r="G143" t="str">
            <v/>
          </cell>
          <cell r="H143">
            <v>43524</v>
          </cell>
          <cell r="I143">
            <v>42795</v>
          </cell>
          <cell r="J143">
            <v>43343</v>
          </cell>
          <cell r="K143">
            <v>42795</v>
          </cell>
          <cell r="L143">
            <v>43524</v>
          </cell>
          <cell r="M143">
            <v>0</v>
          </cell>
          <cell r="N143">
            <v>0</v>
          </cell>
          <cell r="O143">
            <v>18.016438356164386</v>
          </cell>
          <cell r="P143">
            <v>23.967123287671232</v>
          </cell>
          <cell r="Q143">
            <v>23.967123287671232</v>
          </cell>
          <cell r="R143" t="str">
            <v>nie</v>
          </cell>
          <cell r="S143">
            <v>0</v>
          </cell>
          <cell r="T143" t="str">
            <v>áno</v>
          </cell>
          <cell r="U143">
            <v>5.9506849315068493</v>
          </cell>
          <cell r="V143" t="str">
            <v>-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-</v>
          </cell>
          <cell r="AA143" t="str">
            <v>-</v>
          </cell>
          <cell r="AB143" t="e">
            <v>#VALUE!</v>
          </cell>
          <cell r="AC143" t="str">
            <v>-</v>
          </cell>
          <cell r="AD143" t="str">
            <v>-</v>
          </cell>
          <cell r="AE143" t="str">
            <v>-</v>
          </cell>
          <cell r="AF143" t="str">
            <v>-</v>
          </cell>
          <cell r="AG143">
            <v>42795</v>
          </cell>
          <cell r="AH143" t="str">
            <v>po termíne</v>
          </cell>
          <cell r="AJ143" t="b">
            <v>0</v>
          </cell>
        </row>
        <row r="144">
          <cell r="A144" t="str">
            <v>310011B485</v>
          </cell>
          <cell r="B144" t="str">
            <v>1.1.1</v>
          </cell>
          <cell r="C144" t="str">
            <v>OPKZP-PO1-SC111-2016-10</v>
          </cell>
          <cell r="D144" t="str">
            <v>Mesto Krupina</v>
          </cell>
          <cell r="E144" t="str">
            <v>Podpora triedeného zberu komunálnych odpadov -mesto Krupina</v>
          </cell>
          <cell r="F144">
            <v>42755</v>
          </cell>
          <cell r="G144" t="str">
            <v/>
          </cell>
          <cell r="H144">
            <v>43343</v>
          </cell>
          <cell r="I144">
            <v>42795</v>
          </cell>
          <cell r="J144">
            <v>43159</v>
          </cell>
          <cell r="K144">
            <v>42979</v>
          </cell>
          <cell r="L144">
            <v>43343</v>
          </cell>
          <cell r="M144">
            <v>42979</v>
          </cell>
          <cell r="N144">
            <v>43343</v>
          </cell>
          <cell r="O144">
            <v>11.967123287671233</v>
          </cell>
          <cell r="P144">
            <v>11.967123287671233</v>
          </cell>
          <cell r="Q144">
            <v>18.016438356164386</v>
          </cell>
          <cell r="R144" t="str">
            <v>áno</v>
          </cell>
          <cell r="S144">
            <v>6.0493150684931507</v>
          </cell>
          <cell r="T144" t="str">
            <v>áno</v>
          </cell>
          <cell r="U144">
            <v>6.0493150684931507</v>
          </cell>
          <cell r="V144">
            <v>42795</v>
          </cell>
          <cell r="W144">
            <v>43159</v>
          </cell>
          <cell r="X144">
            <v>42979</v>
          </cell>
          <cell r="Y144">
            <v>43343</v>
          </cell>
          <cell r="Z144">
            <v>11.967123287671233</v>
          </cell>
          <cell r="AA144">
            <v>11.967123287671233</v>
          </cell>
          <cell r="AB144">
            <v>18.016438356164386</v>
          </cell>
          <cell r="AC144" t="str">
            <v>áno</v>
          </cell>
          <cell r="AD144">
            <v>6.0493150684931507</v>
          </cell>
          <cell r="AE144" t="str">
            <v>áno</v>
          </cell>
          <cell r="AF144">
            <v>6.0493150684931507</v>
          </cell>
          <cell r="AG144">
            <v>42979</v>
          </cell>
          <cell r="AH144" t="str">
            <v>po termíne</v>
          </cell>
          <cell r="AJ144" t="b">
            <v>1</v>
          </cell>
        </row>
        <row r="145">
          <cell r="A145" t="str">
            <v>310011B489</v>
          </cell>
          <cell r="B145" t="str">
            <v>1.1.1</v>
          </cell>
          <cell r="C145" t="str">
            <v>OPKZP-PO1-SC111-2016-11</v>
          </cell>
          <cell r="D145" t="str">
            <v>Mesto Ružomberok</v>
          </cell>
          <cell r="E145" t="str">
            <v>Zhodnocovanie biologicky rozložiteľného odpadu Ružomberok</v>
          </cell>
          <cell r="F145">
            <v>42740</v>
          </cell>
          <cell r="G145" t="str">
            <v/>
          </cell>
          <cell r="H145">
            <v>43343</v>
          </cell>
          <cell r="I145">
            <v>42767</v>
          </cell>
          <cell r="J145">
            <v>43100</v>
          </cell>
          <cell r="K145">
            <v>42948</v>
          </cell>
          <cell r="L145">
            <v>43343</v>
          </cell>
          <cell r="M145">
            <v>0</v>
          </cell>
          <cell r="N145">
            <v>0</v>
          </cell>
          <cell r="O145">
            <v>10.947945205479453</v>
          </cell>
          <cell r="P145">
            <v>12.986301369863014</v>
          </cell>
          <cell r="Q145">
            <v>18.936986301369863</v>
          </cell>
          <cell r="R145" t="str">
            <v>áno</v>
          </cell>
          <cell r="S145">
            <v>5.9506849315068493</v>
          </cell>
          <cell r="T145" t="str">
            <v>áno</v>
          </cell>
          <cell r="U145">
            <v>7.9890410958904114</v>
          </cell>
          <cell r="V145" t="str">
            <v>-</v>
          </cell>
          <cell r="W145" t="str">
            <v>-</v>
          </cell>
          <cell r="X145" t="str">
            <v>-</v>
          </cell>
          <cell r="Y145" t="str">
            <v>-</v>
          </cell>
          <cell r="Z145" t="str">
            <v>-</v>
          </cell>
          <cell r="AA145" t="str">
            <v>-</v>
          </cell>
          <cell r="AB145" t="e">
            <v>#VALUE!</v>
          </cell>
          <cell r="AC145" t="str">
            <v>-</v>
          </cell>
          <cell r="AD145" t="str">
            <v>-</v>
          </cell>
          <cell r="AE145" t="str">
            <v>-</v>
          </cell>
          <cell r="AF145" t="str">
            <v>-</v>
          </cell>
          <cell r="AG145">
            <v>42948</v>
          </cell>
          <cell r="AH145" t="str">
            <v>po termíne</v>
          </cell>
          <cell r="AJ145" t="b">
            <v>0</v>
          </cell>
        </row>
        <row r="146">
          <cell r="A146" t="str">
            <v>310011B490</v>
          </cell>
          <cell r="B146" t="str">
            <v>1.1.1</v>
          </cell>
          <cell r="C146" t="str">
            <v>OPKZP-PO1-SC111-2016-11</v>
          </cell>
          <cell r="D146" t="str">
            <v>Technické služby, mestský podnik Banská Štiavnica</v>
          </cell>
          <cell r="E146" t="str">
            <v>Zhodnocovanie bioodpadu a stavebného odpadu v Banskej Štiavnici</v>
          </cell>
          <cell r="F146">
            <v>42878</v>
          </cell>
          <cell r="G146" t="str">
            <v/>
          </cell>
          <cell r="H146">
            <v>43190</v>
          </cell>
          <cell r="I146">
            <v>42552</v>
          </cell>
          <cell r="J146">
            <v>43190</v>
          </cell>
          <cell r="K146">
            <v>42552</v>
          </cell>
          <cell r="L146">
            <v>43190</v>
          </cell>
          <cell r="M146">
            <v>0</v>
          </cell>
          <cell r="N146">
            <v>0</v>
          </cell>
          <cell r="O146">
            <v>20.975342465753425</v>
          </cell>
          <cell r="P146">
            <v>20.975342465753425</v>
          </cell>
          <cell r="Q146">
            <v>20.975342465753425</v>
          </cell>
          <cell r="R146" t="str">
            <v>nie</v>
          </cell>
          <cell r="S146">
            <v>0</v>
          </cell>
          <cell r="T146" t="str">
            <v>nie</v>
          </cell>
          <cell r="U146">
            <v>0</v>
          </cell>
          <cell r="V146" t="str">
            <v>-</v>
          </cell>
          <cell r="W146" t="str">
            <v>-</v>
          </cell>
          <cell r="X146" t="str">
            <v>-</v>
          </cell>
          <cell r="Y146" t="str">
            <v>-</v>
          </cell>
          <cell r="Z146" t="str">
            <v>-</v>
          </cell>
          <cell r="AA146" t="str">
            <v>-</v>
          </cell>
          <cell r="AB146" t="e">
            <v>#VALUE!</v>
          </cell>
          <cell r="AC146" t="str">
            <v>-</v>
          </cell>
          <cell r="AD146" t="str">
            <v>-</v>
          </cell>
          <cell r="AE146" t="str">
            <v>-</v>
          </cell>
          <cell r="AF146" t="str">
            <v>-</v>
          </cell>
          <cell r="AG146">
            <v>42552</v>
          </cell>
          <cell r="AH146" t="str">
            <v>ok</v>
          </cell>
          <cell r="AJ146" t="b">
            <v>0</v>
          </cell>
        </row>
        <row r="147">
          <cell r="A147" t="str">
            <v>310011B494</v>
          </cell>
          <cell r="B147" t="str">
            <v>1.1.1</v>
          </cell>
          <cell r="C147" t="str">
            <v>OPKZP-PO1-SC111-2016-11</v>
          </cell>
          <cell r="D147" t="str">
            <v>Mesto Čadca</v>
          </cell>
          <cell r="E147" t="str">
            <v>Kompostáreň - Čadca</v>
          </cell>
          <cell r="F147">
            <v>42727</v>
          </cell>
          <cell r="G147" t="str">
            <v/>
          </cell>
          <cell r="H147">
            <v>43190</v>
          </cell>
          <cell r="I147">
            <v>42826</v>
          </cell>
          <cell r="J147">
            <v>43190</v>
          </cell>
          <cell r="K147">
            <v>42826</v>
          </cell>
          <cell r="L147">
            <v>43190</v>
          </cell>
          <cell r="M147" t="str">
            <v/>
          </cell>
          <cell r="N147" t="str">
            <v/>
          </cell>
          <cell r="O147">
            <v>11.967123287671233</v>
          </cell>
          <cell r="P147">
            <v>11.967123287671233</v>
          </cell>
          <cell r="Q147">
            <v>11.967123287671233</v>
          </cell>
          <cell r="R147" t="str">
            <v>nie</v>
          </cell>
          <cell r="S147">
            <v>0</v>
          </cell>
          <cell r="T147" t="str">
            <v>nie</v>
          </cell>
          <cell r="U147">
            <v>0</v>
          </cell>
          <cell r="V147" t="str">
            <v>-</v>
          </cell>
          <cell r="W147" t="str">
            <v>-</v>
          </cell>
          <cell r="X147" t="str">
            <v>-</v>
          </cell>
          <cell r="Y147" t="str">
            <v>-</v>
          </cell>
          <cell r="Z147" t="str">
            <v>-</v>
          </cell>
          <cell r="AA147" t="str">
            <v>-</v>
          </cell>
          <cell r="AB147" t="e">
            <v>#VALUE!</v>
          </cell>
          <cell r="AC147" t="str">
            <v>-</v>
          </cell>
          <cell r="AD147" t="str">
            <v>-</v>
          </cell>
          <cell r="AE147" t="str">
            <v>-</v>
          </cell>
          <cell r="AF147" t="str">
            <v>-</v>
          </cell>
          <cell r="AG147">
            <v>42826</v>
          </cell>
          <cell r="AH147" t="str">
            <v>ok</v>
          </cell>
          <cell r="AJ147" t="b">
            <v>0</v>
          </cell>
        </row>
        <row r="148">
          <cell r="A148" t="str">
            <v>310011B496</v>
          </cell>
          <cell r="B148" t="str">
            <v>1.1.1</v>
          </cell>
          <cell r="C148" t="str">
            <v>OPKZP-PO1-SC111-2016-10</v>
          </cell>
          <cell r="D148" t="str">
            <v>Obec Rovinka</v>
          </cell>
          <cell r="E148" t="str">
            <v>Zberný dvor Rovinka – dostavba, dovybavenie, rozšírenie a realizácia zberných dvorov</v>
          </cell>
          <cell r="F148">
            <v>42755</v>
          </cell>
          <cell r="G148" t="str">
            <v/>
          </cell>
          <cell r="H148">
            <v>43190</v>
          </cell>
          <cell r="I148">
            <v>42795</v>
          </cell>
          <cell r="J148">
            <v>43190</v>
          </cell>
          <cell r="K148">
            <v>42795</v>
          </cell>
          <cell r="L148">
            <v>43190</v>
          </cell>
          <cell r="M148">
            <v>0</v>
          </cell>
          <cell r="N148">
            <v>0</v>
          </cell>
          <cell r="O148">
            <v>12.986301369863014</v>
          </cell>
          <cell r="P148">
            <v>12.986301369863014</v>
          </cell>
          <cell r="Q148">
            <v>12.986301369863014</v>
          </cell>
          <cell r="R148" t="str">
            <v>nie</v>
          </cell>
          <cell r="S148">
            <v>0</v>
          </cell>
          <cell r="T148" t="str">
            <v>nie</v>
          </cell>
          <cell r="U148">
            <v>0</v>
          </cell>
          <cell r="V148">
            <v>42795</v>
          </cell>
          <cell r="W148">
            <v>43190</v>
          </cell>
          <cell r="X148">
            <v>42795</v>
          </cell>
          <cell r="Y148">
            <v>43190</v>
          </cell>
          <cell r="Z148">
            <v>12.986301369863014</v>
          </cell>
          <cell r="AA148">
            <v>12.986301369863014</v>
          </cell>
          <cell r="AB148">
            <v>12.986301369863014</v>
          </cell>
          <cell r="AC148" t="str">
            <v>nie</v>
          </cell>
          <cell r="AD148">
            <v>0</v>
          </cell>
          <cell r="AE148" t="str">
            <v>nie</v>
          </cell>
          <cell r="AF148">
            <v>0</v>
          </cell>
          <cell r="AG148">
            <v>42795</v>
          </cell>
          <cell r="AH148" t="str">
            <v>ok</v>
          </cell>
          <cell r="AJ148" t="b">
            <v>1</v>
          </cell>
        </row>
        <row r="149">
          <cell r="A149" t="str">
            <v>310011B498</v>
          </cell>
          <cell r="B149" t="str">
            <v>1.1.1</v>
          </cell>
          <cell r="C149" t="str">
            <v>OPKZP-PO1-SC111-2016-10</v>
          </cell>
          <cell r="D149" t="str">
            <v>Obec Rimavská Seč</v>
          </cell>
          <cell r="E149" t="str">
            <v>Zbierajme spolu do dvora v Rimavskej Seči</v>
          </cell>
          <cell r="F149">
            <v>42802</v>
          </cell>
          <cell r="G149">
            <v>42942</v>
          </cell>
          <cell r="H149">
            <v>43100</v>
          </cell>
          <cell r="I149">
            <v>42736</v>
          </cell>
          <cell r="J149">
            <v>43100</v>
          </cell>
          <cell r="K149">
            <v>42736</v>
          </cell>
          <cell r="L149">
            <v>43100</v>
          </cell>
          <cell r="M149">
            <v>0</v>
          </cell>
          <cell r="N149">
            <v>0</v>
          </cell>
          <cell r="O149">
            <v>11.967123287671233</v>
          </cell>
          <cell r="P149">
            <v>11.967123287671233</v>
          </cell>
          <cell r="Q149">
            <v>11.967123287671233</v>
          </cell>
          <cell r="R149" t="str">
            <v>nie</v>
          </cell>
          <cell r="S149">
            <v>0</v>
          </cell>
          <cell r="T149" t="str">
            <v>nie</v>
          </cell>
          <cell r="U149">
            <v>0</v>
          </cell>
          <cell r="V149">
            <v>42736</v>
          </cell>
          <cell r="W149">
            <v>43100</v>
          </cell>
          <cell r="X149">
            <v>42736</v>
          </cell>
          <cell r="Y149">
            <v>43100</v>
          </cell>
          <cell r="Z149">
            <v>11.967123287671233</v>
          </cell>
          <cell r="AA149">
            <v>11.967123287671233</v>
          </cell>
          <cell r="AB149">
            <v>11.967123287671233</v>
          </cell>
          <cell r="AC149" t="str">
            <v>nie</v>
          </cell>
          <cell r="AD149">
            <v>0</v>
          </cell>
          <cell r="AE149" t="str">
            <v>nie</v>
          </cell>
          <cell r="AF149">
            <v>0</v>
          </cell>
          <cell r="AG149">
            <v>42736</v>
          </cell>
          <cell r="AH149" t="str">
            <v>ok</v>
          </cell>
          <cell r="AJ149" t="b">
            <v>1</v>
          </cell>
        </row>
        <row r="150">
          <cell r="A150" t="str">
            <v>310011B499</v>
          </cell>
          <cell r="B150" t="str">
            <v>1.1.1</v>
          </cell>
          <cell r="C150" t="str">
            <v>OPKZP-PO1-SC111-2016-10</v>
          </cell>
          <cell r="D150" t="str">
            <v>Obec Trnovec nad Váhom</v>
          </cell>
          <cell r="E150" t="str">
            <v>Zberný dvor Trnovec nad Váhom</v>
          </cell>
          <cell r="F150">
            <v>42740</v>
          </cell>
          <cell r="G150" t="str">
            <v/>
          </cell>
          <cell r="H150">
            <v>43373</v>
          </cell>
          <cell r="I150">
            <v>42767</v>
          </cell>
          <cell r="J150">
            <v>43190</v>
          </cell>
          <cell r="K150">
            <v>42948</v>
          </cell>
          <cell r="L150">
            <v>43373</v>
          </cell>
          <cell r="M150" t="str">
            <v/>
          </cell>
          <cell r="N150" t="str">
            <v/>
          </cell>
          <cell r="O150">
            <v>13.906849315068493</v>
          </cell>
          <cell r="P150">
            <v>13.972602739726028</v>
          </cell>
          <cell r="Q150">
            <v>19.923287671232877</v>
          </cell>
          <cell r="R150" t="str">
            <v>áno</v>
          </cell>
          <cell r="S150">
            <v>5.9506849315068493</v>
          </cell>
          <cell r="T150" t="str">
            <v>áno</v>
          </cell>
          <cell r="U150">
            <v>6.0164383561643842</v>
          </cell>
          <cell r="V150">
            <v>42767</v>
          </cell>
          <cell r="W150">
            <v>43190</v>
          </cell>
          <cell r="X150">
            <v>42948</v>
          </cell>
          <cell r="Y150">
            <v>43373</v>
          </cell>
          <cell r="Z150">
            <v>13.906849315068493</v>
          </cell>
          <cell r="AA150">
            <v>13.972602739726028</v>
          </cell>
          <cell r="AB150">
            <v>19.923287671232877</v>
          </cell>
          <cell r="AC150" t="str">
            <v>áno</v>
          </cell>
          <cell r="AD150">
            <v>5.9506849315068493</v>
          </cell>
          <cell r="AE150" t="str">
            <v>áno</v>
          </cell>
          <cell r="AF150">
            <v>6.0164383561643842</v>
          </cell>
          <cell r="AG150">
            <v>42948</v>
          </cell>
          <cell r="AH150" t="str">
            <v>ok</v>
          </cell>
          <cell r="AJ150" t="b">
            <v>1</v>
          </cell>
        </row>
        <row r="151">
          <cell r="A151" t="str">
            <v>310011B502</v>
          </cell>
          <cell r="B151" t="str">
            <v>1.1.1</v>
          </cell>
          <cell r="C151" t="str">
            <v>OPKZP-PO1-SC111-2016-10</v>
          </cell>
          <cell r="D151" t="str">
            <v>Obec Varín</v>
          </cell>
          <cell r="E151" t="str">
            <v>Zberný dvor Varín</v>
          </cell>
          <cell r="F151">
            <v>42770</v>
          </cell>
          <cell r="G151" t="str">
            <v/>
          </cell>
          <cell r="H151">
            <v>43281</v>
          </cell>
          <cell r="I151">
            <v>42430</v>
          </cell>
          <cell r="J151">
            <v>43039</v>
          </cell>
          <cell r="K151">
            <v>42430</v>
          </cell>
          <cell r="L151">
            <v>43281</v>
          </cell>
          <cell r="M151" t="str">
            <v>n/a</v>
          </cell>
          <cell r="N151">
            <v>0</v>
          </cell>
          <cell r="O151">
            <v>20.021917808219179</v>
          </cell>
          <cell r="P151">
            <v>27.978082191780821</v>
          </cell>
          <cell r="Q151">
            <v>27.978082191780821</v>
          </cell>
          <cell r="R151" t="str">
            <v>nie</v>
          </cell>
          <cell r="S151">
            <v>0</v>
          </cell>
          <cell r="T151" t="str">
            <v>áno</v>
          </cell>
          <cell r="U151">
            <v>7.956164383561644</v>
          </cell>
          <cell r="V151">
            <v>42430</v>
          </cell>
          <cell r="W151">
            <v>43039</v>
          </cell>
          <cell r="X151">
            <v>42430</v>
          </cell>
          <cell r="Y151">
            <v>43281</v>
          </cell>
          <cell r="Z151">
            <v>20.021917808219179</v>
          </cell>
          <cell r="AA151">
            <v>27.978082191780821</v>
          </cell>
          <cell r="AB151">
            <v>27.978082191780821</v>
          </cell>
          <cell r="AC151" t="str">
            <v>nie</v>
          </cell>
          <cell r="AD151">
            <v>0</v>
          </cell>
          <cell r="AE151" t="str">
            <v>áno</v>
          </cell>
          <cell r="AF151">
            <v>7.956164383561644</v>
          </cell>
          <cell r="AG151">
            <v>42430</v>
          </cell>
          <cell r="AH151" t="str">
            <v>ok</v>
          </cell>
          <cell r="AJ151" t="b">
            <v>1</v>
          </cell>
        </row>
        <row r="152">
          <cell r="A152" t="str">
            <v>310011B503</v>
          </cell>
          <cell r="B152" t="str">
            <v>1.1.1</v>
          </cell>
          <cell r="C152" t="str">
            <v>OPKZP-PO1-SC111-2016-10</v>
          </cell>
          <cell r="D152" t="str">
            <v>Obec Žaškov</v>
          </cell>
          <cell r="E152" t="str">
            <v>Výstavba zberného dvora v obci Žaškov</v>
          </cell>
          <cell r="F152">
            <v>42740</v>
          </cell>
          <cell r="G152" t="str">
            <v/>
          </cell>
          <cell r="H152">
            <v>43251</v>
          </cell>
          <cell r="I152">
            <v>42795</v>
          </cell>
          <cell r="J152">
            <v>43159</v>
          </cell>
          <cell r="K152">
            <v>42887</v>
          </cell>
          <cell r="L152">
            <v>43251</v>
          </cell>
          <cell r="M152">
            <v>42887</v>
          </cell>
          <cell r="N152">
            <v>43251</v>
          </cell>
          <cell r="O152">
            <v>11.967123287671233</v>
          </cell>
          <cell r="P152">
            <v>11.967123287671233</v>
          </cell>
          <cell r="Q152">
            <v>14.991780821917807</v>
          </cell>
          <cell r="R152" t="str">
            <v>áno</v>
          </cell>
          <cell r="S152">
            <v>3.0246575342465754</v>
          </cell>
          <cell r="T152" t="str">
            <v>áno</v>
          </cell>
          <cell r="U152">
            <v>3.0246575342465754</v>
          </cell>
          <cell r="V152">
            <v>42795</v>
          </cell>
          <cell r="W152">
            <v>43159</v>
          </cell>
          <cell r="X152">
            <v>42795</v>
          </cell>
          <cell r="Y152">
            <v>43159</v>
          </cell>
          <cell r="Z152">
            <v>11.967123287671233</v>
          </cell>
          <cell r="AA152">
            <v>11.967123287671233</v>
          </cell>
          <cell r="AB152">
            <v>11.967123287671233</v>
          </cell>
          <cell r="AC152" t="str">
            <v>nie</v>
          </cell>
          <cell r="AD152">
            <v>0</v>
          </cell>
          <cell r="AE152" t="str">
            <v>nie</v>
          </cell>
          <cell r="AF152">
            <v>0</v>
          </cell>
          <cell r="AG152">
            <v>42795</v>
          </cell>
          <cell r="AH152" t="str">
            <v>ok</v>
          </cell>
          <cell r="AJ152" t="b">
            <v>0</v>
          </cell>
        </row>
        <row r="153">
          <cell r="A153" t="str">
            <v>310011B510</v>
          </cell>
          <cell r="B153" t="str">
            <v>1.1.1</v>
          </cell>
          <cell r="C153" t="str">
            <v>OPKZP-PO1-SC111-2016-10</v>
          </cell>
          <cell r="D153" t="str">
            <v>Obec Korňa</v>
          </cell>
          <cell r="E153" t="str">
            <v>Zberný dvor Korňa</v>
          </cell>
          <cell r="F153">
            <v>42753</v>
          </cell>
          <cell r="G153" t="str">
            <v/>
          </cell>
          <cell r="H153">
            <v>43281</v>
          </cell>
          <cell r="I153">
            <v>42795</v>
          </cell>
          <cell r="J153">
            <v>43159</v>
          </cell>
          <cell r="K153">
            <v>42095</v>
          </cell>
          <cell r="L153">
            <v>43281</v>
          </cell>
          <cell r="M153">
            <v>42095</v>
          </cell>
          <cell r="N153">
            <v>43159</v>
          </cell>
          <cell r="O153">
            <v>11.967123287671233</v>
          </cell>
          <cell r="P153">
            <v>38.991780821917814</v>
          </cell>
          <cell r="Q153">
            <v>15.978082191780823</v>
          </cell>
          <cell r="R153" t="str">
            <v>áno</v>
          </cell>
          <cell r="S153">
            <v>-23.013698630136986</v>
          </cell>
          <cell r="T153" t="str">
            <v>áno</v>
          </cell>
          <cell r="U153">
            <v>4.0109589041095894</v>
          </cell>
          <cell r="V153">
            <v>42795</v>
          </cell>
          <cell r="W153">
            <v>43159</v>
          </cell>
          <cell r="X153">
            <v>42795</v>
          </cell>
          <cell r="Y153">
            <v>43281</v>
          </cell>
          <cell r="Z153">
            <v>11.967123287671233</v>
          </cell>
          <cell r="AA153">
            <v>15.978082191780823</v>
          </cell>
          <cell r="AB153">
            <v>15.978082191780823</v>
          </cell>
          <cell r="AC153" t="str">
            <v>nie</v>
          </cell>
          <cell r="AD153">
            <v>0</v>
          </cell>
          <cell r="AE153" t="str">
            <v>áno</v>
          </cell>
          <cell r="AF153">
            <v>4.0109589041095894</v>
          </cell>
          <cell r="AG153">
            <v>42795</v>
          </cell>
          <cell r="AH153" t="str">
            <v>ok</v>
          </cell>
          <cell r="AJ153" t="b">
            <v>1</v>
          </cell>
        </row>
        <row r="154">
          <cell r="A154" t="str">
            <v>310011B514</v>
          </cell>
          <cell r="B154" t="str">
            <v>1.1.1</v>
          </cell>
          <cell r="C154" t="str">
            <v>OPKZP-PO1-SC111-2016-10</v>
          </cell>
          <cell r="D154" t="str">
            <v>Obec Zavar</v>
          </cell>
          <cell r="E154" t="str">
            <v>Zberný dvor Zavar</v>
          </cell>
          <cell r="F154">
            <v>42962</v>
          </cell>
          <cell r="G154" t="str">
            <v/>
          </cell>
          <cell r="H154">
            <v>43373</v>
          </cell>
          <cell r="I154">
            <v>42979</v>
          </cell>
          <cell r="J154">
            <v>43159</v>
          </cell>
          <cell r="K154">
            <v>43191</v>
          </cell>
          <cell r="L154">
            <v>43373</v>
          </cell>
          <cell r="M154">
            <v>0</v>
          </cell>
          <cell r="N154">
            <v>0</v>
          </cell>
          <cell r="O154">
            <v>5.9178082191780819</v>
          </cell>
          <cell r="P154">
            <v>5.9835616438356167</v>
          </cell>
          <cell r="Q154">
            <v>12.953424657534246</v>
          </cell>
          <cell r="R154" t="str">
            <v>áno</v>
          </cell>
          <cell r="S154">
            <v>6.9698630136986299</v>
          </cell>
          <cell r="T154" t="str">
            <v>áno</v>
          </cell>
          <cell r="U154">
            <v>7.0356164383561648</v>
          </cell>
          <cell r="V154">
            <v>42979</v>
          </cell>
          <cell r="W154">
            <v>43159</v>
          </cell>
          <cell r="X154">
            <v>43191</v>
          </cell>
          <cell r="Y154">
            <v>43373</v>
          </cell>
          <cell r="Z154">
            <v>5.9178082191780819</v>
          </cell>
          <cell r="AA154">
            <v>5.9835616438356167</v>
          </cell>
          <cell r="AB154">
            <v>12.953424657534246</v>
          </cell>
          <cell r="AC154" t="str">
            <v>áno</v>
          </cell>
          <cell r="AD154">
            <v>6.9698630136986299</v>
          </cell>
          <cell r="AE154" t="str">
            <v>áno</v>
          </cell>
          <cell r="AF154">
            <v>7.0356164383561648</v>
          </cell>
          <cell r="AG154">
            <v>43191</v>
          </cell>
          <cell r="AH154" t="str">
            <v>po termíne</v>
          </cell>
          <cell r="AJ154" t="b">
            <v>1</v>
          </cell>
        </row>
        <row r="155">
          <cell r="A155" t="str">
            <v>310011B515</v>
          </cell>
          <cell r="B155" t="str">
            <v>1.1.1</v>
          </cell>
          <cell r="C155" t="str">
            <v>OPKZP-PO1-SC111-2016-10</v>
          </cell>
          <cell r="D155" t="str">
            <v>Mesto Lučenec</v>
          </cell>
          <cell r="E155" t="str">
            <v>Zavedenie systému zberu BRO z rodinných domov v Meste Lučenec</v>
          </cell>
          <cell r="F155">
            <v>42755</v>
          </cell>
          <cell r="G155" t="str">
            <v/>
          </cell>
          <cell r="H155">
            <v>43220</v>
          </cell>
          <cell r="I155">
            <v>42767</v>
          </cell>
          <cell r="J155">
            <v>43039</v>
          </cell>
          <cell r="K155">
            <v>42948</v>
          </cell>
          <cell r="L155">
            <v>43220</v>
          </cell>
          <cell r="M155">
            <v>0</v>
          </cell>
          <cell r="N155">
            <v>0</v>
          </cell>
          <cell r="O155">
            <v>8.9424657534246581</v>
          </cell>
          <cell r="P155">
            <v>8.9424657534246581</v>
          </cell>
          <cell r="Q155">
            <v>14.893150684931506</v>
          </cell>
          <cell r="R155" t="str">
            <v>áno</v>
          </cell>
          <cell r="S155">
            <v>5.9506849315068493</v>
          </cell>
          <cell r="T155" t="str">
            <v>áno</v>
          </cell>
          <cell r="U155">
            <v>5.9506849315068493</v>
          </cell>
          <cell r="V155">
            <v>42767</v>
          </cell>
          <cell r="W155">
            <v>43039</v>
          </cell>
          <cell r="X155">
            <v>42948</v>
          </cell>
          <cell r="Y155">
            <v>43220</v>
          </cell>
          <cell r="Z155">
            <v>8.9424657534246581</v>
          </cell>
          <cell r="AA155">
            <v>8.9424657534246581</v>
          </cell>
          <cell r="AB155">
            <v>14.893150684931506</v>
          </cell>
          <cell r="AC155" t="str">
            <v>áno</v>
          </cell>
          <cell r="AD155">
            <v>5.9506849315068493</v>
          </cell>
          <cell r="AE155" t="str">
            <v>áno</v>
          </cell>
          <cell r="AF155">
            <v>5.9506849315068493</v>
          </cell>
          <cell r="AG155">
            <v>42948</v>
          </cell>
          <cell r="AH155" t="str">
            <v>po termíne</v>
          </cell>
          <cell r="AJ155" t="b">
            <v>1</v>
          </cell>
        </row>
        <row r="156">
          <cell r="A156" t="str">
            <v>310011B517</v>
          </cell>
          <cell r="B156" t="str">
            <v>1.4.1</v>
          </cell>
          <cell r="C156" t="str">
            <v>OPKZP-PO1-SC141-2016-14</v>
          </cell>
          <cell r="D156" t="str">
            <v>KOSIT a.s.</v>
          </cell>
          <cell r="E156" t="str">
            <v>Zníženie emisií znečisťujúcich látok zo Spaľovne odpadov – Termovalorizátora linky kotla K1</v>
          </cell>
          <cell r="F156">
            <v>42714</v>
          </cell>
          <cell r="G156" t="str">
            <v/>
          </cell>
          <cell r="H156">
            <v>43465</v>
          </cell>
          <cell r="I156">
            <v>42552</v>
          </cell>
          <cell r="J156">
            <v>43465</v>
          </cell>
          <cell r="K156">
            <v>42856</v>
          </cell>
          <cell r="L156">
            <v>43465</v>
          </cell>
          <cell r="M156">
            <v>0</v>
          </cell>
          <cell r="N156">
            <v>0</v>
          </cell>
          <cell r="O156">
            <v>30.016438356164386</v>
          </cell>
          <cell r="P156">
            <v>20.021917808219179</v>
          </cell>
          <cell r="Q156">
            <v>30.016438356164386</v>
          </cell>
          <cell r="R156" t="str">
            <v>áno</v>
          </cell>
          <cell r="S156">
            <v>9.9945205479452053</v>
          </cell>
          <cell r="T156" t="str">
            <v>nie</v>
          </cell>
          <cell r="U156">
            <v>0</v>
          </cell>
          <cell r="V156" t="str">
            <v>-</v>
          </cell>
          <cell r="W156" t="str">
            <v>-</v>
          </cell>
          <cell r="X156" t="str">
            <v>-</v>
          </cell>
          <cell r="Y156" t="str">
            <v>-</v>
          </cell>
          <cell r="Z156" t="str">
            <v>-</v>
          </cell>
          <cell r="AA156" t="str">
            <v>-</v>
          </cell>
          <cell r="AB156" t="e">
            <v>#VALUE!</v>
          </cell>
          <cell r="AC156" t="str">
            <v>-</v>
          </cell>
          <cell r="AD156" t="str">
            <v>-</v>
          </cell>
          <cell r="AE156" t="str">
            <v>-</v>
          </cell>
          <cell r="AF156" t="str">
            <v>-</v>
          </cell>
          <cell r="AG156">
            <v>42856</v>
          </cell>
          <cell r="AH156" t="str">
            <v>ok</v>
          </cell>
          <cell r="AJ156" t="b">
            <v>0</v>
          </cell>
        </row>
        <row r="157">
          <cell r="A157" t="str">
            <v>310011B518</v>
          </cell>
          <cell r="B157" t="str">
            <v>1.1.1</v>
          </cell>
          <cell r="C157" t="str">
            <v>OPKZP-PO1-SC111-2016-10</v>
          </cell>
          <cell r="D157" t="str">
            <v>Obec Lednické Rovne</v>
          </cell>
          <cell r="E157" t="str">
            <v>Modernizácia zberného dvora v Lednických Rovniach</v>
          </cell>
          <cell r="F157">
            <v>42746</v>
          </cell>
          <cell r="G157" t="str">
            <v/>
          </cell>
          <cell r="H157">
            <v>43404</v>
          </cell>
          <cell r="I157">
            <v>42461</v>
          </cell>
          <cell r="J157">
            <v>43039</v>
          </cell>
          <cell r="K157">
            <v>42491</v>
          </cell>
          <cell r="L157">
            <v>43343</v>
          </cell>
          <cell r="M157">
            <v>0</v>
          </cell>
          <cell r="N157">
            <v>0</v>
          </cell>
          <cell r="O157">
            <v>19.002739726027396</v>
          </cell>
          <cell r="P157">
            <v>28.010958904109593</v>
          </cell>
          <cell r="Q157">
            <v>28.997260273972604</v>
          </cell>
          <cell r="R157" t="str">
            <v>áno</v>
          </cell>
          <cell r="S157">
            <v>0.98630136986301364</v>
          </cell>
          <cell r="T157" t="str">
            <v>áno</v>
          </cell>
          <cell r="U157">
            <v>9.9945205479452053</v>
          </cell>
          <cell r="V157">
            <v>42675</v>
          </cell>
          <cell r="W157">
            <v>43131</v>
          </cell>
          <cell r="X157">
            <v>42795</v>
          </cell>
          <cell r="Y157">
            <v>43404</v>
          </cell>
          <cell r="Z157">
            <v>14.991780821917807</v>
          </cell>
          <cell r="AA157">
            <v>20.021917808219179</v>
          </cell>
          <cell r="AB157">
            <v>23.967123287671232</v>
          </cell>
          <cell r="AC157" t="str">
            <v>áno</v>
          </cell>
          <cell r="AD157">
            <v>3.9452054794520546</v>
          </cell>
          <cell r="AE157" t="str">
            <v>áno</v>
          </cell>
          <cell r="AF157">
            <v>8.9753424657534246</v>
          </cell>
          <cell r="AG157">
            <v>42795</v>
          </cell>
          <cell r="AH157" t="str">
            <v>ok</v>
          </cell>
          <cell r="AJ157" t="b">
            <v>0</v>
          </cell>
        </row>
        <row r="158">
          <cell r="A158" t="str">
            <v>310011B526</v>
          </cell>
          <cell r="B158" t="str">
            <v>1.1.1</v>
          </cell>
          <cell r="C158" t="str">
            <v>OPKZP-PO1-SC111-2016-10</v>
          </cell>
          <cell r="D158" t="str">
            <v>Obec Oravská Jasenica</v>
          </cell>
          <cell r="E158" t="str">
            <v>Zberný dvor Oravská Jasenica</v>
          </cell>
          <cell r="F158">
            <v>42762</v>
          </cell>
          <cell r="G158" t="str">
            <v/>
          </cell>
          <cell r="H158">
            <v>43159</v>
          </cell>
          <cell r="I158">
            <v>42795</v>
          </cell>
          <cell r="J158">
            <v>43159</v>
          </cell>
          <cell r="K158">
            <v>42795</v>
          </cell>
          <cell r="L158">
            <v>43159</v>
          </cell>
          <cell r="M158">
            <v>0</v>
          </cell>
          <cell r="N158">
            <v>0</v>
          </cell>
          <cell r="O158">
            <v>11.967123287671233</v>
          </cell>
          <cell r="P158">
            <v>11.967123287671233</v>
          </cell>
          <cell r="Q158">
            <v>11.967123287671233</v>
          </cell>
          <cell r="R158" t="str">
            <v>nie</v>
          </cell>
          <cell r="S158">
            <v>0</v>
          </cell>
          <cell r="T158" t="str">
            <v>nie</v>
          </cell>
          <cell r="U158">
            <v>0</v>
          </cell>
          <cell r="V158">
            <v>42795</v>
          </cell>
          <cell r="W158">
            <v>43159</v>
          </cell>
          <cell r="X158">
            <v>42795</v>
          </cell>
          <cell r="Y158">
            <v>43159</v>
          </cell>
          <cell r="Z158">
            <v>11.967123287671233</v>
          </cell>
          <cell r="AA158">
            <v>11.967123287671233</v>
          </cell>
          <cell r="AB158">
            <v>11.967123287671233</v>
          </cell>
          <cell r="AC158" t="str">
            <v>nie</v>
          </cell>
          <cell r="AD158">
            <v>0</v>
          </cell>
          <cell r="AE158" t="str">
            <v>nie</v>
          </cell>
          <cell r="AF158">
            <v>0</v>
          </cell>
          <cell r="AG158">
            <v>42795</v>
          </cell>
          <cell r="AH158" t="str">
            <v>ok</v>
          </cell>
          <cell r="AJ158" t="b">
            <v>1</v>
          </cell>
        </row>
        <row r="159">
          <cell r="A159" t="str">
            <v>310011B533</v>
          </cell>
          <cell r="B159" t="str">
            <v>1.1.1</v>
          </cell>
          <cell r="C159" t="str">
            <v>OPKZP-PO1-SC111-2016-10</v>
          </cell>
          <cell r="D159" t="str">
            <v>Obec Vyhne</v>
          </cell>
          <cell r="E159" t="str">
            <v>Zberný dvor Vyhne</v>
          </cell>
          <cell r="F159">
            <v>42761</v>
          </cell>
          <cell r="G159" t="str">
            <v/>
          </cell>
          <cell r="H159">
            <v>43281</v>
          </cell>
          <cell r="I159">
            <v>42795</v>
          </cell>
          <cell r="J159">
            <v>43159</v>
          </cell>
          <cell r="K159">
            <v>42917</v>
          </cell>
          <cell r="L159">
            <v>43281</v>
          </cell>
          <cell r="M159">
            <v>0</v>
          </cell>
          <cell r="N159">
            <v>0</v>
          </cell>
          <cell r="O159">
            <v>11.967123287671233</v>
          </cell>
          <cell r="P159">
            <v>11.967123287671233</v>
          </cell>
          <cell r="Q159">
            <v>15.978082191780823</v>
          </cell>
          <cell r="R159" t="str">
            <v>áno</v>
          </cell>
          <cell r="S159">
            <v>4.0109589041095894</v>
          </cell>
          <cell r="T159" t="str">
            <v>áno</v>
          </cell>
          <cell r="U159">
            <v>4.0109589041095894</v>
          </cell>
          <cell r="V159">
            <v>42795</v>
          </cell>
          <cell r="W159">
            <v>43159</v>
          </cell>
          <cell r="X159">
            <v>42917</v>
          </cell>
          <cell r="Y159">
            <v>43281</v>
          </cell>
          <cell r="Z159">
            <v>11.967123287671233</v>
          </cell>
          <cell r="AA159">
            <v>11.967123287671233</v>
          </cell>
          <cell r="AB159">
            <v>15.978082191780823</v>
          </cell>
          <cell r="AC159" t="str">
            <v>áno</v>
          </cell>
          <cell r="AD159">
            <v>4.0109589041095894</v>
          </cell>
          <cell r="AE159" t="str">
            <v>áno</v>
          </cell>
          <cell r="AF159">
            <v>4.0109589041095894</v>
          </cell>
          <cell r="AG159">
            <v>42917</v>
          </cell>
          <cell r="AH159" t="str">
            <v>ok</v>
          </cell>
          <cell r="AJ159" t="b">
            <v>1</v>
          </cell>
        </row>
        <row r="160">
          <cell r="A160" t="str">
            <v>310011B534</v>
          </cell>
          <cell r="B160" t="str">
            <v>1.1.1</v>
          </cell>
          <cell r="C160" t="str">
            <v>OPKZP-PO1-SC111-2016-10</v>
          </cell>
          <cell r="D160" t="str">
            <v>Obec Bešeňov</v>
          </cell>
          <cell r="E160" t="str">
            <v>Nákup hnuteľných vecí na podporu triedeného zberu</v>
          </cell>
          <cell r="F160">
            <v>42741</v>
          </cell>
          <cell r="G160" t="str">
            <v/>
          </cell>
          <cell r="H160">
            <v>43159</v>
          </cell>
          <cell r="I160">
            <v>42736</v>
          </cell>
          <cell r="J160">
            <v>42947</v>
          </cell>
          <cell r="K160">
            <v>42948</v>
          </cell>
          <cell r="L160">
            <v>43159</v>
          </cell>
          <cell r="M160">
            <v>42856</v>
          </cell>
          <cell r="N160">
            <v>43008</v>
          </cell>
          <cell r="O160">
            <v>6.9369863013698625</v>
          </cell>
          <cell r="P160">
            <v>6.9369863013698625</v>
          </cell>
          <cell r="Q160">
            <v>13.906849315068493</v>
          </cell>
          <cell r="R160" t="str">
            <v>áno</v>
          </cell>
          <cell r="S160">
            <v>6.9698630136986299</v>
          </cell>
          <cell r="T160" t="str">
            <v>áno</v>
          </cell>
          <cell r="U160">
            <v>6.9698630136986299</v>
          </cell>
          <cell r="V160" t="str">
            <v>-</v>
          </cell>
          <cell r="W160" t="str">
            <v>-</v>
          </cell>
          <cell r="X160" t="str">
            <v>-</v>
          </cell>
          <cell r="Y160" t="str">
            <v>-</v>
          </cell>
          <cell r="Z160" t="str">
            <v>-</v>
          </cell>
          <cell r="AA160" t="str">
            <v>-</v>
          </cell>
          <cell r="AB160" t="e">
            <v>#VALUE!</v>
          </cell>
          <cell r="AC160" t="str">
            <v>-</v>
          </cell>
          <cell r="AD160" t="str">
            <v>-</v>
          </cell>
          <cell r="AE160" t="str">
            <v>-</v>
          </cell>
          <cell r="AF160" t="str">
            <v>-</v>
          </cell>
          <cell r="AG160">
            <v>42948</v>
          </cell>
          <cell r="AH160" t="str">
            <v>ok</v>
          </cell>
          <cell r="AJ160" t="b">
            <v>0</v>
          </cell>
        </row>
        <row r="161">
          <cell r="A161" t="str">
            <v>310011B539</v>
          </cell>
          <cell r="B161" t="str">
            <v>1.1.1</v>
          </cell>
          <cell r="C161" t="str">
            <v>OPKZP-PO1-SC111-2016-11</v>
          </cell>
          <cell r="D161" t="str">
            <v>Technické služby s.r.o.</v>
          </cell>
          <cell r="E161" t="str">
            <v>Triedený zber komunálnych odpadov v meste Dolný Kubín</v>
          </cell>
          <cell r="F161">
            <v>42740</v>
          </cell>
          <cell r="G161" t="str">
            <v/>
          </cell>
          <cell r="H161">
            <v>43373</v>
          </cell>
          <cell r="I161">
            <v>42736</v>
          </cell>
          <cell r="J161">
            <v>42916</v>
          </cell>
          <cell r="K161">
            <v>42795</v>
          </cell>
          <cell r="L161">
            <v>43373</v>
          </cell>
          <cell r="M161">
            <v>0</v>
          </cell>
          <cell r="N161">
            <v>0</v>
          </cell>
          <cell r="O161">
            <v>5.9178082191780819</v>
          </cell>
          <cell r="P161">
            <v>19.002739726027396</v>
          </cell>
          <cell r="Q161">
            <v>20.942465753424656</v>
          </cell>
          <cell r="R161" t="str">
            <v>áno</v>
          </cell>
          <cell r="S161">
            <v>1.9397260273972603</v>
          </cell>
          <cell r="T161" t="str">
            <v>áno</v>
          </cell>
          <cell r="U161">
            <v>15.024657534246575</v>
          </cell>
          <cell r="V161" t="str">
            <v>-</v>
          </cell>
          <cell r="W161" t="str">
            <v>-</v>
          </cell>
          <cell r="X161" t="str">
            <v>-</v>
          </cell>
          <cell r="Y161" t="str">
            <v>-</v>
          </cell>
          <cell r="Z161" t="str">
            <v>-</v>
          </cell>
          <cell r="AA161" t="str">
            <v>-</v>
          </cell>
          <cell r="AB161" t="e">
            <v>#VALUE!</v>
          </cell>
          <cell r="AC161" t="str">
            <v>-</v>
          </cell>
          <cell r="AD161" t="str">
            <v>-</v>
          </cell>
          <cell r="AE161" t="str">
            <v>-</v>
          </cell>
          <cell r="AF161" t="str">
            <v>-</v>
          </cell>
          <cell r="AG161">
            <v>42795</v>
          </cell>
          <cell r="AH161" t="str">
            <v>ok</v>
          </cell>
          <cell r="AJ161" t="b">
            <v>0</v>
          </cell>
        </row>
        <row r="162">
          <cell r="A162" t="str">
            <v>310011B540</v>
          </cell>
          <cell r="B162" t="str">
            <v>1.1.1</v>
          </cell>
          <cell r="C162" t="str">
            <v>OPKZP-PO1-SC111-2016-11</v>
          </cell>
          <cell r="D162" t="str">
            <v>Obec Chrenovec - Brusno</v>
          </cell>
          <cell r="E162" t="str">
            <v>Zhodnocovanie biologicky rozložiteľného komunálneho odpadu v obci Chrenovec-Brusno</v>
          </cell>
          <cell r="F162">
            <v>42740</v>
          </cell>
          <cell r="G162" t="str">
            <v/>
          </cell>
          <cell r="H162">
            <v>43100</v>
          </cell>
          <cell r="I162">
            <v>42736</v>
          </cell>
          <cell r="J162">
            <v>43100</v>
          </cell>
          <cell r="K162">
            <v>42826</v>
          </cell>
          <cell r="L162">
            <v>43100</v>
          </cell>
          <cell r="M162">
            <v>0</v>
          </cell>
          <cell r="N162">
            <v>0</v>
          </cell>
          <cell r="O162">
            <v>11.967123287671233</v>
          </cell>
          <cell r="P162">
            <v>9.008219178082193</v>
          </cell>
          <cell r="Q162">
            <v>11.967123287671233</v>
          </cell>
          <cell r="R162" t="str">
            <v>áno</v>
          </cell>
          <cell r="S162">
            <v>2.9589041095890409</v>
          </cell>
          <cell r="T162" t="str">
            <v>nie</v>
          </cell>
          <cell r="U162">
            <v>0</v>
          </cell>
          <cell r="V162" t="str">
            <v>-</v>
          </cell>
          <cell r="W162" t="str">
            <v>-</v>
          </cell>
          <cell r="X162" t="str">
            <v>-</v>
          </cell>
          <cell r="Y162" t="str">
            <v>-</v>
          </cell>
          <cell r="Z162" t="str">
            <v>-</v>
          </cell>
          <cell r="AA162" t="str">
            <v>-</v>
          </cell>
          <cell r="AB162" t="e">
            <v>#VALUE!</v>
          </cell>
          <cell r="AC162" t="str">
            <v>-</v>
          </cell>
          <cell r="AD162" t="str">
            <v>-</v>
          </cell>
          <cell r="AE162" t="str">
            <v>-</v>
          </cell>
          <cell r="AF162" t="str">
            <v>-</v>
          </cell>
          <cell r="AG162">
            <v>42826</v>
          </cell>
          <cell r="AH162" t="str">
            <v>ok</v>
          </cell>
          <cell r="AJ162" t="b">
            <v>0</v>
          </cell>
        </row>
        <row r="163">
          <cell r="A163" t="str">
            <v>310011B541</v>
          </cell>
          <cell r="B163" t="str">
            <v>1.1.1</v>
          </cell>
          <cell r="C163" t="str">
            <v>OPKZP-PO1-SC111-2016-10</v>
          </cell>
          <cell r="D163" t="str">
            <v>Obec Častkovce</v>
          </cell>
          <cell r="E163" t="str">
            <v>Zberný dvor - Častkovce</v>
          </cell>
          <cell r="F163">
            <v>42740</v>
          </cell>
          <cell r="G163" t="str">
            <v/>
          </cell>
          <cell r="H163">
            <v>43220</v>
          </cell>
          <cell r="I163">
            <v>42461</v>
          </cell>
          <cell r="J163">
            <v>43039</v>
          </cell>
          <cell r="K163">
            <v>42461</v>
          </cell>
          <cell r="L163">
            <v>43220</v>
          </cell>
          <cell r="M163">
            <v>0</v>
          </cell>
          <cell r="N163">
            <v>0</v>
          </cell>
          <cell r="O163">
            <v>19.002739726027396</v>
          </cell>
          <cell r="P163">
            <v>24.953424657534242</v>
          </cell>
          <cell r="Q163">
            <v>24.953424657534242</v>
          </cell>
          <cell r="R163" t="str">
            <v>nie</v>
          </cell>
          <cell r="S163">
            <v>0</v>
          </cell>
          <cell r="T163" t="str">
            <v>áno</v>
          </cell>
          <cell r="U163">
            <v>5.9506849315068493</v>
          </cell>
          <cell r="V163">
            <v>42675</v>
          </cell>
          <cell r="W163">
            <v>43131</v>
          </cell>
          <cell r="X163">
            <v>42675</v>
          </cell>
          <cell r="Y163">
            <v>43220</v>
          </cell>
          <cell r="Z163">
            <v>14.991780821917807</v>
          </cell>
          <cell r="AA163">
            <v>17.917808219178081</v>
          </cell>
          <cell r="AB163">
            <v>17.917808219178081</v>
          </cell>
          <cell r="AC163" t="str">
            <v>nie</v>
          </cell>
          <cell r="AD163">
            <v>0</v>
          </cell>
          <cell r="AE163" t="str">
            <v>áno</v>
          </cell>
          <cell r="AF163">
            <v>2.9260273972602739</v>
          </cell>
          <cell r="AG163">
            <v>42675</v>
          </cell>
          <cell r="AH163" t="str">
            <v>ok</v>
          </cell>
          <cell r="AJ163" t="b">
            <v>1</v>
          </cell>
        </row>
        <row r="164">
          <cell r="A164" t="str">
            <v>310011B543</v>
          </cell>
          <cell r="B164" t="str">
            <v>1.1.1</v>
          </cell>
          <cell r="C164" t="str">
            <v>OPKZP-PO1-SC111-2016-10</v>
          </cell>
          <cell r="D164" t="str">
            <v>Mesto Sereď</v>
          </cell>
          <cell r="E164" t="str">
            <v>Rozšírenie triedeného zberu v meste Sereď</v>
          </cell>
          <cell r="F164">
            <v>42754</v>
          </cell>
          <cell r="G164" t="str">
            <v/>
          </cell>
          <cell r="H164">
            <v>43190</v>
          </cell>
          <cell r="I164">
            <v>42767</v>
          </cell>
          <cell r="J164">
            <v>43008</v>
          </cell>
          <cell r="K164">
            <v>42948</v>
          </cell>
          <cell r="L164">
            <v>43190</v>
          </cell>
          <cell r="M164">
            <v>42948</v>
          </cell>
          <cell r="N164">
            <v>43190</v>
          </cell>
          <cell r="O164">
            <v>7.9232876712328757</v>
          </cell>
          <cell r="P164">
            <v>7.956164383561644</v>
          </cell>
          <cell r="Q164">
            <v>13.906849315068493</v>
          </cell>
          <cell r="R164" t="str">
            <v>áno</v>
          </cell>
          <cell r="S164">
            <v>5.9506849315068493</v>
          </cell>
          <cell r="T164" t="str">
            <v>áno</v>
          </cell>
          <cell r="U164">
            <v>5.9835616438356167</v>
          </cell>
          <cell r="V164">
            <v>42767</v>
          </cell>
          <cell r="W164">
            <v>43008</v>
          </cell>
          <cell r="X164">
            <v>42767</v>
          </cell>
          <cell r="Y164">
            <v>43190</v>
          </cell>
          <cell r="Z164">
            <v>7.9232876712328757</v>
          </cell>
          <cell r="AA164">
            <v>13.906849315068493</v>
          </cell>
          <cell r="AB164">
            <v>13.906849315068493</v>
          </cell>
          <cell r="AC164" t="str">
            <v>nie</v>
          </cell>
          <cell r="AD164">
            <v>0</v>
          </cell>
          <cell r="AE164" t="str">
            <v>áno</v>
          </cell>
          <cell r="AF164">
            <v>5.9835616438356167</v>
          </cell>
          <cell r="AG164">
            <v>42767</v>
          </cell>
          <cell r="AH164" t="str">
            <v>po termíne</v>
          </cell>
          <cell r="AJ164" t="b">
            <v>1</v>
          </cell>
        </row>
        <row r="165">
          <cell r="A165" t="str">
            <v>310011B547</v>
          </cell>
          <cell r="B165" t="str">
            <v>1.1.1</v>
          </cell>
          <cell r="C165" t="str">
            <v>OPKZP-PO1-SC111-2016-10</v>
          </cell>
          <cell r="D165" t="str">
            <v>Obec Mengusovce</v>
          </cell>
          <cell r="E165" t="str">
            <v>Triedený zber komunálnych odpadov v obci Mengusovce</v>
          </cell>
          <cell r="F165">
            <v>42746</v>
          </cell>
          <cell r="G165" t="str">
            <v/>
          </cell>
          <cell r="H165">
            <v>43251</v>
          </cell>
          <cell r="I165">
            <v>42736</v>
          </cell>
          <cell r="J165">
            <v>42916</v>
          </cell>
          <cell r="K165">
            <v>42736</v>
          </cell>
          <cell r="L165">
            <v>43251</v>
          </cell>
          <cell r="M165">
            <v>0</v>
          </cell>
          <cell r="N165">
            <v>0</v>
          </cell>
          <cell r="O165">
            <v>5.9178082191780819</v>
          </cell>
          <cell r="P165">
            <v>16.93150684931507</v>
          </cell>
          <cell r="Q165">
            <v>16.93150684931507</v>
          </cell>
          <cell r="R165" t="str">
            <v>nie</v>
          </cell>
          <cell r="S165">
            <v>0</v>
          </cell>
          <cell r="T165" t="str">
            <v>áno</v>
          </cell>
          <cell r="U165">
            <v>11.013698630136986</v>
          </cell>
          <cell r="V165">
            <v>42736</v>
          </cell>
          <cell r="W165">
            <v>42916</v>
          </cell>
          <cell r="X165">
            <v>42736</v>
          </cell>
          <cell r="Y165">
            <v>43069</v>
          </cell>
          <cell r="Z165">
            <v>5.9178082191780819</v>
          </cell>
          <cell r="AA165">
            <v>10.947945205479453</v>
          </cell>
          <cell r="AB165">
            <v>10.947945205479453</v>
          </cell>
          <cell r="AC165" t="str">
            <v>nie</v>
          </cell>
          <cell r="AD165">
            <v>0</v>
          </cell>
          <cell r="AE165" t="str">
            <v>áno</v>
          </cell>
          <cell r="AF165">
            <v>5.0301369863013701</v>
          </cell>
          <cell r="AG165">
            <v>42736</v>
          </cell>
          <cell r="AH165" t="str">
            <v>ok</v>
          </cell>
          <cell r="AJ165" t="b">
            <v>0</v>
          </cell>
        </row>
        <row r="166">
          <cell r="A166" t="str">
            <v>310011B549</v>
          </cell>
          <cell r="B166" t="str">
            <v>1.1.1</v>
          </cell>
          <cell r="C166" t="str">
            <v>OPKZP-PO1-SC111-2016-10</v>
          </cell>
          <cell r="D166" t="str">
            <v>Obec Dolné Orešany</v>
          </cell>
          <cell r="E166" t="str">
            <v>Podpora triedeného zberu komunálnych odpadov v obci Dolné Orešany</v>
          </cell>
          <cell r="F166">
            <v>42753</v>
          </cell>
          <cell r="G166" t="str">
            <v/>
          </cell>
          <cell r="H166">
            <v>43100</v>
          </cell>
          <cell r="I166">
            <v>42430</v>
          </cell>
          <cell r="J166">
            <v>43100</v>
          </cell>
          <cell r="K166">
            <v>42430</v>
          </cell>
          <cell r="L166">
            <v>43100</v>
          </cell>
          <cell r="M166" t="str">
            <v>n/a</v>
          </cell>
          <cell r="N166" t="str">
            <v>n/a</v>
          </cell>
          <cell r="O166">
            <v>22.027397260273972</v>
          </cell>
          <cell r="P166">
            <v>22.027397260273972</v>
          </cell>
          <cell r="Q166">
            <v>22.027397260273972</v>
          </cell>
          <cell r="R166" t="str">
            <v>nie</v>
          </cell>
          <cell r="S166">
            <v>0</v>
          </cell>
          <cell r="T166" t="str">
            <v>nie</v>
          </cell>
          <cell r="U166">
            <v>0</v>
          </cell>
          <cell r="V166">
            <v>42736</v>
          </cell>
          <cell r="W166">
            <v>43100</v>
          </cell>
          <cell r="X166">
            <v>42736</v>
          </cell>
          <cell r="Y166">
            <v>43100</v>
          </cell>
          <cell r="Z166">
            <v>11.967123287671233</v>
          </cell>
          <cell r="AA166">
            <v>11.967123287671233</v>
          </cell>
          <cell r="AB166">
            <v>11.967123287671233</v>
          </cell>
          <cell r="AC166" t="str">
            <v>nie</v>
          </cell>
          <cell r="AD166">
            <v>0</v>
          </cell>
          <cell r="AE166" t="str">
            <v>nie</v>
          </cell>
          <cell r="AF166">
            <v>0</v>
          </cell>
          <cell r="AG166">
            <v>42736</v>
          </cell>
          <cell r="AH166" t="str">
            <v>ok</v>
          </cell>
          <cell r="AJ166" t="b">
            <v>1</v>
          </cell>
        </row>
        <row r="167">
          <cell r="A167" t="str">
            <v>310011B550</v>
          </cell>
          <cell r="B167" t="str">
            <v>1.1.1</v>
          </cell>
          <cell r="C167" t="str">
            <v>OPKZP-PO1-SC111-2016-10</v>
          </cell>
          <cell r="D167" t="str">
            <v>Obec Lazany</v>
          </cell>
          <cell r="E167" t="str">
            <v>Zberný dvor v obci Lazany</v>
          </cell>
          <cell r="F167">
            <v>42741</v>
          </cell>
          <cell r="G167" t="str">
            <v/>
          </cell>
          <cell r="H167">
            <v>43159</v>
          </cell>
          <cell r="I167">
            <v>42795</v>
          </cell>
          <cell r="J167">
            <v>43159</v>
          </cell>
          <cell r="K167">
            <v>42795</v>
          </cell>
          <cell r="L167">
            <v>43159</v>
          </cell>
          <cell r="M167" t="str">
            <v/>
          </cell>
          <cell r="N167" t="str">
            <v/>
          </cell>
          <cell r="O167">
            <v>11.967123287671233</v>
          </cell>
          <cell r="P167">
            <v>11.967123287671233</v>
          </cell>
          <cell r="Q167">
            <v>11.967123287671233</v>
          </cell>
          <cell r="R167" t="str">
            <v>nie</v>
          </cell>
          <cell r="S167">
            <v>0</v>
          </cell>
          <cell r="T167" t="str">
            <v>nie</v>
          </cell>
          <cell r="U167">
            <v>0</v>
          </cell>
          <cell r="V167">
            <v>42795</v>
          </cell>
          <cell r="W167">
            <v>43159</v>
          </cell>
          <cell r="X167">
            <v>42795</v>
          </cell>
          <cell r="Y167">
            <v>43159</v>
          </cell>
          <cell r="Z167">
            <v>11.967123287671233</v>
          </cell>
          <cell r="AA167">
            <v>11.967123287671233</v>
          </cell>
          <cell r="AB167">
            <v>11.967123287671233</v>
          </cell>
          <cell r="AC167" t="str">
            <v>nie</v>
          </cell>
          <cell r="AD167">
            <v>0</v>
          </cell>
          <cell r="AE167" t="str">
            <v>nie</v>
          </cell>
          <cell r="AF167">
            <v>0</v>
          </cell>
          <cell r="AG167">
            <v>42795</v>
          </cell>
          <cell r="AH167" t="str">
            <v>ok</v>
          </cell>
          <cell r="AJ167" t="b">
            <v>1</v>
          </cell>
        </row>
        <row r="168">
          <cell r="A168" t="str">
            <v>310011B551</v>
          </cell>
          <cell r="B168" t="str">
            <v>1.1.1</v>
          </cell>
          <cell r="C168" t="str">
            <v>OPKZP-PO1-SC111-2016-10</v>
          </cell>
          <cell r="D168" t="str">
            <v>Obec Miloslavov</v>
          </cell>
          <cell r="E168" t="str">
            <v>Vybudovanie zberného dvora v obci Miloslavov</v>
          </cell>
          <cell r="F168">
            <v>42754</v>
          </cell>
          <cell r="G168" t="str">
            <v/>
          </cell>
          <cell r="H168">
            <v>42978</v>
          </cell>
          <cell r="I168">
            <v>42795</v>
          </cell>
          <cell r="J168">
            <v>42978</v>
          </cell>
          <cell r="K168">
            <v>42767</v>
          </cell>
          <cell r="L168">
            <v>42978</v>
          </cell>
          <cell r="M168">
            <v>0</v>
          </cell>
          <cell r="N168">
            <v>0</v>
          </cell>
          <cell r="O168">
            <v>6.0164383561643842</v>
          </cell>
          <cell r="P168">
            <v>6.9369863013698625</v>
          </cell>
          <cell r="Q168">
            <v>6.0164383561643842</v>
          </cell>
          <cell r="R168" t="str">
            <v>áno</v>
          </cell>
          <cell r="S168">
            <v>-0.92054794520547945</v>
          </cell>
          <cell r="T168" t="str">
            <v>nie</v>
          </cell>
          <cell r="U168">
            <v>0</v>
          </cell>
          <cell r="V168">
            <v>42795</v>
          </cell>
          <cell r="W168">
            <v>42978</v>
          </cell>
          <cell r="X168">
            <v>42767</v>
          </cell>
          <cell r="Y168">
            <v>42978</v>
          </cell>
          <cell r="Z168">
            <v>6.0164383561643842</v>
          </cell>
          <cell r="AA168">
            <v>6.9369863013698625</v>
          </cell>
          <cell r="AB168">
            <v>6.0164383561643842</v>
          </cell>
          <cell r="AC168" t="str">
            <v>áno</v>
          </cell>
          <cell r="AD168">
            <v>-0.92054794520547945</v>
          </cell>
          <cell r="AE168" t="str">
            <v>nie</v>
          </cell>
          <cell r="AF168">
            <v>0</v>
          </cell>
          <cell r="AG168">
            <v>42767</v>
          </cell>
          <cell r="AH168" t="str">
            <v>ok</v>
          </cell>
          <cell r="AJ168" t="b">
            <v>1</v>
          </cell>
        </row>
        <row r="169">
          <cell r="A169" t="str">
            <v>310011B554</v>
          </cell>
          <cell r="B169" t="str">
            <v>1.1.1</v>
          </cell>
          <cell r="C169" t="str">
            <v>OPKZP-PO1-SC111-2016-10</v>
          </cell>
          <cell r="D169" t="str">
            <v>Obec Čaklov</v>
          </cell>
          <cell r="E169" t="str">
            <v>Rozšírenie separovaného zberu odpadu v obci Čaklov</v>
          </cell>
          <cell r="F169">
            <v>42740</v>
          </cell>
          <cell r="G169" t="str">
            <v/>
          </cell>
          <cell r="H169">
            <v>43159</v>
          </cell>
          <cell r="I169">
            <v>42795</v>
          </cell>
          <cell r="J169">
            <v>42978</v>
          </cell>
          <cell r="K169">
            <v>42887</v>
          </cell>
          <cell r="L169">
            <v>43159</v>
          </cell>
          <cell r="M169">
            <v>42887</v>
          </cell>
          <cell r="N169">
            <v>43069</v>
          </cell>
          <cell r="O169">
            <v>6.0164383561643842</v>
          </cell>
          <cell r="P169">
            <v>8.9424657534246581</v>
          </cell>
          <cell r="Q169">
            <v>11.967123287671233</v>
          </cell>
          <cell r="R169" t="str">
            <v>áno</v>
          </cell>
          <cell r="S169">
            <v>3.0246575342465754</v>
          </cell>
          <cell r="T169" t="str">
            <v>áno</v>
          </cell>
          <cell r="U169">
            <v>5.9506849315068493</v>
          </cell>
          <cell r="V169">
            <v>42795</v>
          </cell>
          <cell r="W169">
            <v>42978</v>
          </cell>
          <cell r="X169">
            <v>42795</v>
          </cell>
          <cell r="Y169">
            <v>43131</v>
          </cell>
          <cell r="Z169">
            <v>6.0164383561643842</v>
          </cell>
          <cell r="AA169">
            <v>11.046575342465754</v>
          </cell>
          <cell r="AB169">
            <v>11.046575342465754</v>
          </cell>
          <cell r="AC169" t="str">
            <v>nie</v>
          </cell>
          <cell r="AD169">
            <v>0</v>
          </cell>
          <cell r="AE169" t="str">
            <v>áno</v>
          </cell>
          <cell r="AF169">
            <v>5.0301369863013701</v>
          </cell>
          <cell r="AG169">
            <v>42795</v>
          </cell>
          <cell r="AH169" t="str">
            <v>ok</v>
          </cell>
          <cell r="AJ169" t="b">
            <v>0</v>
          </cell>
        </row>
        <row r="170">
          <cell r="A170" t="str">
            <v>310011B555</v>
          </cell>
          <cell r="B170" t="str">
            <v>1.1.1</v>
          </cell>
          <cell r="C170" t="str">
            <v>OPKZP-PO1-SC111-2016-11</v>
          </cell>
          <cell r="D170" t="str">
            <v>obec Trakovice</v>
          </cell>
          <cell r="E170" t="str">
            <v>Zhodnocovanie biologicky rozložiteľného komunálneho odpadu v obci Trakovice</v>
          </cell>
          <cell r="F170">
            <v>42721</v>
          </cell>
          <cell r="G170" t="str">
            <v/>
          </cell>
          <cell r="H170">
            <v>43100</v>
          </cell>
          <cell r="I170">
            <v>42736</v>
          </cell>
          <cell r="J170">
            <v>43100</v>
          </cell>
          <cell r="K170">
            <v>42736</v>
          </cell>
          <cell r="L170">
            <v>43100</v>
          </cell>
          <cell r="M170" t="str">
            <v/>
          </cell>
          <cell r="N170" t="str">
            <v/>
          </cell>
          <cell r="O170">
            <v>11.967123287671233</v>
          </cell>
          <cell r="P170">
            <v>11.967123287671233</v>
          </cell>
          <cell r="Q170">
            <v>11.967123287671233</v>
          </cell>
          <cell r="R170" t="str">
            <v>nie</v>
          </cell>
          <cell r="S170">
            <v>0</v>
          </cell>
          <cell r="T170" t="str">
            <v>nie</v>
          </cell>
          <cell r="U170">
            <v>0</v>
          </cell>
          <cell r="V170" t="str">
            <v>-</v>
          </cell>
          <cell r="W170" t="str">
            <v>-</v>
          </cell>
          <cell r="X170" t="str">
            <v>-</v>
          </cell>
          <cell r="Y170" t="str">
            <v>-</v>
          </cell>
          <cell r="Z170" t="str">
            <v>-</v>
          </cell>
          <cell r="AA170" t="str">
            <v>-</v>
          </cell>
          <cell r="AB170" t="e">
            <v>#VALUE!</v>
          </cell>
          <cell r="AC170" t="str">
            <v>-</v>
          </cell>
          <cell r="AD170" t="str">
            <v>-</v>
          </cell>
          <cell r="AE170" t="str">
            <v>-</v>
          </cell>
          <cell r="AF170" t="str">
            <v>-</v>
          </cell>
          <cell r="AG170">
            <v>42736</v>
          </cell>
          <cell r="AH170" t="str">
            <v>ok</v>
          </cell>
          <cell r="AJ170" t="b">
            <v>0</v>
          </cell>
        </row>
        <row r="171">
          <cell r="A171" t="str">
            <v>310011B557</v>
          </cell>
          <cell r="B171" t="str">
            <v>1.1.1</v>
          </cell>
          <cell r="C171" t="str">
            <v>OPKZP-PO1-SC111-2016-10</v>
          </cell>
          <cell r="D171" t="str">
            <v>Mesto Piešťany</v>
          </cell>
          <cell r="E171" t="str">
            <v>Vybudovanie zberného dvora v meste Piešťany</v>
          </cell>
          <cell r="F171">
            <v>42753</v>
          </cell>
          <cell r="G171" t="str">
            <v/>
          </cell>
          <cell r="H171">
            <v>43343</v>
          </cell>
          <cell r="I171">
            <v>42491</v>
          </cell>
          <cell r="J171">
            <v>43069</v>
          </cell>
          <cell r="K171">
            <v>42491</v>
          </cell>
          <cell r="L171">
            <v>43343</v>
          </cell>
          <cell r="M171">
            <v>0</v>
          </cell>
          <cell r="N171">
            <v>0</v>
          </cell>
          <cell r="O171">
            <v>19.002739726027396</v>
          </cell>
          <cell r="P171">
            <v>28.010958904109593</v>
          </cell>
          <cell r="Q171">
            <v>28.010958904109593</v>
          </cell>
          <cell r="R171" t="str">
            <v>nie</v>
          </cell>
          <cell r="S171">
            <v>0</v>
          </cell>
          <cell r="T171" t="str">
            <v>áno</v>
          </cell>
          <cell r="U171">
            <v>9.008219178082193</v>
          </cell>
          <cell r="V171">
            <v>42705</v>
          </cell>
          <cell r="W171">
            <v>43159</v>
          </cell>
          <cell r="X171">
            <v>42705</v>
          </cell>
          <cell r="Y171">
            <v>43343</v>
          </cell>
          <cell r="Z171">
            <v>14.926027397260274</v>
          </cell>
          <cell r="AA171">
            <v>20.975342465753425</v>
          </cell>
          <cell r="AB171">
            <v>20.975342465753425</v>
          </cell>
          <cell r="AC171" t="str">
            <v>nie</v>
          </cell>
          <cell r="AD171">
            <v>0</v>
          </cell>
          <cell r="AE171" t="str">
            <v>áno</v>
          </cell>
          <cell r="AF171">
            <v>6.0493150684931507</v>
          </cell>
          <cell r="AG171">
            <v>42705</v>
          </cell>
          <cell r="AH171" t="str">
            <v>ok</v>
          </cell>
          <cell r="AJ171" t="b">
            <v>1</v>
          </cell>
        </row>
        <row r="172">
          <cell r="A172" t="str">
            <v>310011B560</v>
          </cell>
          <cell r="B172" t="str">
            <v>1.1.1</v>
          </cell>
          <cell r="C172" t="str">
            <v>OPKZP-PO1-SC111-2016-10</v>
          </cell>
          <cell r="D172" t="str">
            <v>Mesto Želiezovce</v>
          </cell>
          <cell r="E172" t="str">
            <v>Rozšírenie systému separovaného zberu odpadov na území mesta Želiezovce</v>
          </cell>
          <cell r="F172">
            <v>42753</v>
          </cell>
          <cell r="G172" t="str">
            <v/>
          </cell>
          <cell r="H172">
            <v>43343</v>
          </cell>
          <cell r="I172">
            <v>42767</v>
          </cell>
          <cell r="J172">
            <v>43131</v>
          </cell>
          <cell r="K172">
            <v>42917</v>
          </cell>
          <cell r="L172">
            <v>43343</v>
          </cell>
          <cell r="M172">
            <v>42917</v>
          </cell>
          <cell r="N172">
            <v>43131</v>
          </cell>
          <cell r="O172">
            <v>11.967123287671233</v>
          </cell>
          <cell r="P172">
            <v>14.005479452054796</v>
          </cell>
          <cell r="Q172">
            <v>18.936986301369863</v>
          </cell>
          <cell r="R172" t="str">
            <v>áno</v>
          </cell>
          <cell r="S172">
            <v>4.9315068493150687</v>
          </cell>
          <cell r="T172" t="str">
            <v>áno</v>
          </cell>
          <cell r="U172">
            <v>6.9698630136986299</v>
          </cell>
          <cell r="V172">
            <v>42767</v>
          </cell>
          <cell r="W172">
            <v>43131</v>
          </cell>
          <cell r="X172">
            <v>42917</v>
          </cell>
          <cell r="Y172">
            <v>43343</v>
          </cell>
          <cell r="Z172">
            <v>11.967123287671233</v>
          </cell>
          <cell r="AA172">
            <v>14.005479452054796</v>
          </cell>
          <cell r="AB172">
            <v>18.936986301369863</v>
          </cell>
          <cell r="AC172" t="str">
            <v>áno</v>
          </cell>
          <cell r="AD172">
            <v>4.9315068493150687</v>
          </cell>
          <cell r="AE172" t="str">
            <v>áno</v>
          </cell>
          <cell r="AF172">
            <v>6.9698630136986299</v>
          </cell>
          <cell r="AG172">
            <v>42917</v>
          </cell>
          <cell r="AH172" t="str">
            <v>po termíne</v>
          </cell>
          <cell r="AJ172" t="b">
            <v>1</v>
          </cell>
        </row>
        <row r="173">
          <cell r="A173" t="str">
            <v>310011B561</v>
          </cell>
          <cell r="B173" t="str">
            <v>1.1.1</v>
          </cell>
          <cell r="C173" t="str">
            <v>OPKZP-PO1-SC111-2016-10</v>
          </cell>
          <cell r="D173" t="str">
            <v>Mesto Gabčíkovo</v>
          </cell>
          <cell r="E173" t="str">
            <v>Ekodvor Gabčíkovo – separovaný zber odpadu</v>
          </cell>
          <cell r="F173">
            <v>42741</v>
          </cell>
          <cell r="G173" t="str">
            <v/>
          </cell>
          <cell r="H173">
            <v>43281</v>
          </cell>
          <cell r="I173">
            <v>42736</v>
          </cell>
          <cell r="J173">
            <v>43100</v>
          </cell>
          <cell r="K173">
            <v>42887</v>
          </cell>
          <cell r="L173">
            <v>43190</v>
          </cell>
          <cell r="M173">
            <v>0</v>
          </cell>
          <cell r="N173">
            <v>0</v>
          </cell>
          <cell r="O173">
            <v>11.967123287671233</v>
          </cell>
          <cell r="P173">
            <v>9.9616438356164387</v>
          </cell>
          <cell r="Q173">
            <v>14.926027397260274</v>
          </cell>
          <cell r="R173" t="str">
            <v>áno</v>
          </cell>
          <cell r="S173">
            <v>4.9643835616438361</v>
          </cell>
          <cell r="T173" t="str">
            <v>áno</v>
          </cell>
          <cell r="U173">
            <v>2.9589041095890409</v>
          </cell>
          <cell r="V173">
            <v>42736</v>
          </cell>
          <cell r="W173">
            <v>43190</v>
          </cell>
          <cell r="X173">
            <v>42887</v>
          </cell>
          <cell r="Y173">
            <v>43281</v>
          </cell>
          <cell r="Z173">
            <v>14.926027397260274</v>
          </cell>
          <cell r="AA173">
            <v>12.953424657534246</v>
          </cell>
          <cell r="AB173">
            <v>17.917808219178081</v>
          </cell>
          <cell r="AC173" t="str">
            <v>áno</v>
          </cell>
          <cell r="AD173">
            <v>4.9643835616438361</v>
          </cell>
          <cell r="AE173" t="str">
            <v>áno</v>
          </cell>
          <cell r="AF173">
            <v>2.9917808219178084</v>
          </cell>
          <cell r="AG173">
            <v>42887</v>
          </cell>
          <cell r="AH173" t="str">
            <v>ok</v>
          </cell>
          <cell r="AJ173" t="b">
            <v>0</v>
          </cell>
        </row>
        <row r="174">
          <cell r="A174" t="str">
            <v>310011B562</v>
          </cell>
          <cell r="B174" t="str">
            <v>1.1.1</v>
          </cell>
          <cell r="C174" t="str">
            <v>OPKZP-PO1-SC111-2016-10</v>
          </cell>
          <cell r="D174" t="str">
            <v>Obec Divinka</v>
          </cell>
          <cell r="E174" t="str">
            <v>Intenzifikácia triedeného zberu v obci Divinka</v>
          </cell>
          <cell r="F174">
            <v>42753</v>
          </cell>
          <cell r="G174" t="str">
            <v/>
          </cell>
          <cell r="H174">
            <v>43100</v>
          </cell>
          <cell r="I174">
            <v>42461</v>
          </cell>
          <cell r="J174">
            <v>43100</v>
          </cell>
          <cell r="K174">
            <v>42461</v>
          </cell>
          <cell r="L174">
            <v>43100</v>
          </cell>
          <cell r="M174">
            <v>0</v>
          </cell>
          <cell r="N174">
            <v>0</v>
          </cell>
          <cell r="O174">
            <v>21.008219178082193</v>
          </cell>
          <cell r="P174">
            <v>21.008219178082193</v>
          </cell>
          <cell r="Q174">
            <v>21.008219178082193</v>
          </cell>
          <cell r="R174" t="str">
            <v>nie</v>
          </cell>
          <cell r="S174">
            <v>0</v>
          </cell>
          <cell r="T174" t="str">
            <v>nie</v>
          </cell>
          <cell r="U174">
            <v>0</v>
          </cell>
          <cell r="V174">
            <v>42461</v>
          </cell>
          <cell r="W174">
            <v>43100</v>
          </cell>
          <cell r="X174">
            <v>42461</v>
          </cell>
          <cell r="Y174">
            <v>43100</v>
          </cell>
          <cell r="Z174">
            <v>21.008219178082193</v>
          </cell>
          <cell r="AA174">
            <v>21.008219178082193</v>
          </cell>
          <cell r="AB174">
            <v>21.008219178082193</v>
          </cell>
          <cell r="AC174" t="str">
            <v>nie</v>
          </cell>
          <cell r="AD174">
            <v>0</v>
          </cell>
          <cell r="AE174" t="str">
            <v>nie</v>
          </cell>
          <cell r="AF174">
            <v>0</v>
          </cell>
          <cell r="AG174">
            <v>42461</v>
          </cell>
          <cell r="AH174" t="str">
            <v>ok</v>
          </cell>
          <cell r="AJ174" t="b">
            <v>1</v>
          </cell>
        </row>
        <row r="175">
          <cell r="A175" t="str">
            <v>310011B564</v>
          </cell>
          <cell r="B175" t="str">
            <v>1.1.1</v>
          </cell>
          <cell r="C175" t="str">
            <v>OPKZP-PO1-SC111-2016-10</v>
          </cell>
          <cell r="D175" t="str">
            <v>Obec Záhorská Ves</v>
          </cell>
          <cell r="E175" t="str">
            <v>Zberný dvor – Záhorská Ves</v>
          </cell>
          <cell r="F175">
            <v>42753</v>
          </cell>
          <cell r="G175" t="str">
            <v/>
          </cell>
          <cell r="H175">
            <v>43434</v>
          </cell>
          <cell r="I175">
            <v>42491</v>
          </cell>
          <cell r="J175">
            <v>43131</v>
          </cell>
          <cell r="K175">
            <v>42491</v>
          </cell>
          <cell r="L175">
            <v>43434</v>
          </cell>
          <cell r="M175" t="str">
            <v>n/a</v>
          </cell>
          <cell r="N175">
            <v>43434</v>
          </cell>
          <cell r="O175">
            <v>21.041095890410958</v>
          </cell>
          <cell r="P175">
            <v>31.002739726027396</v>
          </cell>
          <cell r="Q175">
            <v>31.002739726027396</v>
          </cell>
          <cell r="R175" t="str">
            <v>nie</v>
          </cell>
          <cell r="S175">
            <v>0</v>
          </cell>
          <cell r="T175" t="str">
            <v>áno</v>
          </cell>
          <cell r="U175">
            <v>9.9616438356164387</v>
          </cell>
          <cell r="V175">
            <v>42583</v>
          </cell>
          <cell r="W175">
            <v>43131</v>
          </cell>
          <cell r="X175">
            <v>42583</v>
          </cell>
          <cell r="Y175">
            <v>43131</v>
          </cell>
          <cell r="Z175">
            <v>18.016438356164386</v>
          </cell>
          <cell r="AA175">
            <v>18.016438356164386</v>
          </cell>
          <cell r="AB175">
            <v>18.016438356164386</v>
          </cell>
          <cell r="AC175" t="str">
            <v>nie</v>
          </cell>
          <cell r="AD175">
            <v>0</v>
          </cell>
          <cell r="AE175" t="str">
            <v>nie</v>
          </cell>
          <cell r="AF175">
            <v>0</v>
          </cell>
          <cell r="AG175">
            <v>42583</v>
          </cell>
          <cell r="AH175" t="str">
            <v>ok</v>
          </cell>
          <cell r="AJ175" t="b">
            <v>0</v>
          </cell>
        </row>
        <row r="176">
          <cell r="A176" t="str">
            <v>310011B565</v>
          </cell>
          <cell r="B176" t="str">
            <v>1.1.1</v>
          </cell>
          <cell r="C176" t="str">
            <v>OPKZP-PO1-SC111-2016-10</v>
          </cell>
          <cell r="D176" t="str">
            <v>Obec Liptovské Revúce</v>
          </cell>
          <cell r="E176" t="str">
            <v>Zberný dvor odpadov – Liptovské Revúce</v>
          </cell>
          <cell r="F176">
            <v>42753</v>
          </cell>
          <cell r="G176" t="str">
            <v/>
          </cell>
          <cell r="H176">
            <v>43131</v>
          </cell>
          <cell r="I176">
            <v>42491</v>
          </cell>
          <cell r="J176">
            <v>42794</v>
          </cell>
          <cell r="K176">
            <v>42491</v>
          </cell>
          <cell r="L176">
            <v>43131</v>
          </cell>
          <cell r="M176">
            <v>42491</v>
          </cell>
          <cell r="N176">
            <v>43008</v>
          </cell>
          <cell r="O176">
            <v>9.9616438356164387</v>
          </cell>
          <cell r="P176">
            <v>21.041095890410958</v>
          </cell>
          <cell r="Q176">
            <v>21.041095890410958</v>
          </cell>
          <cell r="R176" t="str">
            <v>nie</v>
          </cell>
          <cell r="S176">
            <v>0</v>
          </cell>
          <cell r="T176" t="str">
            <v>áno</v>
          </cell>
          <cell r="U176">
            <v>11.079452054794521</v>
          </cell>
          <cell r="V176">
            <v>42491</v>
          </cell>
          <cell r="W176">
            <v>42825</v>
          </cell>
          <cell r="X176">
            <v>42491</v>
          </cell>
          <cell r="Y176">
            <v>43131</v>
          </cell>
          <cell r="Z176">
            <v>10.980821917808219</v>
          </cell>
          <cell r="AA176">
            <v>21.041095890410958</v>
          </cell>
          <cell r="AB176">
            <v>21.041095890410958</v>
          </cell>
          <cell r="AC176" t="str">
            <v>nie</v>
          </cell>
          <cell r="AD176">
            <v>0</v>
          </cell>
          <cell r="AE176" t="str">
            <v>áno</v>
          </cell>
          <cell r="AF176">
            <v>10.06027397260274</v>
          </cell>
          <cell r="AG176">
            <v>42491</v>
          </cell>
          <cell r="AH176" t="str">
            <v>ok</v>
          </cell>
          <cell r="AJ176" t="b">
            <v>1</v>
          </cell>
        </row>
        <row r="177">
          <cell r="A177" t="str">
            <v>310011B568</v>
          </cell>
          <cell r="B177" t="str">
            <v>1.1.1</v>
          </cell>
          <cell r="C177" t="str">
            <v>OPKZP-PO1-SC111-2016-10</v>
          </cell>
          <cell r="D177" t="str">
            <v>Obec Horná Súča</v>
          </cell>
          <cell r="E177" t="str">
            <v>Zberný dvor odpadov Horná Súča</v>
          </cell>
          <cell r="F177">
            <v>42741</v>
          </cell>
          <cell r="G177" t="str">
            <v/>
          </cell>
          <cell r="H177">
            <v>43251</v>
          </cell>
          <cell r="I177">
            <v>42736</v>
          </cell>
          <cell r="J177">
            <v>43100</v>
          </cell>
          <cell r="K177">
            <v>42887</v>
          </cell>
          <cell r="L177">
            <v>43251</v>
          </cell>
          <cell r="M177">
            <v>0</v>
          </cell>
          <cell r="N177">
            <v>0</v>
          </cell>
          <cell r="O177">
            <v>11.967123287671233</v>
          </cell>
          <cell r="P177">
            <v>11.967123287671233</v>
          </cell>
          <cell r="Q177">
            <v>16.93150684931507</v>
          </cell>
          <cell r="R177" t="str">
            <v>áno</v>
          </cell>
          <cell r="S177">
            <v>4.9643835616438361</v>
          </cell>
          <cell r="T177" t="str">
            <v>áno</v>
          </cell>
          <cell r="U177">
            <v>4.9643835616438361</v>
          </cell>
          <cell r="V177">
            <v>42736</v>
          </cell>
          <cell r="W177">
            <v>43100</v>
          </cell>
          <cell r="X177">
            <v>42887</v>
          </cell>
          <cell r="Y177">
            <v>43251</v>
          </cell>
          <cell r="Z177">
            <v>11.967123287671233</v>
          </cell>
          <cell r="AA177">
            <v>11.967123287671233</v>
          </cell>
          <cell r="AB177">
            <v>16.93150684931507</v>
          </cell>
          <cell r="AC177" t="str">
            <v>áno</v>
          </cell>
          <cell r="AD177">
            <v>4.9643835616438361</v>
          </cell>
          <cell r="AE177" t="str">
            <v>áno</v>
          </cell>
          <cell r="AF177">
            <v>4.9643835616438361</v>
          </cell>
          <cell r="AG177">
            <v>42887</v>
          </cell>
          <cell r="AH177" t="str">
            <v>ok</v>
          </cell>
          <cell r="AJ177" t="b">
            <v>1</v>
          </cell>
        </row>
        <row r="178">
          <cell r="A178" t="str">
            <v>310011B569</v>
          </cell>
          <cell r="B178" t="str">
            <v>1.1.1</v>
          </cell>
          <cell r="C178" t="str">
            <v>OPKZP-PO1-SC111-2016-10</v>
          </cell>
          <cell r="D178" t="str">
            <v>Obec Podolie</v>
          </cell>
          <cell r="E178" t="str">
            <v>Zberný dvor Podolie</v>
          </cell>
          <cell r="F178">
            <v>42761</v>
          </cell>
          <cell r="G178">
            <v>42857</v>
          </cell>
          <cell r="H178">
            <v>43251</v>
          </cell>
          <cell r="I178">
            <v>42705</v>
          </cell>
          <cell r="J178">
            <v>43251</v>
          </cell>
          <cell r="K178">
            <v>42705</v>
          </cell>
          <cell r="L178">
            <v>43251</v>
          </cell>
          <cell r="M178" t="str">
            <v/>
          </cell>
          <cell r="N178" t="str">
            <v/>
          </cell>
          <cell r="O178">
            <v>17.950684931506849</v>
          </cell>
          <cell r="P178">
            <v>17.950684931506849</v>
          </cell>
          <cell r="Q178">
            <v>17.950684931506849</v>
          </cell>
          <cell r="R178" t="str">
            <v>nie</v>
          </cell>
          <cell r="S178">
            <v>0</v>
          </cell>
          <cell r="T178" t="str">
            <v>nie</v>
          </cell>
          <cell r="U178">
            <v>0</v>
          </cell>
          <cell r="V178">
            <v>42705</v>
          </cell>
          <cell r="W178">
            <v>43251</v>
          </cell>
          <cell r="X178">
            <v>42705</v>
          </cell>
          <cell r="Y178">
            <v>43251</v>
          </cell>
          <cell r="Z178">
            <v>17.950684931506849</v>
          </cell>
          <cell r="AA178">
            <v>17.950684931506849</v>
          </cell>
          <cell r="AB178">
            <v>17.950684931506849</v>
          </cell>
          <cell r="AC178" t="str">
            <v>nie</v>
          </cell>
          <cell r="AD178">
            <v>0</v>
          </cell>
          <cell r="AE178" t="str">
            <v>nie</v>
          </cell>
          <cell r="AF178">
            <v>0</v>
          </cell>
          <cell r="AG178">
            <v>42705</v>
          </cell>
          <cell r="AH178" t="str">
            <v>ok</v>
          </cell>
          <cell r="AJ178" t="b">
            <v>1</v>
          </cell>
        </row>
        <row r="179">
          <cell r="A179" t="str">
            <v>310011B572</v>
          </cell>
          <cell r="B179" t="str">
            <v>1.1.1</v>
          </cell>
          <cell r="C179" t="str">
            <v>OPKZP-PO1-SC111-2016-11</v>
          </cell>
          <cell r="D179" t="str">
            <v>SLUŽBA, mestský podnik Stropkov</v>
          </cell>
          <cell r="E179" t="str">
            <v>Zhodnocovanie biologicky rozložiteľného komunálneho odpadu, Stropkov</v>
          </cell>
          <cell r="F179">
            <v>42728</v>
          </cell>
          <cell r="G179" t="str">
            <v/>
          </cell>
          <cell r="H179">
            <v>43220</v>
          </cell>
          <cell r="I179">
            <v>42767</v>
          </cell>
          <cell r="J179">
            <v>43100</v>
          </cell>
          <cell r="K179">
            <v>42917</v>
          </cell>
          <cell r="L179">
            <v>43220</v>
          </cell>
          <cell r="M179">
            <v>0</v>
          </cell>
          <cell r="N179">
            <v>0</v>
          </cell>
          <cell r="O179">
            <v>10.947945205479453</v>
          </cell>
          <cell r="P179">
            <v>9.9616438356164387</v>
          </cell>
          <cell r="Q179">
            <v>14.893150684931506</v>
          </cell>
          <cell r="R179" t="str">
            <v>áno</v>
          </cell>
          <cell r="S179">
            <v>4.9315068493150687</v>
          </cell>
          <cell r="T179" t="str">
            <v>áno</v>
          </cell>
          <cell r="U179">
            <v>3.9452054794520546</v>
          </cell>
          <cell r="V179" t="str">
            <v>-</v>
          </cell>
          <cell r="W179" t="str">
            <v>-</v>
          </cell>
          <cell r="X179" t="str">
            <v>-</v>
          </cell>
          <cell r="Y179" t="str">
            <v>-</v>
          </cell>
          <cell r="Z179" t="str">
            <v>-</v>
          </cell>
          <cell r="AA179" t="str">
            <v>-</v>
          </cell>
          <cell r="AB179" t="e">
            <v>#VALUE!</v>
          </cell>
          <cell r="AC179" t="str">
            <v>-</v>
          </cell>
          <cell r="AD179" t="str">
            <v>-</v>
          </cell>
          <cell r="AE179" t="str">
            <v>-</v>
          </cell>
          <cell r="AF179" t="str">
            <v>-</v>
          </cell>
          <cell r="AG179">
            <v>42917</v>
          </cell>
          <cell r="AH179" t="str">
            <v>ok</v>
          </cell>
          <cell r="AJ179" t="b">
            <v>0</v>
          </cell>
        </row>
        <row r="180">
          <cell r="A180" t="str">
            <v>310011B575</v>
          </cell>
          <cell r="B180" t="str">
            <v>1.1.1</v>
          </cell>
          <cell r="C180" t="str">
            <v>OPKZP-PO1-SC111-2016-10</v>
          </cell>
          <cell r="D180" t="str">
            <v>Obec Dolná Súča</v>
          </cell>
          <cell r="E180" t="str">
            <v>Intenzifikácia triedeného zberu v obci Dolná Súča</v>
          </cell>
          <cell r="F180">
            <v>42741</v>
          </cell>
          <cell r="G180" t="str">
            <v/>
          </cell>
          <cell r="H180">
            <v>43100</v>
          </cell>
          <cell r="I180">
            <v>42461</v>
          </cell>
          <cell r="J180">
            <v>43100</v>
          </cell>
          <cell r="K180">
            <v>42461</v>
          </cell>
          <cell r="L180">
            <v>43100</v>
          </cell>
          <cell r="M180">
            <v>0</v>
          </cell>
          <cell r="N180">
            <v>0</v>
          </cell>
          <cell r="O180">
            <v>21.008219178082193</v>
          </cell>
          <cell r="P180">
            <v>21.008219178082193</v>
          </cell>
          <cell r="Q180">
            <v>21.008219178082193</v>
          </cell>
          <cell r="R180" t="str">
            <v>nie</v>
          </cell>
          <cell r="S180">
            <v>0</v>
          </cell>
          <cell r="T180" t="str">
            <v>nie</v>
          </cell>
          <cell r="U180">
            <v>0</v>
          </cell>
          <cell r="V180">
            <v>42461</v>
          </cell>
          <cell r="W180">
            <v>43100</v>
          </cell>
          <cell r="X180">
            <v>42461</v>
          </cell>
          <cell r="Y180">
            <v>43100</v>
          </cell>
          <cell r="Z180">
            <v>21.008219178082193</v>
          </cell>
          <cell r="AA180">
            <v>21.008219178082193</v>
          </cell>
          <cell r="AB180">
            <v>21.008219178082193</v>
          </cell>
          <cell r="AC180" t="str">
            <v>nie</v>
          </cell>
          <cell r="AD180">
            <v>0</v>
          </cell>
          <cell r="AE180" t="str">
            <v>nie</v>
          </cell>
          <cell r="AF180">
            <v>0</v>
          </cell>
          <cell r="AG180">
            <v>42461</v>
          </cell>
          <cell r="AH180" t="str">
            <v>ok</v>
          </cell>
          <cell r="AJ180" t="b">
            <v>1</v>
          </cell>
        </row>
        <row r="181">
          <cell r="A181" t="str">
            <v>310011B576</v>
          </cell>
          <cell r="B181" t="str">
            <v>1.1.1</v>
          </cell>
          <cell r="C181" t="str">
            <v>OPKZP-PO1-SC111-2016-11</v>
          </cell>
          <cell r="D181" t="str">
            <v>Obec Horná Súča</v>
          </cell>
          <cell r="E181" t="str">
            <v>Obecná kompostáreň Horná Súča</v>
          </cell>
          <cell r="F181">
            <v>42741</v>
          </cell>
          <cell r="G181" t="str">
            <v/>
          </cell>
          <cell r="H181">
            <v>43251</v>
          </cell>
          <cell r="I181">
            <v>42736</v>
          </cell>
          <cell r="J181">
            <v>43100</v>
          </cell>
          <cell r="K181">
            <v>42887</v>
          </cell>
          <cell r="L181">
            <v>43251</v>
          </cell>
          <cell r="M181">
            <v>42887</v>
          </cell>
          <cell r="N181">
            <v>43251</v>
          </cell>
          <cell r="O181">
            <v>11.967123287671233</v>
          </cell>
          <cell r="P181">
            <v>11.967123287671233</v>
          </cell>
          <cell r="Q181">
            <v>16.93150684931507</v>
          </cell>
          <cell r="R181" t="str">
            <v>áno</v>
          </cell>
          <cell r="S181">
            <v>4.9643835616438361</v>
          </cell>
          <cell r="T181" t="str">
            <v>áno</v>
          </cell>
          <cell r="U181">
            <v>4.9643835616438361</v>
          </cell>
          <cell r="V181" t="str">
            <v>-</v>
          </cell>
          <cell r="W181" t="str">
            <v>-</v>
          </cell>
          <cell r="X181" t="str">
            <v>-</v>
          </cell>
          <cell r="Y181" t="str">
            <v>-</v>
          </cell>
          <cell r="Z181" t="str">
            <v>-</v>
          </cell>
          <cell r="AA181" t="str">
            <v>-</v>
          </cell>
          <cell r="AB181" t="e">
            <v>#VALUE!</v>
          </cell>
          <cell r="AC181" t="str">
            <v>-</v>
          </cell>
          <cell r="AD181" t="str">
            <v>-</v>
          </cell>
          <cell r="AE181" t="str">
            <v>-</v>
          </cell>
          <cell r="AF181" t="str">
            <v>-</v>
          </cell>
          <cell r="AG181">
            <v>42887</v>
          </cell>
          <cell r="AH181" t="str">
            <v>ok</v>
          </cell>
          <cell r="AJ181" t="b">
            <v>0</v>
          </cell>
        </row>
        <row r="182">
          <cell r="A182" t="str">
            <v>310011B578</v>
          </cell>
          <cell r="B182" t="str">
            <v>1.1.1</v>
          </cell>
          <cell r="C182" t="str">
            <v>OPKZP-PO1-SC111-2016-10</v>
          </cell>
          <cell r="D182" t="str">
            <v>Mesto Brezno</v>
          </cell>
          <cell r="E182" t="str">
            <v>Zber a zhodnotenie BRO a DSO mesta Brezno</v>
          </cell>
          <cell r="F182">
            <v>42754</v>
          </cell>
          <cell r="G182" t="str">
            <v/>
          </cell>
          <cell r="H182">
            <v>43524</v>
          </cell>
          <cell r="I182">
            <v>42795</v>
          </cell>
          <cell r="J182">
            <v>43343</v>
          </cell>
          <cell r="K182">
            <v>42979</v>
          </cell>
          <cell r="L182">
            <v>43524</v>
          </cell>
          <cell r="M182">
            <v>42979</v>
          </cell>
          <cell r="N182">
            <v>43524</v>
          </cell>
          <cell r="O182">
            <v>18.016438356164386</v>
          </cell>
          <cell r="P182">
            <v>17.917808219178081</v>
          </cell>
          <cell r="Q182">
            <v>23.967123287671232</v>
          </cell>
          <cell r="R182" t="str">
            <v>áno</v>
          </cell>
          <cell r="S182">
            <v>6.0493150684931507</v>
          </cell>
          <cell r="T182" t="str">
            <v>áno</v>
          </cell>
          <cell r="U182">
            <v>5.9506849315068493</v>
          </cell>
          <cell r="V182">
            <v>42795</v>
          </cell>
          <cell r="W182">
            <v>43343</v>
          </cell>
          <cell r="X182">
            <v>42795</v>
          </cell>
          <cell r="Y182">
            <v>43524</v>
          </cell>
          <cell r="Z182">
            <v>18.016438356164386</v>
          </cell>
          <cell r="AA182">
            <v>23.967123287671232</v>
          </cell>
          <cell r="AB182">
            <v>23.967123287671232</v>
          </cell>
          <cell r="AC182" t="str">
            <v>nie</v>
          </cell>
          <cell r="AD182">
            <v>0</v>
          </cell>
          <cell r="AE182" t="str">
            <v>áno</v>
          </cell>
          <cell r="AF182">
            <v>5.9506849315068493</v>
          </cell>
          <cell r="AG182">
            <v>42795</v>
          </cell>
          <cell r="AH182" t="str">
            <v>po termíne</v>
          </cell>
          <cell r="AJ182" t="b">
            <v>1</v>
          </cell>
        </row>
        <row r="183">
          <cell r="A183" t="str">
            <v>310011B579</v>
          </cell>
          <cell r="B183" t="str">
            <v>1.1.1</v>
          </cell>
          <cell r="C183" t="str">
            <v>OPKZP-PO1-SC111-2016-10</v>
          </cell>
          <cell r="D183" t="str">
            <v>Obec Liešťany</v>
          </cell>
          <cell r="E183" t="str">
            <v>Zberný dvor v obci Liešťany</v>
          </cell>
          <cell r="F183">
            <v>42753</v>
          </cell>
          <cell r="G183" t="str">
            <v/>
          </cell>
          <cell r="H183">
            <v>43343</v>
          </cell>
          <cell r="I183">
            <v>42795</v>
          </cell>
          <cell r="J183">
            <v>43343</v>
          </cell>
          <cell r="K183">
            <v>42795</v>
          </cell>
          <cell r="L183">
            <v>43343</v>
          </cell>
          <cell r="M183" t="str">
            <v/>
          </cell>
          <cell r="N183" t="str">
            <v/>
          </cell>
          <cell r="O183">
            <v>18.016438356164386</v>
          </cell>
          <cell r="P183">
            <v>18.016438356164386</v>
          </cell>
          <cell r="Q183">
            <v>18.016438356164386</v>
          </cell>
          <cell r="R183" t="str">
            <v>nie</v>
          </cell>
          <cell r="S183">
            <v>0</v>
          </cell>
          <cell r="T183" t="str">
            <v>nie</v>
          </cell>
          <cell r="U183">
            <v>0</v>
          </cell>
          <cell r="V183">
            <v>42795</v>
          </cell>
          <cell r="W183">
            <v>43343</v>
          </cell>
          <cell r="X183">
            <v>42795</v>
          </cell>
          <cell r="Y183">
            <v>43343</v>
          </cell>
          <cell r="Z183">
            <v>18.016438356164386</v>
          </cell>
          <cell r="AA183">
            <v>18.016438356164386</v>
          </cell>
          <cell r="AB183">
            <v>18.016438356164386</v>
          </cell>
          <cell r="AC183" t="str">
            <v>nie</v>
          </cell>
          <cell r="AD183">
            <v>0</v>
          </cell>
          <cell r="AE183" t="str">
            <v>nie</v>
          </cell>
          <cell r="AF183">
            <v>0</v>
          </cell>
          <cell r="AG183">
            <v>42795</v>
          </cell>
          <cell r="AH183" t="str">
            <v>ok</v>
          </cell>
          <cell r="AJ183" t="b">
            <v>1</v>
          </cell>
        </row>
        <row r="184">
          <cell r="A184" t="str">
            <v>310011B580</v>
          </cell>
          <cell r="B184" t="str">
            <v>1.1.1</v>
          </cell>
          <cell r="C184" t="str">
            <v>OPKZP-PO1-SC111-2016-10</v>
          </cell>
          <cell r="D184" t="str">
            <v>Obec Hontianske Moravce</v>
          </cell>
          <cell r="E184" t="str">
            <v>Zberný dvor Hontianske Moravce</v>
          </cell>
          <cell r="F184">
            <v>42741</v>
          </cell>
          <cell r="G184" t="str">
            <v/>
          </cell>
          <cell r="H184">
            <v>43312</v>
          </cell>
          <cell r="I184">
            <v>42491</v>
          </cell>
          <cell r="J184">
            <v>43131</v>
          </cell>
          <cell r="K184">
            <v>42491</v>
          </cell>
          <cell r="L184">
            <v>43312</v>
          </cell>
          <cell r="M184" t="str">
            <v>n/a</v>
          </cell>
          <cell r="N184">
            <v>0</v>
          </cell>
          <cell r="O184">
            <v>21.041095890410958</v>
          </cell>
          <cell r="P184">
            <v>26.991780821917811</v>
          </cell>
          <cell r="Q184">
            <v>26.991780821917811</v>
          </cell>
          <cell r="R184" t="str">
            <v>nie</v>
          </cell>
          <cell r="S184">
            <v>0</v>
          </cell>
          <cell r="T184" t="str">
            <v>áno</v>
          </cell>
          <cell r="U184">
            <v>5.9506849315068493</v>
          </cell>
          <cell r="V184">
            <v>42583</v>
          </cell>
          <cell r="W184">
            <v>43131</v>
          </cell>
          <cell r="X184">
            <v>42583</v>
          </cell>
          <cell r="Y184">
            <v>43312</v>
          </cell>
          <cell r="Z184">
            <v>18.016438356164386</v>
          </cell>
          <cell r="AA184">
            <v>23.967123287671232</v>
          </cell>
          <cell r="AB184">
            <v>23.967123287671232</v>
          </cell>
          <cell r="AC184" t="str">
            <v>nie</v>
          </cell>
          <cell r="AD184">
            <v>0</v>
          </cell>
          <cell r="AE184" t="str">
            <v>áno</v>
          </cell>
          <cell r="AF184">
            <v>5.9506849315068493</v>
          </cell>
          <cell r="AG184">
            <v>42583</v>
          </cell>
          <cell r="AH184" t="str">
            <v>ok</v>
          </cell>
          <cell r="AJ184" t="b">
            <v>1</v>
          </cell>
        </row>
        <row r="185">
          <cell r="A185" t="str">
            <v>310011B581</v>
          </cell>
          <cell r="B185" t="str">
            <v>1.1.1</v>
          </cell>
          <cell r="C185" t="str">
            <v>OPKZP-PO1-SC111-2016-10</v>
          </cell>
          <cell r="D185" t="str">
            <v>Združenie obcí VIESKY</v>
          </cell>
          <cell r="E185" t="str">
            <v>Zlepšenie systému separovaného zberu Združenia obcí VIESKY</v>
          </cell>
          <cell r="F185">
            <v>42740</v>
          </cell>
          <cell r="G185" t="str">
            <v/>
          </cell>
          <cell r="H185">
            <v>43281</v>
          </cell>
          <cell r="I185">
            <v>42795</v>
          </cell>
          <cell r="J185">
            <v>43159</v>
          </cell>
          <cell r="K185">
            <v>42917</v>
          </cell>
          <cell r="L185">
            <v>43281</v>
          </cell>
          <cell r="M185" t="str">
            <v>n/a</v>
          </cell>
          <cell r="N185" t="str">
            <v>n/a</v>
          </cell>
          <cell r="O185">
            <v>11.967123287671233</v>
          </cell>
          <cell r="P185">
            <v>11.967123287671233</v>
          </cell>
          <cell r="Q185">
            <v>15.978082191780823</v>
          </cell>
          <cell r="R185" t="str">
            <v>áno</v>
          </cell>
          <cell r="S185">
            <v>4.0109589041095894</v>
          </cell>
          <cell r="T185" t="str">
            <v>áno</v>
          </cell>
          <cell r="U185">
            <v>4.0109589041095894</v>
          </cell>
          <cell r="V185">
            <v>42795</v>
          </cell>
          <cell r="W185">
            <v>43159</v>
          </cell>
          <cell r="X185">
            <v>42795</v>
          </cell>
          <cell r="Y185">
            <v>43159</v>
          </cell>
          <cell r="Z185">
            <v>11.967123287671233</v>
          </cell>
          <cell r="AA185">
            <v>11.967123287671233</v>
          </cell>
          <cell r="AB185">
            <v>11.967123287671233</v>
          </cell>
          <cell r="AC185" t="str">
            <v>nie</v>
          </cell>
          <cell r="AD185">
            <v>0</v>
          </cell>
          <cell r="AE185" t="str">
            <v>nie</v>
          </cell>
          <cell r="AF185">
            <v>0</v>
          </cell>
          <cell r="AG185">
            <v>42795</v>
          </cell>
          <cell r="AH185" t="str">
            <v>ok</v>
          </cell>
          <cell r="AJ185" t="b">
            <v>0</v>
          </cell>
        </row>
        <row r="186">
          <cell r="A186" t="str">
            <v>310011B584</v>
          </cell>
          <cell r="B186" t="str">
            <v>1.1.1</v>
          </cell>
          <cell r="C186" t="str">
            <v>OPKZP-PO1-SC111-2016-10</v>
          </cell>
          <cell r="D186" t="str">
            <v>Združenie obcí Púchovská dolina</v>
          </cell>
          <cell r="E186" t="str">
            <v>Intenzifikácia triedeného zberu združenia obcí Púchovskej Doliny</v>
          </cell>
          <cell r="F186">
            <v>42755</v>
          </cell>
          <cell r="G186" t="str">
            <v/>
          </cell>
          <cell r="H186">
            <v>43100</v>
          </cell>
          <cell r="I186">
            <v>42461</v>
          </cell>
          <cell r="J186">
            <v>43100</v>
          </cell>
          <cell r="K186">
            <v>42461</v>
          </cell>
          <cell r="L186">
            <v>43100</v>
          </cell>
          <cell r="M186" t="str">
            <v>n/a</v>
          </cell>
          <cell r="N186">
            <v>0</v>
          </cell>
          <cell r="O186">
            <v>21.008219178082193</v>
          </cell>
          <cell r="P186">
            <v>21.008219178082193</v>
          </cell>
          <cell r="Q186">
            <v>21.008219178082193</v>
          </cell>
          <cell r="R186" t="str">
            <v>nie</v>
          </cell>
          <cell r="S186">
            <v>0</v>
          </cell>
          <cell r="T186" t="str">
            <v>nie</v>
          </cell>
          <cell r="U186">
            <v>0</v>
          </cell>
          <cell r="V186">
            <v>42461</v>
          </cell>
          <cell r="W186">
            <v>43100</v>
          </cell>
          <cell r="X186">
            <v>42461</v>
          </cell>
          <cell r="Y186">
            <v>43100</v>
          </cell>
          <cell r="Z186">
            <v>21.008219178082193</v>
          </cell>
          <cell r="AA186">
            <v>21.008219178082193</v>
          </cell>
          <cell r="AB186">
            <v>21.008219178082193</v>
          </cell>
          <cell r="AC186" t="str">
            <v>nie</v>
          </cell>
          <cell r="AD186">
            <v>0</v>
          </cell>
          <cell r="AE186" t="str">
            <v>nie</v>
          </cell>
          <cell r="AF186">
            <v>0</v>
          </cell>
          <cell r="AG186">
            <v>42461</v>
          </cell>
          <cell r="AH186" t="str">
            <v>ok</v>
          </cell>
          <cell r="AJ186" t="b">
            <v>1</v>
          </cell>
        </row>
        <row r="187">
          <cell r="A187" t="str">
            <v>310011B586</v>
          </cell>
          <cell r="B187" t="str">
            <v>1.1.1</v>
          </cell>
          <cell r="C187" t="str">
            <v>OPKZP-PO1-SC111-2016-10</v>
          </cell>
          <cell r="D187" t="str">
            <v>Obec Hrabušice</v>
          </cell>
          <cell r="E187" t="str">
            <v>„Zberný dvor“ v obci Hrabušice</v>
          </cell>
          <cell r="F187">
            <v>42761</v>
          </cell>
          <cell r="G187" t="str">
            <v/>
          </cell>
          <cell r="H187">
            <v>43251</v>
          </cell>
          <cell r="I187">
            <v>42795</v>
          </cell>
          <cell r="J187">
            <v>43159</v>
          </cell>
          <cell r="K187">
            <v>42887</v>
          </cell>
          <cell r="L187">
            <v>43251</v>
          </cell>
          <cell r="M187">
            <v>0</v>
          </cell>
          <cell r="N187">
            <v>0</v>
          </cell>
          <cell r="O187">
            <v>11.967123287671233</v>
          </cell>
          <cell r="P187">
            <v>11.967123287671233</v>
          </cell>
          <cell r="Q187">
            <v>14.991780821917807</v>
          </cell>
          <cell r="R187" t="str">
            <v>áno</v>
          </cell>
          <cell r="S187">
            <v>3.0246575342465754</v>
          </cell>
          <cell r="T187" t="str">
            <v>áno</v>
          </cell>
          <cell r="U187">
            <v>3.0246575342465754</v>
          </cell>
          <cell r="V187">
            <v>42795</v>
          </cell>
          <cell r="W187">
            <v>43159</v>
          </cell>
          <cell r="X187">
            <v>42795</v>
          </cell>
          <cell r="Y187">
            <v>43251</v>
          </cell>
          <cell r="Z187">
            <v>11.967123287671233</v>
          </cell>
          <cell r="AA187">
            <v>14.991780821917807</v>
          </cell>
          <cell r="AB187">
            <v>14.991780821917807</v>
          </cell>
          <cell r="AC187" t="str">
            <v>nie</v>
          </cell>
          <cell r="AD187">
            <v>0</v>
          </cell>
          <cell r="AE187" t="str">
            <v>áno</v>
          </cell>
          <cell r="AF187">
            <v>3.0246575342465754</v>
          </cell>
          <cell r="AG187">
            <v>42795</v>
          </cell>
          <cell r="AH187" t="str">
            <v>ok</v>
          </cell>
          <cell r="AJ187" t="b">
            <v>1</v>
          </cell>
        </row>
        <row r="188">
          <cell r="A188" t="str">
            <v>310011B587</v>
          </cell>
          <cell r="B188" t="str">
            <v>1.1.1</v>
          </cell>
          <cell r="C188" t="str">
            <v>OPKZP-PO1-SC111-2016-10</v>
          </cell>
          <cell r="D188" t="str">
            <v>Obec Ľubotín</v>
          </cell>
          <cell r="E188" t="str">
            <v>Rozšírenie separovaného zberu v obci Ľubotín</v>
          </cell>
          <cell r="F188">
            <v>42741</v>
          </cell>
          <cell r="G188" t="str">
            <v/>
          </cell>
          <cell r="H188">
            <v>43159</v>
          </cell>
          <cell r="I188">
            <v>42795</v>
          </cell>
          <cell r="J188">
            <v>43159</v>
          </cell>
          <cell r="K188">
            <v>42795</v>
          </cell>
          <cell r="L188">
            <v>43159</v>
          </cell>
          <cell r="M188" t="str">
            <v>n/a</v>
          </cell>
          <cell r="N188" t="str">
            <v>n/a</v>
          </cell>
          <cell r="O188">
            <v>11.967123287671233</v>
          </cell>
          <cell r="P188">
            <v>11.967123287671233</v>
          </cell>
          <cell r="Q188">
            <v>11.967123287671233</v>
          </cell>
          <cell r="R188" t="str">
            <v>nie</v>
          </cell>
          <cell r="S188">
            <v>0</v>
          </cell>
          <cell r="T188" t="str">
            <v>nie</v>
          </cell>
          <cell r="U188">
            <v>0</v>
          </cell>
          <cell r="V188">
            <v>42795</v>
          </cell>
          <cell r="W188">
            <v>43159</v>
          </cell>
          <cell r="X188">
            <v>42795</v>
          </cell>
          <cell r="Y188">
            <v>43159</v>
          </cell>
          <cell r="Z188">
            <v>11.967123287671233</v>
          </cell>
          <cell r="AA188">
            <v>11.967123287671233</v>
          </cell>
          <cell r="AB188">
            <v>11.967123287671233</v>
          </cell>
          <cell r="AC188" t="str">
            <v>nie</v>
          </cell>
          <cell r="AD188">
            <v>0</v>
          </cell>
          <cell r="AE188" t="str">
            <v>nie</v>
          </cell>
          <cell r="AF188">
            <v>0</v>
          </cell>
          <cell r="AG188">
            <v>42795</v>
          </cell>
          <cell r="AH188" t="str">
            <v>ok</v>
          </cell>
          <cell r="AJ188" t="b">
            <v>1</v>
          </cell>
        </row>
        <row r="189">
          <cell r="A189" t="str">
            <v>310011B588</v>
          </cell>
          <cell r="B189" t="str">
            <v>1.1.1</v>
          </cell>
          <cell r="C189" t="str">
            <v>OPKZP-PO1-SC111-2016-10</v>
          </cell>
          <cell r="D189" t="str">
            <v>Obec Kvakovce</v>
          </cell>
          <cell r="E189" t="str">
            <v>Zvýšenie kapacity triedeného zberu komunálnych odpadov v obci Kvakovce.</v>
          </cell>
          <cell r="F189">
            <v>42753</v>
          </cell>
          <cell r="G189" t="str">
            <v/>
          </cell>
          <cell r="H189">
            <v>43159</v>
          </cell>
          <cell r="I189">
            <v>42795</v>
          </cell>
          <cell r="J189">
            <v>43069</v>
          </cell>
          <cell r="K189">
            <v>42887</v>
          </cell>
          <cell r="L189">
            <v>43159</v>
          </cell>
          <cell r="M189">
            <v>42887</v>
          </cell>
          <cell r="N189">
            <v>43159</v>
          </cell>
          <cell r="O189">
            <v>9.008219178082193</v>
          </cell>
          <cell r="P189">
            <v>8.9424657534246581</v>
          </cell>
          <cell r="Q189">
            <v>11.967123287671233</v>
          </cell>
          <cell r="R189" t="str">
            <v>áno</v>
          </cell>
          <cell r="S189">
            <v>3.0246575342465754</v>
          </cell>
          <cell r="T189" t="str">
            <v>áno</v>
          </cell>
          <cell r="U189">
            <v>2.9589041095890409</v>
          </cell>
          <cell r="V189">
            <v>42795</v>
          </cell>
          <cell r="W189">
            <v>43069</v>
          </cell>
          <cell r="X189">
            <v>42887</v>
          </cell>
          <cell r="Y189">
            <v>43159</v>
          </cell>
          <cell r="Z189">
            <v>9.008219178082193</v>
          </cell>
          <cell r="AA189">
            <v>8.9424657534246581</v>
          </cell>
          <cell r="AB189">
            <v>11.967123287671233</v>
          </cell>
          <cell r="AC189" t="str">
            <v>áno</v>
          </cell>
          <cell r="AD189">
            <v>3.0246575342465754</v>
          </cell>
          <cell r="AE189" t="str">
            <v>áno</v>
          </cell>
          <cell r="AF189">
            <v>2.9589041095890409</v>
          </cell>
          <cell r="AG189">
            <v>42887</v>
          </cell>
          <cell r="AH189" t="str">
            <v>ok</v>
          </cell>
          <cell r="AJ189" t="b">
            <v>1</v>
          </cell>
        </row>
        <row r="190">
          <cell r="A190" t="str">
            <v>310011B589</v>
          </cell>
          <cell r="B190" t="str">
            <v>1.1.1</v>
          </cell>
          <cell r="C190" t="str">
            <v>OPKZP-PO1-SC111-2016-10</v>
          </cell>
          <cell r="D190" t="str">
            <v>Obec Štiavnik</v>
          </cell>
          <cell r="E190" t="str">
            <v>Nákup technológie do zberného dvora v obci Štiavnik</v>
          </cell>
          <cell r="F190">
            <v>42753</v>
          </cell>
          <cell r="G190" t="str">
            <v/>
          </cell>
          <cell r="H190">
            <v>43159</v>
          </cell>
          <cell r="I190">
            <v>42614</v>
          </cell>
          <cell r="J190">
            <v>42947</v>
          </cell>
          <cell r="K190">
            <v>43009</v>
          </cell>
          <cell r="L190">
            <v>43159</v>
          </cell>
          <cell r="M190">
            <v>42917</v>
          </cell>
          <cell r="N190">
            <v>43069</v>
          </cell>
          <cell r="O190">
            <v>10.947945205479453</v>
          </cell>
          <cell r="P190">
            <v>4.9315068493150687</v>
          </cell>
          <cell r="Q190">
            <v>17.917808219178081</v>
          </cell>
          <cell r="R190" t="str">
            <v>áno</v>
          </cell>
          <cell r="S190">
            <v>12.986301369863014</v>
          </cell>
          <cell r="T190" t="str">
            <v>áno</v>
          </cell>
          <cell r="U190">
            <v>6.9698630136986299</v>
          </cell>
          <cell r="V190">
            <v>42614</v>
          </cell>
          <cell r="W190">
            <v>42947</v>
          </cell>
          <cell r="X190">
            <v>42795</v>
          </cell>
          <cell r="Y190">
            <v>43159</v>
          </cell>
          <cell r="Z190">
            <v>10.947945205479453</v>
          </cell>
          <cell r="AA190">
            <v>11.967123287671233</v>
          </cell>
          <cell r="AB190">
            <v>17.917808219178081</v>
          </cell>
          <cell r="AC190" t="str">
            <v>áno</v>
          </cell>
          <cell r="AD190">
            <v>5.9506849315068493</v>
          </cell>
          <cell r="AE190" t="str">
            <v>áno</v>
          </cell>
          <cell r="AF190">
            <v>6.9698630136986299</v>
          </cell>
          <cell r="AG190">
            <v>42795</v>
          </cell>
          <cell r="AH190" t="str">
            <v>termín na začatie do konca mesiaca</v>
          </cell>
          <cell r="AJ190" t="b">
            <v>1</v>
          </cell>
        </row>
        <row r="191">
          <cell r="A191" t="str">
            <v>310011B590</v>
          </cell>
          <cell r="B191" t="str">
            <v>1.1.1</v>
          </cell>
          <cell r="C191" t="str">
            <v>OPKZP-PO1-SC111-2016-10</v>
          </cell>
          <cell r="D191" t="str">
            <v>Obec Pucov</v>
          </cell>
          <cell r="E191" t="str">
            <v>Rozšírenie a zintenzívnenie separovaného zberu v obci Pucov</v>
          </cell>
          <cell r="F191">
            <v>42740</v>
          </cell>
          <cell r="G191" t="str">
            <v/>
          </cell>
          <cell r="H191">
            <v>43159</v>
          </cell>
          <cell r="I191">
            <v>42795</v>
          </cell>
          <cell r="J191">
            <v>43039</v>
          </cell>
          <cell r="K191">
            <v>42917</v>
          </cell>
          <cell r="L191">
            <v>43159</v>
          </cell>
          <cell r="M191">
            <v>0</v>
          </cell>
          <cell r="N191">
            <v>0</v>
          </cell>
          <cell r="O191">
            <v>8.0219178082191789</v>
          </cell>
          <cell r="P191">
            <v>7.956164383561644</v>
          </cell>
          <cell r="Q191">
            <v>11.967123287671233</v>
          </cell>
          <cell r="R191" t="str">
            <v>áno</v>
          </cell>
          <cell r="S191">
            <v>4.0109589041095894</v>
          </cell>
          <cell r="T191" t="str">
            <v>áno</v>
          </cell>
          <cell r="U191">
            <v>3.9452054794520546</v>
          </cell>
          <cell r="V191" t="str">
            <v>-</v>
          </cell>
          <cell r="W191" t="str">
            <v>-</v>
          </cell>
          <cell r="X191" t="str">
            <v>-</v>
          </cell>
          <cell r="Y191" t="str">
            <v>-</v>
          </cell>
          <cell r="Z191" t="str">
            <v>-</v>
          </cell>
          <cell r="AA191" t="str">
            <v>-</v>
          </cell>
          <cell r="AB191" t="e">
            <v>#VALUE!</v>
          </cell>
          <cell r="AC191" t="str">
            <v>-</v>
          </cell>
          <cell r="AD191" t="str">
            <v>-</v>
          </cell>
          <cell r="AE191" t="str">
            <v>-</v>
          </cell>
          <cell r="AF191" t="str">
            <v>-</v>
          </cell>
          <cell r="AG191">
            <v>42917</v>
          </cell>
          <cell r="AH191" t="str">
            <v>ok</v>
          </cell>
          <cell r="AJ191" t="b">
            <v>0</v>
          </cell>
        </row>
        <row r="192">
          <cell r="A192" t="str">
            <v>310011B593</v>
          </cell>
          <cell r="B192" t="str">
            <v>1.1.1</v>
          </cell>
          <cell r="C192" t="str">
            <v>OPKZP-PO1-SC111-2016-11</v>
          </cell>
          <cell r="D192" t="str">
            <v>Obec Kendice</v>
          </cell>
          <cell r="E192" t="str">
            <v>Obecná kompostáreň pre obec Kendice</v>
          </cell>
          <cell r="F192">
            <v>42867</v>
          </cell>
          <cell r="G192" t="str">
            <v/>
          </cell>
          <cell r="H192">
            <v>43251</v>
          </cell>
          <cell r="I192">
            <v>42522</v>
          </cell>
          <cell r="J192">
            <v>43008</v>
          </cell>
          <cell r="K192">
            <v>42522</v>
          </cell>
          <cell r="L192">
            <v>43251</v>
          </cell>
          <cell r="M192">
            <v>0</v>
          </cell>
          <cell r="N192">
            <v>0</v>
          </cell>
          <cell r="O192">
            <v>15.978082191780823</v>
          </cell>
          <cell r="P192">
            <v>23.967123287671232</v>
          </cell>
          <cell r="Q192">
            <v>23.967123287671232</v>
          </cell>
          <cell r="R192" t="str">
            <v>nie</v>
          </cell>
          <cell r="S192">
            <v>0</v>
          </cell>
          <cell r="T192" t="str">
            <v>áno</v>
          </cell>
          <cell r="U192">
            <v>7.9890410958904114</v>
          </cell>
          <cell r="V192" t="str">
            <v>-</v>
          </cell>
          <cell r="W192" t="str">
            <v>-</v>
          </cell>
          <cell r="X192" t="str">
            <v>-</v>
          </cell>
          <cell r="Y192" t="str">
            <v>-</v>
          </cell>
          <cell r="Z192" t="str">
            <v>-</v>
          </cell>
          <cell r="AA192" t="str">
            <v>-</v>
          </cell>
          <cell r="AB192" t="e">
            <v>#VALUE!</v>
          </cell>
          <cell r="AC192" t="str">
            <v>-</v>
          </cell>
          <cell r="AD192" t="str">
            <v>-</v>
          </cell>
          <cell r="AE192" t="str">
            <v>-</v>
          </cell>
          <cell r="AF192" t="str">
            <v>-</v>
          </cell>
          <cell r="AG192">
            <v>42522</v>
          </cell>
          <cell r="AH192" t="str">
            <v>ok</v>
          </cell>
          <cell r="AJ192" t="b">
            <v>0</v>
          </cell>
        </row>
        <row r="193">
          <cell r="A193" t="str">
            <v>310011B597</v>
          </cell>
          <cell r="B193" t="str">
            <v>1.1.1</v>
          </cell>
          <cell r="C193" t="str">
            <v>OPKZP-PO1-SC111-2016-10</v>
          </cell>
          <cell r="D193" t="str">
            <v>obec Búč</v>
          </cell>
          <cell r="E193" t="str">
            <v>Zberný dvor obce Búč</v>
          </cell>
          <cell r="F193">
            <v>42754</v>
          </cell>
          <cell r="G193" t="str">
            <v/>
          </cell>
          <cell r="H193">
            <v>43190</v>
          </cell>
          <cell r="I193">
            <v>42461</v>
          </cell>
          <cell r="J193">
            <v>42886</v>
          </cell>
          <cell r="K193">
            <v>42461</v>
          </cell>
          <cell r="L193">
            <v>43190</v>
          </cell>
          <cell r="M193">
            <v>0</v>
          </cell>
          <cell r="N193">
            <v>0</v>
          </cell>
          <cell r="O193">
            <v>13.972602739726028</v>
          </cell>
          <cell r="P193">
            <v>23.967123287671232</v>
          </cell>
          <cell r="Q193">
            <v>23.967123287671232</v>
          </cell>
          <cell r="R193" t="str">
            <v>nie</v>
          </cell>
          <cell r="S193">
            <v>0</v>
          </cell>
          <cell r="T193" t="str">
            <v>áno</v>
          </cell>
          <cell r="U193">
            <v>9.9945205479452053</v>
          </cell>
          <cell r="V193">
            <v>42614</v>
          </cell>
          <cell r="W193">
            <v>42886</v>
          </cell>
          <cell r="X193">
            <v>42614</v>
          </cell>
          <cell r="Y193">
            <v>43190</v>
          </cell>
          <cell r="Z193">
            <v>8.9424657534246581</v>
          </cell>
          <cell r="AA193">
            <v>18.936986301369863</v>
          </cell>
          <cell r="AB193">
            <v>18.936986301369863</v>
          </cell>
          <cell r="AC193" t="str">
            <v>nie</v>
          </cell>
          <cell r="AD193">
            <v>0</v>
          </cell>
          <cell r="AE193" t="str">
            <v>áno</v>
          </cell>
          <cell r="AF193">
            <v>9.9945205479452053</v>
          </cell>
          <cell r="AG193">
            <v>42614</v>
          </cell>
          <cell r="AH193" t="str">
            <v>ok</v>
          </cell>
          <cell r="AJ193" t="b">
            <v>1</v>
          </cell>
        </row>
        <row r="194">
          <cell r="A194" t="str">
            <v>310011B598</v>
          </cell>
          <cell r="B194" t="str">
            <v>1.1.1</v>
          </cell>
          <cell r="C194" t="str">
            <v>OPKZP-PO1-SC111-2016-10</v>
          </cell>
          <cell r="D194" t="str">
            <v>Obec Hatné</v>
          </cell>
          <cell r="E194" t="str">
            <v>Triedený zber komunálnych odpadov v obci Hatné</v>
          </cell>
          <cell r="F194">
            <v>42740</v>
          </cell>
          <cell r="G194" t="str">
            <v/>
          </cell>
          <cell r="H194">
            <v>43312</v>
          </cell>
          <cell r="I194">
            <v>42795</v>
          </cell>
          <cell r="J194">
            <v>43159</v>
          </cell>
          <cell r="K194">
            <v>42948</v>
          </cell>
          <cell r="L194">
            <v>43312</v>
          </cell>
          <cell r="M194">
            <v>42948</v>
          </cell>
          <cell r="N194">
            <v>43311</v>
          </cell>
          <cell r="O194">
            <v>11.967123287671233</v>
          </cell>
          <cell r="P194">
            <v>11.967123287671233</v>
          </cell>
          <cell r="Q194">
            <v>16.997260273972604</v>
          </cell>
          <cell r="R194" t="str">
            <v>áno</v>
          </cell>
          <cell r="S194">
            <v>5.0301369863013701</v>
          </cell>
          <cell r="T194" t="str">
            <v>áno</v>
          </cell>
          <cell r="U194">
            <v>5.0301369863013701</v>
          </cell>
          <cell r="V194" t="str">
            <v>-</v>
          </cell>
          <cell r="W194" t="str">
            <v>-</v>
          </cell>
          <cell r="X194" t="str">
            <v>-</v>
          </cell>
          <cell r="Y194" t="str">
            <v>-</v>
          </cell>
          <cell r="Z194" t="str">
            <v>-</v>
          </cell>
          <cell r="AA194" t="str">
            <v>-</v>
          </cell>
          <cell r="AB194" t="e">
            <v>#VALUE!</v>
          </cell>
          <cell r="AC194" t="str">
            <v>-</v>
          </cell>
          <cell r="AD194" t="str">
            <v>-</v>
          </cell>
          <cell r="AE194" t="str">
            <v>-</v>
          </cell>
          <cell r="AF194" t="str">
            <v>-</v>
          </cell>
          <cell r="AG194">
            <v>42948</v>
          </cell>
          <cell r="AH194" t="str">
            <v>po termíne</v>
          </cell>
          <cell r="AJ194" t="b">
            <v>0</v>
          </cell>
        </row>
        <row r="195">
          <cell r="A195" t="str">
            <v>310011B599</v>
          </cell>
          <cell r="B195" t="str">
            <v>1.1.1</v>
          </cell>
          <cell r="C195" t="str">
            <v>OPKZP-PO1-SC111-2016-10</v>
          </cell>
          <cell r="D195" t="str">
            <v>Obec Slaská</v>
          </cell>
          <cell r="E195" t="str">
            <v>Nákup technológie pre triedený zber komunálnych odpadov v obci Slaská</v>
          </cell>
          <cell r="F195">
            <v>42762</v>
          </cell>
          <cell r="G195" t="str">
            <v/>
          </cell>
          <cell r="H195">
            <v>43131</v>
          </cell>
          <cell r="I195">
            <v>42767</v>
          </cell>
          <cell r="J195">
            <v>42916</v>
          </cell>
          <cell r="K195">
            <v>42979</v>
          </cell>
          <cell r="L195">
            <v>43131</v>
          </cell>
          <cell r="M195">
            <v>0</v>
          </cell>
          <cell r="N195">
            <v>0</v>
          </cell>
          <cell r="O195">
            <v>4.8986301369863012</v>
          </cell>
          <cell r="P195">
            <v>4.9972602739726026</v>
          </cell>
          <cell r="Q195">
            <v>11.967123287671233</v>
          </cell>
          <cell r="R195" t="str">
            <v>áno</v>
          </cell>
          <cell r="S195">
            <v>6.9698630136986299</v>
          </cell>
          <cell r="T195" t="str">
            <v>áno</v>
          </cell>
          <cell r="U195">
            <v>7.0684931506849313</v>
          </cell>
          <cell r="V195">
            <v>42767</v>
          </cell>
          <cell r="W195">
            <v>42916</v>
          </cell>
          <cell r="X195">
            <v>42979</v>
          </cell>
          <cell r="Y195">
            <v>43131</v>
          </cell>
          <cell r="Z195">
            <v>4.8986301369863012</v>
          </cell>
          <cell r="AA195">
            <v>4.9972602739726026</v>
          </cell>
          <cell r="AB195">
            <v>11.967123287671233</v>
          </cell>
          <cell r="AC195" t="str">
            <v>áno</v>
          </cell>
          <cell r="AD195">
            <v>6.9698630136986299</v>
          </cell>
          <cell r="AE195" t="str">
            <v>áno</v>
          </cell>
          <cell r="AF195">
            <v>7.0684931506849313</v>
          </cell>
          <cell r="AG195">
            <v>42979</v>
          </cell>
          <cell r="AH195" t="str">
            <v>po termíne</v>
          </cell>
          <cell r="AJ195" t="b">
            <v>1</v>
          </cell>
        </row>
        <row r="196">
          <cell r="A196" t="str">
            <v>310011B601</v>
          </cell>
          <cell r="B196" t="str">
            <v>1.1.1</v>
          </cell>
          <cell r="C196" t="str">
            <v>OPKZP-PO1-SC111-2016-10</v>
          </cell>
          <cell r="D196" t="str">
            <v>obec Veľký Kýr</v>
          </cell>
          <cell r="E196" t="str">
            <v>Zberný dvor Veľký Kýr</v>
          </cell>
          <cell r="F196">
            <v>42746</v>
          </cell>
          <cell r="G196" t="str">
            <v/>
          </cell>
          <cell r="H196">
            <v>43159</v>
          </cell>
          <cell r="I196">
            <v>42795</v>
          </cell>
          <cell r="J196">
            <v>43159</v>
          </cell>
          <cell r="K196">
            <v>42917</v>
          </cell>
          <cell r="L196">
            <v>43159</v>
          </cell>
          <cell r="M196">
            <v>42917</v>
          </cell>
          <cell r="N196">
            <v>43159</v>
          </cell>
          <cell r="O196">
            <v>11.967123287671233</v>
          </cell>
          <cell r="P196">
            <v>7.956164383561644</v>
          </cell>
          <cell r="Q196">
            <v>11.967123287671233</v>
          </cell>
          <cell r="R196" t="str">
            <v>áno</v>
          </cell>
          <cell r="S196">
            <v>4.0109589041095894</v>
          </cell>
          <cell r="T196" t="str">
            <v>nie</v>
          </cell>
          <cell r="U196">
            <v>0</v>
          </cell>
          <cell r="V196">
            <v>42795</v>
          </cell>
          <cell r="W196">
            <v>43159</v>
          </cell>
          <cell r="X196">
            <v>42795</v>
          </cell>
          <cell r="Y196">
            <v>43159</v>
          </cell>
          <cell r="Z196">
            <v>11.967123287671233</v>
          </cell>
          <cell r="AA196">
            <v>11.967123287671233</v>
          </cell>
          <cell r="AB196">
            <v>11.967123287671233</v>
          </cell>
          <cell r="AC196" t="str">
            <v>nie</v>
          </cell>
          <cell r="AD196">
            <v>0</v>
          </cell>
          <cell r="AE196" t="str">
            <v>nie</v>
          </cell>
          <cell r="AF196">
            <v>0</v>
          </cell>
          <cell r="AG196">
            <v>42795</v>
          </cell>
          <cell r="AH196" t="str">
            <v>ok</v>
          </cell>
          <cell r="AJ196" t="b">
            <v>1</v>
          </cell>
        </row>
        <row r="197">
          <cell r="A197" t="str">
            <v>310011B602</v>
          </cell>
          <cell r="B197" t="str">
            <v>1.1.1</v>
          </cell>
          <cell r="C197" t="str">
            <v>OPKZP-PO1-SC111-2016-11</v>
          </cell>
          <cell r="D197" t="str">
            <v>Obec Malé Lednice</v>
          </cell>
          <cell r="E197" t="str">
            <v>Zhodnocovanie biologicky rozložiteľného komunálneho odpadu v obci Malé Lednice</v>
          </cell>
          <cell r="F197">
            <v>42868</v>
          </cell>
          <cell r="G197" t="str">
            <v/>
          </cell>
          <cell r="H197">
            <v>43190</v>
          </cell>
          <cell r="I197">
            <v>42491</v>
          </cell>
          <cell r="J197">
            <v>43008</v>
          </cell>
          <cell r="K197">
            <v>42491</v>
          </cell>
          <cell r="L197">
            <v>43190</v>
          </cell>
          <cell r="M197">
            <v>0</v>
          </cell>
          <cell r="N197">
            <v>43190</v>
          </cell>
          <cell r="O197">
            <v>16.997260273972604</v>
          </cell>
          <cell r="P197">
            <v>22.980821917808221</v>
          </cell>
          <cell r="Q197">
            <v>22.980821917808221</v>
          </cell>
          <cell r="R197" t="str">
            <v>nie</v>
          </cell>
          <cell r="S197">
            <v>0</v>
          </cell>
          <cell r="T197" t="str">
            <v>áno</v>
          </cell>
          <cell r="U197">
            <v>5.9835616438356167</v>
          </cell>
          <cell r="V197" t="str">
            <v>-</v>
          </cell>
          <cell r="W197" t="str">
            <v>-</v>
          </cell>
          <cell r="X197" t="str">
            <v>-</v>
          </cell>
          <cell r="Y197" t="str">
            <v>-</v>
          </cell>
          <cell r="Z197" t="str">
            <v>-</v>
          </cell>
          <cell r="AA197" t="str">
            <v>-</v>
          </cell>
          <cell r="AB197" t="e">
            <v>#VALUE!</v>
          </cell>
          <cell r="AC197" t="str">
            <v>-</v>
          </cell>
          <cell r="AD197" t="str">
            <v>-</v>
          </cell>
          <cell r="AE197" t="str">
            <v>-</v>
          </cell>
          <cell r="AF197" t="str">
            <v>-</v>
          </cell>
          <cell r="AG197">
            <v>42491</v>
          </cell>
          <cell r="AH197" t="str">
            <v>ok</v>
          </cell>
          <cell r="AJ197" t="b">
            <v>0</v>
          </cell>
        </row>
        <row r="198">
          <cell r="A198" t="str">
            <v>310011B608</v>
          </cell>
          <cell r="B198" t="str">
            <v>1.1.1</v>
          </cell>
          <cell r="C198" t="str">
            <v>OPKZP-PO1-SC111-2016-11</v>
          </cell>
          <cell r="D198" t="str">
            <v>Technické služby mesta Prešov a.s.</v>
          </cell>
          <cell r="E198" t="str">
            <v>Skvalitnenie triedeného zberu komunálneho odpadu.- technika pre zvoz a spracovanie biologicky rozložiteľného komunálneho odpadu.</v>
          </cell>
          <cell r="F198">
            <v>42740</v>
          </cell>
          <cell r="G198" t="str">
            <v/>
          </cell>
          <cell r="H198">
            <v>43190</v>
          </cell>
          <cell r="I198">
            <v>42795</v>
          </cell>
          <cell r="J198">
            <v>43008</v>
          </cell>
          <cell r="K198">
            <v>42979</v>
          </cell>
          <cell r="L198">
            <v>43190</v>
          </cell>
          <cell r="M198">
            <v>42979</v>
          </cell>
          <cell r="N198">
            <v>43190</v>
          </cell>
          <cell r="O198">
            <v>7.0027397260273982</v>
          </cell>
          <cell r="P198">
            <v>6.9369863013698625</v>
          </cell>
          <cell r="Q198">
            <v>12.986301369863014</v>
          </cell>
          <cell r="R198" t="str">
            <v>áno</v>
          </cell>
          <cell r="S198">
            <v>6.0493150684931507</v>
          </cell>
          <cell r="T198" t="str">
            <v>áno</v>
          </cell>
          <cell r="U198">
            <v>5.9835616438356167</v>
          </cell>
          <cell r="V198" t="str">
            <v>-</v>
          </cell>
          <cell r="W198" t="str">
            <v>-</v>
          </cell>
          <cell r="X198" t="str">
            <v>-</v>
          </cell>
          <cell r="Y198" t="str">
            <v>-</v>
          </cell>
          <cell r="Z198" t="str">
            <v>-</v>
          </cell>
          <cell r="AA198" t="str">
            <v>-</v>
          </cell>
          <cell r="AB198" t="e">
            <v>#VALUE!</v>
          </cell>
          <cell r="AC198" t="str">
            <v>-</v>
          </cell>
          <cell r="AD198" t="str">
            <v>-</v>
          </cell>
          <cell r="AE198" t="str">
            <v>-</v>
          </cell>
          <cell r="AF198" t="str">
            <v>-</v>
          </cell>
          <cell r="AG198">
            <v>42979</v>
          </cell>
          <cell r="AH198" t="str">
            <v>po termíne</v>
          </cell>
          <cell r="AJ198" t="b">
            <v>0</v>
          </cell>
        </row>
        <row r="199">
          <cell r="A199" t="str">
            <v>310011B612</v>
          </cell>
          <cell r="B199" t="str">
            <v>1.1.1</v>
          </cell>
          <cell r="C199" t="str">
            <v>OPKZP-PO1-SC111-2016-10</v>
          </cell>
          <cell r="D199" t="str">
            <v>Obec Šoporňa</v>
          </cell>
          <cell r="E199" t="str">
            <v>Zberný dvor Šoporňa</v>
          </cell>
          <cell r="F199">
            <v>42741</v>
          </cell>
          <cell r="G199" t="str">
            <v/>
          </cell>
          <cell r="H199">
            <v>42978</v>
          </cell>
          <cell r="I199">
            <v>42461</v>
          </cell>
          <cell r="J199">
            <v>42978</v>
          </cell>
          <cell r="K199">
            <v>42461</v>
          </cell>
          <cell r="L199">
            <v>42978</v>
          </cell>
          <cell r="M199">
            <v>0</v>
          </cell>
          <cell r="N199">
            <v>0</v>
          </cell>
          <cell r="O199">
            <v>16.997260273972604</v>
          </cell>
          <cell r="P199">
            <v>16.997260273972604</v>
          </cell>
          <cell r="Q199">
            <v>16.997260273972604</v>
          </cell>
          <cell r="R199" t="str">
            <v>nie</v>
          </cell>
          <cell r="S199">
            <v>0</v>
          </cell>
          <cell r="T199" t="str">
            <v>nie</v>
          </cell>
          <cell r="U199">
            <v>0</v>
          </cell>
          <cell r="V199">
            <v>42461</v>
          </cell>
          <cell r="W199">
            <v>42978</v>
          </cell>
          <cell r="X199">
            <v>42461</v>
          </cell>
          <cell r="Y199">
            <v>42978</v>
          </cell>
          <cell r="Z199">
            <v>16.997260273972604</v>
          </cell>
          <cell r="AA199">
            <v>16.997260273972604</v>
          </cell>
          <cell r="AB199">
            <v>16.997260273972604</v>
          </cell>
          <cell r="AC199" t="str">
            <v>nie</v>
          </cell>
          <cell r="AD199">
            <v>0</v>
          </cell>
          <cell r="AE199" t="str">
            <v>nie</v>
          </cell>
          <cell r="AF199">
            <v>0</v>
          </cell>
          <cell r="AG199">
            <v>42461</v>
          </cell>
          <cell r="AH199" t="str">
            <v>ok</v>
          </cell>
          <cell r="AJ199" t="b">
            <v>1</v>
          </cell>
        </row>
        <row r="200">
          <cell r="A200" t="str">
            <v>310011B614</v>
          </cell>
          <cell r="B200" t="str">
            <v>1.1.1</v>
          </cell>
          <cell r="C200" t="str">
            <v>OPKZP-PO1-SC111-2016-10</v>
          </cell>
          <cell r="D200" t="str">
            <v>Obec Jablonov nad Turňou</v>
          </cell>
          <cell r="E200" t="str">
            <v>Zberný dvor odpadu v obci Jablonov nad Turňou</v>
          </cell>
          <cell r="F200">
            <v>42773</v>
          </cell>
          <cell r="G200" t="str">
            <v/>
          </cell>
          <cell r="H200">
            <v>43100</v>
          </cell>
          <cell r="I200">
            <v>42491</v>
          </cell>
          <cell r="J200">
            <v>42916</v>
          </cell>
          <cell r="K200">
            <v>42491</v>
          </cell>
          <cell r="L200">
            <v>43100</v>
          </cell>
          <cell r="M200" t="str">
            <v>n/a</v>
          </cell>
          <cell r="N200">
            <v>43100</v>
          </cell>
          <cell r="O200">
            <v>13.972602739726028</v>
          </cell>
          <cell r="P200">
            <v>20.021917808219179</v>
          </cell>
          <cell r="Q200">
            <v>20.021917808219179</v>
          </cell>
          <cell r="R200" t="str">
            <v>nie</v>
          </cell>
          <cell r="S200">
            <v>0</v>
          </cell>
          <cell r="T200" t="str">
            <v>áno</v>
          </cell>
          <cell r="U200">
            <v>6.0493150684931507</v>
          </cell>
          <cell r="V200">
            <v>42491</v>
          </cell>
          <cell r="W200">
            <v>42916</v>
          </cell>
          <cell r="X200">
            <v>42491</v>
          </cell>
          <cell r="Y200">
            <v>43100</v>
          </cell>
          <cell r="Z200">
            <v>13.972602739726028</v>
          </cell>
          <cell r="AA200">
            <v>20.021917808219179</v>
          </cell>
          <cell r="AB200">
            <v>20.021917808219179</v>
          </cell>
          <cell r="AC200" t="str">
            <v>nie</v>
          </cell>
          <cell r="AD200">
            <v>0</v>
          </cell>
          <cell r="AE200" t="str">
            <v>áno</v>
          </cell>
          <cell r="AF200">
            <v>6.0493150684931507</v>
          </cell>
          <cell r="AG200">
            <v>42491</v>
          </cell>
          <cell r="AH200" t="str">
            <v>ok</v>
          </cell>
          <cell r="AJ200" t="b">
            <v>1</v>
          </cell>
        </row>
        <row r="201">
          <cell r="A201" t="str">
            <v>310011B748</v>
          </cell>
          <cell r="B201" t="str">
            <v>1.1.1</v>
          </cell>
          <cell r="C201" t="str">
            <v>OPKZP-PO1-SC111-2016-11</v>
          </cell>
          <cell r="D201" t="str">
            <v>Obec Motešice</v>
          </cell>
          <cell r="E201" t="str">
            <v>Zhodnocovanie biologicky rozložiteľného komunálneho odpadu v obci Motešice</v>
          </cell>
          <cell r="F201">
            <v>42879</v>
          </cell>
          <cell r="G201" t="str">
            <v/>
          </cell>
          <cell r="H201">
            <v>43159</v>
          </cell>
          <cell r="I201">
            <v>42795</v>
          </cell>
          <cell r="J201">
            <v>43159</v>
          </cell>
          <cell r="K201">
            <v>42795</v>
          </cell>
          <cell r="L201">
            <v>43159</v>
          </cell>
          <cell r="M201" t="str">
            <v>n/a</v>
          </cell>
          <cell r="N201">
            <v>0</v>
          </cell>
          <cell r="O201">
            <v>11.967123287671233</v>
          </cell>
          <cell r="P201">
            <v>11.967123287671233</v>
          </cell>
          <cell r="Q201">
            <v>11.967123287671233</v>
          </cell>
          <cell r="R201" t="str">
            <v>nie</v>
          </cell>
          <cell r="S201">
            <v>0</v>
          </cell>
          <cell r="T201" t="str">
            <v>nie</v>
          </cell>
          <cell r="U201">
            <v>0</v>
          </cell>
          <cell r="V201" t="str">
            <v>-</v>
          </cell>
          <cell r="W201" t="str">
            <v>-</v>
          </cell>
          <cell r="X201" t="str">
            <v>-</v>
          </cell>
          <cell r="Y201" t="str">
            <v>-</v>
          </cell>
          <cell r="Z201" t="str">
            <v>-</v>
          </cell>
          <cell r="AA201" t="str">
            <v>-</v>
          </cell>
          <cell r="AB201" t="e">
            <v>#VALUE!</v>
          </cell>
          <cell r="AC201" t="str">
            <v>-</v>
          </cell>
          <cell r="AD201" t="str">
            <v>-</v>
          </cell>
          <cell r="AE201" t="str">
            <v>-</v>
          </cell>
          <cell r="AF201" t="str">
            <v>-</v>
          </cell>
          <cell r="AG201">
            <v>42795</v>
          </cell>
          <cell r="AH201" t="str">
            <v>ok</v>
          </cell>
          <cell r="AJ201" t="b">
            <v>0</v>
          </cell>
        </row>
        <row r="202">
          <cell r="A202" t="str">
            <v>310011B868</v>
          </cell>
          <cell r="B202" t="str">
            <v>1.1.1</v>
          </cell>
          <cell r="C202" t="str">
            <v>OPKZP-PO1-SC111-2016-11</v>
          </cell>
          <cell r="D202" t="str">
            <v>Obec Klčov</v>
          </cell>
          <cell r="E202" t="str">
            <v>Zhodnocovanie biologicky rozložiteľného komunálneho odpadu v obci Klčov</v>
          </cell>
          <cell r="F202">
            <v>42868</v>
          </cell>
          <cell r="G202" t="str">
            <v/>
          </cell>
          <cell r="H202">
            <v>43343</v>
          </cell>
          <cell r="I202">
            <v>42887</v>
          </cell>
          <cell r="J202">
            <v>43220</v>
          </cell>
          <cell r="K202">
            <v>43009</v>
          </cell>
          <cell r="L202">
            <v>43343</v>
          </cell>
          <cell r="M202">
            <v>43009</v>
          </cell>
          <cell r="N202">
            <v>43343</v>
          </cell>
          <cell r="O202">
            <v>10.947945205479453</v>
          </cell>
          <cell r="P202">
            <v>10.980821917808219</v>
          </cell>
          <cell r="Q202">
            <v>14.991780821917807</v>
          </cell>
          <cell r="R202" t="str">
            <v>áno</v>
          </cell>
          <cell r="S202">
            <v>4.0109589041095894</v>
          </cell>
          <cell r="T202" t="str">
            <v>áno</v>
          </cell>
          <cell r="U202">
            <v>4.043835616438356</v>
          </cell>
          <cell r="V202" t="str">
            <v>-</v>
          </cell>
          <cell r="W202" t="str">
            <v>-</v>
          </cell>
          <cell r="X202" t="str">
            <v>-</v>
          </cell>
          <cell r="Y202" t="str">
            <v>-</v>
          </cell>
          <cell r="Z202" t="str">
            <v>-</v>
          </cell>
          <cell r="AA202" t="str">
            <v>-</v>
          </cell>
          <cell r="AB202" t="e">
            <v>#VALUE!</v>
          </cell>
          <cell r="AC202" t="str">
            <v>-</v>
          </cell>
          <cell r="AD202" t="str">
            <v>-</v>
          </cell>
          <cell r="AE202" t="str">
            <v>-</v>
          </cell>
          <cell r="AF202" t="str">
            <v>-</v>
          </cell>
          <cell r="AG202">
            <v>43009</v>
          </cell>
          <cell r="AH202" t="str">
            <v>termín na začatie do konca mesiaca</v>
          </cell>
          <cell r="AJ202" t="b">
            <v>0</v>
          </cell>
        </row>
        <row r="203">
          <cell r="A203" t="str">
            <v>310011B885</v>
          </cell>
          <cell r="B203" t="str">
            <v>1.1.1</v>
          </cell>
          <cell r="C203" t="str">
            <v>OPKZP-PO1-SC111-2016-11</v>
          </cell>
          <cell r="D203" t="str">
            <v>Obec Ňagov</v>
          </cell>
          <cell r="E203" t="str">
            <v>Zhodnocovanie biologicky rozložiteľného komunálneho odpadu v obci Ňagov</v>
          </cell>
          <cell r="F203">
            <v>42879</v>
          </cell>
          <cell r="G203" t="str">
            <v/>
          </cell>
          <cell r="H203">
            <v>43312</v>
          </cell>
          <cell r="I203">
            <v>42887</v>
          </cell>
          <cell r="J203">
            <v>43190</v>
          </cell>
          <cell r="K203">
            <v>42887</v>
          </cell>
          <cell r="L203">
            <v>43312</v>
          </cell>
          <cell r="M203">
            <v>43009</v>
          </cell>
          <cell r="N203">
            <v>43312</v>
          </cell>
          <cell r="O203">
            <v>9.9616438356164387</v>
          </cell>
          <cell r="P203">
            <v>13.972602739726028</v>
          </cell>
          <cell r="Q203">
            <v>13.972602739726028</v>
          </cell>
          <cell r="R203" t="str">
            <v>nie</v>
          </cell>
          <cell r="S203">
            <v>0</v>
          </cell>
          <cell r="T203" t="str">
            <v>áno</v>
          </cell>
          <cell r="U203">
            <v>4.0109589041095894</v>
          </cell>
          <cell r="V203" t="str">
            <v>-</v>
          </cell>
          <cell r="W203" t="str">
            <v>-</v>
          </cell>
          <cell r="X203" t="str">
            <v>-</v>
          </cell>
          <cell r="Y203" t="str">
            <v>-</v>
          </cell>
          <cell r="Z203" t="str">
            <v>-</v>
          </cell>
          <cell r="AA203" t="str">
            <v>-</v>
          </cell>
          <cell r="AB203" t="e">
            <v>#VALUE!</v>
          </cell>
          <cell r="AC203" t="str">
            <v>-</v>
          </cell>
          <cell r="AD203" t="str">
            <v>-</v>
          </cell>
          <cell r="AE203" t="str">
            <v>-</v>
          </cell>
          <cell r="AF203" t="str">
            <v>-</v>
          </cell>
          <cell r="AG203">
            <v>42887</v>
          </cell>
          <cell r="AH203" t="str">
            <v>ok</v>
          </cell>
          <cell r="AJ203" t="b">
            <v>0</v>
          </cell>
        </row>
        <row r="204">
          <cell r="A204" t="str">
            <v>310011B919</v>
          </cell>
          <cell r="B204" t="str">
            <v>1.1.1</v>
          </cell>
          <cell r="C204" t="str">
            <v>OPKZP-PO1-SC111-2016-10</v>
          </cell>
          <cell r="D204" t="str">
            <v>Mesto Gbely</v>
          </cell>
          <cell r="E204" t="str">
            <v>Zberný dvor odpadov Gbely – druhá etapa</v>
          </cell>
          <cell r="F204">
            <v>42769</v>
          </cell>
          <cell r="G204" t="str">
            <v/>
          </cell>
          <cell r="H204">
            <v>43131</v>
          </cell>
          <cell r="I204">
            <v>42736</v>
          </cell>
          <cell r="J204">
            <v>43039</v>
          </cell>
          <cell r="K204">
            <v>42826</v>
          </cell>
          <cell r="L204">
            <v>43131</v>
          </cell>
          <cell r="M204">
            <v>0</v>
          </cell>
          <cell r="N204">
            <v>0</v>
          </cell>
          <cell r="O204">
            <v>9.9616438356164387</v>
          </cell>
          <cell r="P204">
            <v>10.027397260273972</v>
          </cell>
          <cell r="Q204">
            <v>12.986301369863014</v>
          </cell>
          <cell r="R204" t="str">
            <v>áno</v>
          </cell>
          <cell r="S204">
            <v>2.9589041095890409</v>
          </cell>
          <cell r="T204" t="str">
            <v>áno</v>
          </cell>
          <cell r="U204">
            <v>3.0246575342465754</v>
          </cell>
          <cell r="V204">
            <v>42736</v>
          </cell>
          <cell r="W204">
            <v>43039</v>
          </cell>
          <cell r="X204">
            <v>42736</v>
          </cell>
          <cell r="Y204">
            <v>43131</v>
          </cell>
          <cell r="Z204">
            <v>9.9616438356164387</v>
          </cell>
          <cell r="AA204">
            <v>12.986301369863014</v>
          </cell>
          <cell r="AB204">
            <v>12.986301369863014</v>
          </cell>
          <cell r="AC204" t="str">
            <v>nie</v>
          </cell>
          <cell r="AD204">
            <v>0</v>
          </cell>
          <cell r="AE204" t="str">
            <v>áno</v>
          </cell>
          <cell r="AF204">
            <v>3.0246575342465754</v>
          </cell>
          <cell r="AG204">
            <v>42736</v>
          </cell>
          <cell r="AH204" t="str">
            <v>ok</v>
          </cell>
          <cell r="AJ204" t="b">
            <v>1</v>
          </cell>
        </row>
        <row r="205">
          <cell r="A205" t="str">
            <v>310011B942</v>
          </cell>
          <cell r="B205" t="str">
            <v>1.4.1</v>
          </cell>
          <cell r="C205" t="str">
            <v>OPKZP-PO1-SC141-2016-14</v>
          </cell>
          <cell r="D205" t="str">
            <v>U. S. Steel Košice, s.r.o.</v>
          </cell>
          <cell r="E205" t="str">
            <v>Kontrola emisií pre rudné mosty VP3 – Prestavba EO34</v>
          </cell>
          <cell r="F205">
            <v>42703</v>
          </cell>
          <cell r="G205" t="str">
            <v/>
          </cell>
          <cell r="H205">
            <v>43677</v>
          </cell>
          <cell r="I205">
            <v>43070</v>
          </cell>
          <cell r="J205">
            <v>43799</v>
          </cell>
          <cell r="K205">
            <v>42948</v>
          </cell>
          <cell r="L205">
            <v>43677</v>
          </cell>
          <cell r="M205">
            <v>0</v>
          </cell>
          <cell r="N205">
            <v>0</v>
          </cell>
          <cell r="O205">
            <v>23.967123287671232</v>
          </cell>
          <cell r="P205">
            <v>23.967123287671232</v>
          </cell>
          <cell r="Q205">
            <v>19.956164383561642</v>
          </cell>
          <cell r="R205" t="str">
            <v>áno</v>
          </cell>
          <cell r="S205">
            <v>-4.0109589041095894</v>
          </cell>
          <cell r="T205" t="str">
            <v>nie</v>
          </cell>
          <cell r="U205">
            <v>-4.0109589041095894</v>
          </cell>
          <cell r="V205" t="str">
            <v>-</v>
          </cell>
          <cell r="W205" t="str">
            <v>-</v>
          </cell>
          <cell r="X205" t="str">
            <v>-</v>
          </cell>
          <cell r="Y205" t="str">
            <v>-</v>
          </cell>
          <cell r="Z205" t="str">
            <v>-</v>
          </cell>
          <cell r="AA205" t="str">
            <v>-</v>
          </cell>
          <cell r="AB205" t="e">
            <v>#VALUE!</v>
          </cell>
          <cell r="AC205" t="str">
            <v>-</v>
          </cell>
          <cell r="AD205" t="str">
            <v>-</v>
          </cell>
          <cell r="AE205" t="str">
            <v>-</v>
          </cell>
          <cell r="AF205" t="str">
            <v>-</v>
          </cell>
          <cell r="AG205">
            <v>42948</v>
          </cell>
          <cell r="AH205" t="str">
            <v>ok</v>
          </cell>
          <cell r="AJ205" t="b">
            <v>0</v>
          </cell>
        </row>
        <row r="206">
          <cell r="A206" t="str">
            <v>310011B952</v>
          </cell>
          <cell r="B206" t="str">
            <v>1.1.1</v>
          </cell>
          <cell r="C206" t="str">
            <v>OPKZP-PO1-SC111-2016-11</v>
          </cell>
          <cell r="D206" t="str">
            <v>Obec Vinné</v>
          </cell>
          <cell r="E206" t="str">
            <v>Zberný dvor Vinné - výstavba zariadenia pre zhodnocovanie BRO</v>
          </cell>
          <cell r="F206">
            <v>42879</v>
          </cell>
          <cell r="G206" t="str">
            <v/>
          </cell>
          <cell r="H206">
            <v>43343</v>
          </cell>
          <cell r="I206">
            <v>42887</v>
          </cell>
          <cell r="J206">
            <v>43251</v>
          </cell>
          <cell r="K206">
            <v>42979</v>
          </cell>
          <cell r="L206">
            <v>43343</v>
          </cell>
          <cell r="M206">
            <v>0</v>
          </cell>
          <cell r="N206">
            <v>0</v>
          </cell>
          <cell r="O206">
            <v>11.967123287671233</v>
          </cell>
          <cell r="P206">
            <v>11.967123287671233</v>
          </cell>
          <cell r="Q206">
            <v>14.991780821917807</v>
          </cell>
          <cell r="R206" t="str">
            <v>áno</v>
          </cell>
          <cell r="S206">
            <v>3.0246575342465754</v>
          </cell>
          <cell r="T206" t="str">
            <v>áno</v>
          </cell>
          <cell r="U206">
            <v>3.0246575342465754</v>
          </cell>
          <cell r="V206" t="str">
            <v>-</v>
          </cell>
          <cell r="W206" t="str">
            <v>-</v>
          </cell>
          <cell r="X206" t="str">
            <v>-</v>
          </cell>
          <cell r="Y206" t="str">
            <v>-</v>
          </cell>
          <cell r="Z206" t="str">
            <v>-</v>
          </cell>
          <cell r="AA206" t="str">
            <v>-</v>
          </cell>
          <cell r="AB206" t="e">
            <v>#VALUE!</v>
          </cell>
          <cell r="AC206" t="str">
            <v>-</v>
          </cell>
          <cell r="AD206" t="str">
            <v>-</v>
          </cell>
          <cell r="AE206" t="str">
            <v>-</v>
          </cell>
          <cell r="AF206" t="str">
            <v>-</v>
          </cell>
          <cell r="AG206">
            <v>42979</v>
          </cell>
          <cell r="AH206" t="str">
            <v>po termíne</v>
          </cell>
          <cell r="AJ206" t="b">
            <v>0</v>
          </cell>
        </row>
        <row r="207">
          <cell r="A207" t="str">
            <v>310011B967</v>
          </cell>
          <cell r="B207" t="str">
            <v>1.1.1</v>
          </cell>
          <cell r="C207" t="str">
            <v>OPKZP-PO1-SC111-2016-11</v>
          </cell>
          <cell r="D207" t="str">
            <v>VEPOS, spol. s.r.o.</v>
          </cell>
          <cell r="E207" t="str">
            <v>Rozšírenie zberu BRO pre mesto Vráble</v>
          </cell>
          <cell r="F207">
            <v>42880</v>
          </cell>
          <cell r="G207" t="str">
            <v/>
          </cell>
          <cell r="H207">
            <v>43404</v>
          </cell>
          <cell r="I207">
            <v>42887</v>
          </cell>
          <cell r="J207">
            <v>43251</v>
          </cell>
          <cell r="K207">
            <v>43040</v>
          </cell>
          <cell r="L207">
            <v>43404</v>
          </cell>
          <cell r="M207">
            <v>0</v>
          </cell>
          <cell r="N207">
            <v>0</v>
          </cell>
          <cell r="O207">
            <v>11.967123287671233</v>
          </cell>
          <cell r="P207">
            <v>11.967123287671233</v>
          </cell>
          <cell r="Q207">
            <v>16.997260273972604</v>
          </cell>
          <cell r="R207" t="str">
            <v>áno</v>
          </cell>
          <cell r="S207">
            <v>5.0301369863013701</v>
          </cell>
          <cell r="T207" t="str">
            <v>áno</v>
          </cell>
          <cell r="U207">
            <v>5.0301369863013701</v>
          </cell>
          <cell r="V207" t="str">
            <v>-</v>
          </cell>
          <cell r="W207" t="str">
            <v>-</v>
          </cell>
          <cell r="X207" t="str">
            <v>-</v>
          </cell>
          <cell r="Y207" t="str">
            <v>-</v>
          </cell>
          <cell r="Z207" t="str">
            <v>-</v>
          </cell>
          <cell r="AA207" t="str">
            <v>-</v>
          </cell>
          <cell r="AB207" t="e">
            <v>#VALUE!</v>
          </cell>
          <cell r="AC207" t="str">
            <v>-</v>
          </cell>
          <cell r="AD207" t="str">
            <v>-</v>
          </cell>
          <cell r="AE207" t="str">
            <v>-</v>
          </cell>
          <cell r="AF207" t="str">
            <v>-</v>
          </cell>
          <cell r="AG207">
            <v>43040</v>
          </cell>
          <cell r="AH207" t="str">
            <v>po termíne</v>
          </cell>
          <cell r="AJ207" t="b">
            <v>0</v>
          </cell>
        </row>
        <row r="208">
          <cell r="A208" t="str">
            <v>310011C041</v>
          </cell>
          <cell r="B208" t="str">
            <v>1.1.1</v>
          </cell>
          <cell r="C208" t="str">
            <v>OPKZP-PO1-SC111-2016-10</v>
          </cell>
          <cell r="D208" t="str">
            <v>Obec Ipeľské Predmostie</v>
          </cell>
          <cell r="E208" t="str">
            <v>Zefektívnenie triedeného zberu v obci Ipeľské Predmostie</v>
          </cell>
          <cell r="F208">
            <v>42761</v>
          </cell>
          <cell r="G208" t="str">
            <v/>
          </cell>
          <cell r="H208">
            <v>43159</v>
          </cell>
          <cell r="I208">
            <v>42795</v>
          </cell>
          <cell r="J208">
            <v>43159</v>
          </cell>
          <cell r="K208">
            <v>42887</v>
          </cell>
          <cell r="L208">
            <v>43159</v>
          </cell>
          <cell r="M208" t="str">
            <v>n/a</v>
          </cell>
          <cell r="N208" t="str">
            <v>n/a</v>
          </cell>
          <cell r="O208">
            <v>11.967123287671233</v>
          </cell>
          <cell r="P208">
            <v>8.9424657534246581</v>
          </cell>
          <cell r="Q208">
            <v>11.967123287671233</v>
          </cell>
          <cell r="R208" t="str">
            <v>áno</v>
          </cell>
          <cell r="S208">
            <v>3.0246575342465754</v>
          </cell>
          <cell r="T208" t="str">
            <v>nie</v>
          </cell>
          <cell r="U208">
            <v>0</v>
          </cell>
          <cell r="V208">
            <v>42795</v>
          </cell>
          <cell r="W208">
            <v>43159</v>
          </cell>
          <cell r="X208">
            <v>42795</v>
          </cell>
          <cell r="Y208">
            <v>43159</v>
          </cell>
          <cell r="Z208">
            <v>11.967123287671233</v>
          </cell>
          <cell r="AA208">
            <v>11.967123287671233</v>
          </cell>
          <cell r="AB208">
            <v>11.967123287671233</v>
          </cell>
          <cell r="AC208" t="str">
            <v>nie</v>
          </cell>
          <cell r="AD208">
            <v>0</v>
          </cell>
          <cell r="AE208" t="str">
            <v>nie</v>
          </cell>
          <cell r="AF208">
            <v>0</v>
          </cell>
          <cell r="AG208">
            <v>42795</v>
          </cell>
          <cell r="AH208" t="str">
            <v>ok</v>
          </cell>
          <cell r="AJ208" t="b">
            <v>1</v>
          </cell>
        </row>
        <row r="209">
          <cell r="A209" t="str">
            <v>310011C064</v>
          </cell>
          <cell r="B209" t="str">
            <v>1.1.1</v>
          </cell>
          <cell r="C209" t="str">
            <v>OPKZP-PO1-SC111-2016-10</v>
          </cell>
          <cell r="D209" t="str">
            <v>Obec Lula</v>
          </cell>
          <cell r="E209" t="str">
            <v>Zberný dvor - Lula</v>
          </cell>
          <cell r="F209">
            <v>42761</v>
          </cell>
          <cell r="G209" t="str">
            <v/>
          </cell>
          <cell r="H209">
            <v>43465</v>
          </cell>
          <cell r="I209">
            <v>42491</v>
          </cell>
          <cell r="J209">
            <v>43465</v>
          </cell>
          <cell r="K209">
            <v>42491</v>
          </cell>
          <cell r="L209">
            <v>43465</v>
          </cell>
          <cell r="M209" t="str">
            <v/>
          </cell>
          <cell r="N209" t="str">
            <v/>
          </cell>
          <cell r="O209">
            <v>32.021917808219179</v>
          </cell>
          <cell r="P209">
            <v>32.021917808219179</v>
          </cell>
          <cell r="Q209">
            <v>32.021917808219179</v>
          </cell>
          <cell r="R209" t="str">
            <v>nie</v>
          </cell>
          <cell r="S209">
            <v>0</v>
          </cell>
          <cell r="T209" t="str">
            <v>nie</v>
          </cell>
          <cell r="U209">
            <v>0</v>
          </cell>
          <cell r="V209">
            <v>42491</v>
          </cell>
          <cell r="W209">
            <v>43465</v>
          </cell>
          <cell r="X209">
            <v>42491</v>
          </cell>
          <cell r="Y209">
            <v>43465</v>
          </cell>
          <cell r="Z209">
            <v>32.021917808219179</v>
          </cell>
          <cell r="AA209">
            <v>32.021917808219179</v>
          </cell>
          <cell r="AB209">
            <v>32.021917808219179</v>
          </cell>
          <cell r="AC209" t="str">
            <v>nie</v>
          </cell>
          <cell r="AD209">
            <v>0</v>
          </cell>
          <cell r="AE209" t="str">
            <v>nie</v>
          </cell>
          <cell r="AF209">
            <v>0</v>
          </cell>
          <cell r="AG209">
            <v>42491</v>
          </cell>
          <cell r="AH209" t="str">
            <v>ok</v>
          </cell>
          <cell r="AJ209" t="b">
            <v>1</v>
          </cell>
        </row>
        <row r="210">
          <cell r="A210" t="str">
            <v>310011C076</v>
          </cell>
          <cell r="B210" t="str">
            <v>1.1.1</v>
          </cell>
          <cell r="C210" t="str">
            <v>OPKZP-PO1-SC111-2016-10</v>
          </cell>
          <cell r="D210" t="str">
            <v>Obec Valaliky</v>
          </cell>
          <cell r="E210" t="str">
            <v>Podpora triedeného zberu komunálnych odpadov v obci Valaliky</v>
          </cell>
          <cell r="F210">
            <v>42762</v>
          </cell>
          <cell r="G210" t="str">
            <v/>
          </cell>
          <cell r="H210">
            <v>43190</v>
          </cell>
          <cell r="I210">
            <v>42795</v>
          </cell>
          <cell r="J210">
            <v>43100</v>
          </cell>
          <cell r="K210">
            <v>42887</v>
          </cell>
          <cell r="L210">
            <v>43190</v>
          </cell>
          <cell r="M210">
            <v>0</v>
          </cell>
          <cell r="N210">
            <v>0</v>
          </cell>
          <cell r="O210">
            <v>10.027397260273972</v>
          </cell>
          <cell r="P210">
            <v>9.9616438356164387</v>
          </cell>
          <cell r="Q210">
            <v>12.986301369863014</v>
          </cell>
          <cell r="R210" t="str">
            <v>áno</v>
          </cell>
          <cell r="S210">
            <v>3.0246575342465754</v>
          </cell>
          <cell r="T210" t="str">
            <v>áno</v>
          </cell>
          <cell r="U210">
            <v>2.9589041095890409</v>
          </cell>
          <cell r="V210">
            <v>42795</v>
          </cell>
          <cell r="W210">
            <v>43100</v>
          </cell>
          <cell r="X210">
            <v>42887</v>
          </cell>
          <cell r="Y210">
            <v>43190</v>
          </cell>
          <cell r="Z210">
            <v>10.027397260273972</v>
          </cell>
          <cell r="AA210">
            <v>9.9616438356164387</v>
          </cell>
          <cell r="AB210">
            <v>12.986301369863014</v>
          </cell>
          <cell r="AC210" t="str">
            <v>áno</v>
          </cell>
          <cell r="AD210">
            <v>3.0246575342465754</v>
          </cell>
          <cell r="AE210" t="str">
            <v>áno</v>
          </cell>
          <cell r="AF210">
            <v>2.9589041095890409</v>
          </cell>
          <cell r="AG210">
            <v>42887</v>
          </cell>
          <cell r="AH210" t="str">
            <v>ok</v>
          </cell>
          <cell r="AJ210" t="b">
            <v>1</v>
          </cell>
        </row>
        <row r="211">
          <cell r="A211" t="str">
            <v>310011C096</v>
          </cell>
          <cell r="B211" t="str">
            <v>1.1.1</v>
          </cell>
          <cell r="C211" t="str">
            <v>OPKZP-PO1-SC111-2016-11</v>
          </cell>
          <cell r="D211" t="str">
            <v>Obec Oslany</v>
          </cell>
          <cell r="E211" t="str">
            <v>Zhodnotenie biologicky rozložiteľného odpadu v obci Oslany, Oslany, p.č. 1419/2</v>
          </cell>
          <cell r="F211">
            <v>42871</v>
          </cell>
          <cell r="G211" t="str">
            <v/>
          </cell>
          <cell r="H211">
            <v>43190</v>
          </cell>
          <cell r="I211">
            <v>42826</v>
          </cell>
          <cell r="J211">
            <v>43190</v>
          </cell>
          <cell r="K211">
            <v>42917</v>
          </cell>
          <cell r="L211">
            <v>43190</v>
          </cell>
          <cell r="M211">
            <v>0</v>
          </cell>
          <cell r="N211">
            <v>0</v>
          </cell>
          <cell r="O211">
            <v>11.967123287671233</v>
          </cell>
          <cell r="P211">
            <v>8.9753424657534246</v>
          </cell>
          <cell r="Q211">
            <v>11.967123287671233</v>
          </cell>
          <cell r="R211" t="str">
            <v>áno</v>
          </cell>
          <cell r="S211">
            <v>2.9917808219178084</v>
          </cell>
          <cell r="T211" t="str">
            <v>nie</v>
          </cell>
          <cell r="U211">
            <v>0</v>
          </cell>
          <cell r="V211" t="str">
            <v>-</v>
          </cell>
          <cell r="W211" t="str">
            <v>-</v>
          </cell>
          <cell r="X211" t="str">
            <v>-</v>
          </cell>
          <cell r="Y211" t="str">
            <v>-</v>
          </cell>
          <cell r="Z211" t="str">
            <v>-</v>
          </cell>
          <cell r="AA211" t="str">
            <v>-</v>
          </cell>
          <cell r="AB211" t="e">
            <v>#VALUE!</v>
          </cell>
          <cell r="AC211" t="str">
            <v>-</v>
          </cell>
          <cell r="AD211" t="str">
            <v>-</v>
          </cell>
          <cell r="AE211" t="str">
            <v>-</v>
          </cell>
          <cell r="AF211" t="str">
            <v>-</v>
          </cell>
          <cell r="AG211">
            <v>42917</v>
          </cell>
          <cell r="AH211" t="str">
            <v>ok</v>
          </cell>
          <cell r="AJ211" t="b">
            <v>0</v>
          </cell>
        </row>
        <row r="212">
          <cell r="A212" t="str">
            <v>310011C124</v>
          </cell>
          <cell r="B212" t="str">
            <v>1.1.1</v>
          </cell>
          <cell r="C212" t="str">
            <v>OPKZP-PO1-SC111-2016-11</v>
          </cell>
          <cell r="D212" t="str">
            <v>Mesto Tisovec</v>
          </cell>
          <cell r="E212" t="str">
            <v>Mestská kompostáreň Rudov dvor</v>
          </cell>
          <cell r="F212">
            <v>42868</v>
          </cell>
          <cell r="G212" t="str">
            <v/>
          </cell>
          <cell r="H212">
            <v>43251</v>
          </cell>
          <cell r="I212">
            <v>42887</v>
          </cell>
          <cell r="J212">
            <v>43251</v>
          </cell>
          <cell r="K212">
            <v>42887</v>
          </cell>
          <cell r="L212">
            <v>43251</v>
          </cell>
          <cell r="M212">
            <v>0</v>
          </cell>
          <cell r="N212">
            <v>0</v>
          </cell>
          <cell r="O212">
            <v>11.967123287671233</v>
          </cell>
          <cell r="P212">
            <v>11.967123287671233</v>
          </cell>
          <cell r="Q212">
            <v>11.967123287671233</v>
          </cell>
          <cell r="R212" t="str">
            <v>nie</v>
          </cell>
          <cell r="S212">
            <v>0</v>
          </cell>
          <cell r="T212" t="str">
            <v>nie</v>
          </cell>
          <cell r="U212">
            <v>0</v>
          </cell>
          <cell r="V212" t="str">
            <v>-</v>
          </cell>
          <cell r="W212" t="str">
            <v>-</v>
          </cell>
          <cell r="X212" t="str">
            <v>-</v>
          </cell>
          <cell r="Y212" t="str">
            <v>-</v>
          </cell>
          <cell r="Z212" t="str">
            <v>-</v>
          </cell>
          <cell r="AA212" t="str">
            <v>-</v>
          </cell>
          <cell r="AB212" t="e">
            <v>#VALUE!</v>
          </cell>
          <cell r="AC212" t="str">
            <v>-</v>
          </cell>
          <cell r="AD212" t="str">
            <v>-</v>
          </cell>
          <cell r="AE212" t="str">
            <v>-</v>
          </cell>
          <cell r="AF212" t="str">
            <v>-</v>
          </cell>
          <cell r="AG212">
            <v>42887</v>
          </cell>
          <cell r="AH212" t="str">
            <v>ok</v>
          </cell>
          <cell r="AJ212" t="b">
            <v>0</v>
          </cell>
        </row>
        <row r="213">
          <cell r="A213" t="str">
            <v>310011C128</v>
          </cell>
          <cell r="B213" t="str">
            <v>1.1.1</v>
          </cell>
          <cell r="C213" t="str">
            <v>OPKZP-PO1-SC111-2016-11</v>
          </cell>
          <cell r="D213" t="str">
            <v>Obec Dolné Saliby</v>
          </cell>
          <cell r="E213" t="str">
            <v>Kompostáreň pre zhodnocovanie biologicky rozložiteľného komunálneho odpadu v obci Dolné Saliby</v>
          </cell>
          <cell r="F213">
            <v>42879</v>
          </cell>
          <cell r="G213" t="str">
            <v/>
          </cell>
          <cell r="H213">
            <v>43281</v>
          </cell>
          <cell r="I213">
            <v>42552</v>
          </cell>
          <cell r="J213">
            <v>43281</v>
          </cell>
          <cell r="K213">
            <v>42552</v>
          </cell>
          <cell r="L213">
            <v>43281</v>
          </cell>
          <cell r="M213">
            <v>0</v>
          </cell>
          <cell r="N213">
            <v>0</v>
          </cell>
          <cell r="O213">
            <v>23.967123287671232</v>
          </cell>
          <cell r="P213">
            <v>23.967123287671232</v>
          </cell>
          <cell r="Q213">
            <v>23.967123287671232</v>
          </cell>
          <cell r="R213" t="str">
            <v>nie</v>
          </cell>
          <cell r="S213">
            <v>0</v>
          </cell>
          <cell r="T213" t="str">
            <v>nie</v>
          </cell>
          <cell r="U213">
            <v>0</v>
          </cell>
          <cell r="V213" t="str">
            <v>-</v>
          </cell>
          <cell r="W213" t="str">
            <v>-</v>
          </cell>
          <cell r="X213" t="str">
            <v>-</v>
          </cell>
          <cell r="Y213" t="str">
            <v>-</v>
          </cell>
          <cell r="Z213" t="str">
            <v>-</v>
          </cell>
          <cell r="AA213" t="str">
            <v>-</v>
          </cell>
          <cell r="AB213" t="e">
            <v>#VALUE!</v>
          </cell>
          <cell r="AC213" t="str">
            <v>-</v>
          </cell>
          <cell r="AD213" t="str">
            <v>-</v>
          </cell>
          <cell r="AE213" t="str">
            <v>-</v>
          </cell>
          <cell r="AF213" t="str">
            <v>-</v>
          </cell>
          <cell r="AG213">
            <v>42552</v>
          </cell>
          <cell r="AH213" t="str">
            <v>ok</v>
          </cell>
          <cell r="AJ213" t="b">
            <v>0</v>
          </cell>
        </row>
        <row r="214">
          <cell r="A214" t="str">
            <v>310011C146</v>
          </cell>
          <cell r="B214" t="str">
            <v>1.1.1</v>
          </cell>
          <cell r="C214" t="str">
            <v>OPKZP-PO1-SC111-2016-11</v>
          </cell>
          <cell r="D214" t="str">
            <v>Obec Jastrabie nad Topľou</v>
          </cell>
          <cell r="E214" t="str">
            <v>Kompostáreň na zhodnocovanie biologicky rozložiteľného odpadu v obci Jastrabie nad Topľou</v>
          </cell>
          <cell r="F214">
            <v>43013</v>
          </cell>
          <cell r="G214" t="str">
            <v/>
          </cell>
          <cell r="H214">
            <v>43131</v>
          </cell>
          <cell r="I214">
            <v>42979</v>
          </cell>
          <cell r="J214">
            <v>43131</v>
          </cell>
          <cell r="K214">
            <v>42979</v>
          </cell>
          <cell r="L214">
            <v>43131</v>
          </cell>
          <cell r="M214">
            <v>0</v>
          </cell>
          <cell r="N214">
            <v>0</v>
          </cell>
          <cell r="O214">
            <v>4.9972602739726026</v>
          </cell>
          <cell r="P214">
            <v>4.9972602739726026</v>
          </cell>
          <cell r="Q214">
            <v>4.9972602739726026</v>
          </cell>
          <cell r="R214" t="str">
            <v>nie</v>
          </cell>
          <cell r="S214">
            <v>0</v>
          </cell>
          <cell r="T214" t="str">
            <v>nie</v>
          </cell>
          <cell r="U214">
            <v>0</v>
          </cell>
          <cell r="V214" t="str">
            <v>-</v>
          </cell>
          <cell r="W214" t="str">
            <v>-</v>
          </cell>
          <cell r="X214" t="str">
            <v>-</v>
          </cell>
          <cell r="Y214" t="str">
            <v>-</v>
          </cell>
          <cell r="Z214" t="str">
            <v>-</v>
          </cell>
          <cell r="AA214" t="str">
            <v>-</v>
          </cell>
          <cell r="AB214" t="e">
            <v>#VALUE!</v>
          </cell>
          <cell r="AC214" t="str">
            <v>-</v>
          </cell>
          <cell r="AD214" t="str">
            <v>-</v>
          </cell>
          <cell r="AE214" t="str">
            <v>-</v>
          </cell>
          <cell r="AF214" t="str">
            <v>-</v>
          </cell>
          <cell r="AG214">
            <v>42979</v>
          </cell>
          <cell r="AH214" t="str">
            <v>po termíne</v>
          </cell>
          <cell r="AJ214" t="b">
            <v>0</v>
          </cell>
        </row>
        <row r="215">
          <cell r="A215" t="str">
            <v>310011C156</v>
          </cell>
          <cell r="B215" t="str">
            <v>1.1.1</v>
          </cell>
          <cell r="C215" t="str">
            <v>OPKZP-PO1-SC111-2016-11</v>
          </cell>
          <cell r="D215" t="str">
            <v>Technické služby, príspevková organizácia mesta</v>
          </cell>
          <cell r="E215" t="str">
            <v>Vybudovanie zberného dvora v meste Bojnice</v>
          </cell>
          <cell r="F215">
            <v>42871</v>
          </cell>
          <cell r="G215">
            <v>43038</v>
          </cell>
          <cell r="H215">
            <v>43190</v>
          </cell>
          <cell r="I215">
            <v>42826</v>
          </cell>
          <cell r="J215">
            <v>43190</v>
          </cell>
          <cell r="K215">
            <v>42826</v>
          </cell>
          <cell r="L215">
            <v>43190</v>
          </cell>
          <cell r="M215" t="str">
            <v/>
          </cell>
          <cell r="N215" t="str">
            <v/>
          </cell>
          <cell r="O215">
            <v>11.967123287671233</v>
          </cell>
          <cell r="P215">
            <v>11.967123287671233</v>
          </cell>
          <cell r="Q215">
            <v>11.967123287671233</v>
          </cell>
          <cell r="R215" t="str">
            <v>nie</v>
          </cell>
          <cell r="S215">
            <v>0</v>
          </cell>
          <cell r="T215" t="str">
            <v>nie</v>
          </cell>
          <cell r="U215">
            <v>0</v>
          </cell>
          <cell r="V215" t="str">
            <v>-</v>
          </cell>
          <cell r="W215" t="str">
            <v>-</v>
          </cell>
          <cell r="X215" t="str">
            <v>-</v>
          </cell>
          <cell r="Y215" t="str">
            <v>-</v>
          </cell>
          <cell r="Z215" t="str">
            <v>-</v>
          </cell>
          <cell r="AA215" t="str">
            <v>-</v>
          </cell>
          <cell r="AB215" t="e">
            <v>#VALUE!</v>
          </cell>
          <cell r="AC215" t="str">
            <v>-</v>
          </cell>
          <cell r="AD215" t="str">
            <v>-</v>
          </cell>
          <cell r="AE215" t="str">
            <v>-</v>
          </cell>
          <cell r="AF215" t="str">
            <v>-</v>
          </cell>
          <cell r="AG215">
            <v>42826</v>
          </cell>
          <cell r="AH215" t="str">
            <v>ok</v>
          </cell>
          <cell r="AJ215" t="b">
            <v>0</v>
          </cell>
        </row>
        <row r="216">
          <cell r="A216" t="str">
            <v>310011C158</v>
          </cell>
          <cell r="B216" t="str">
            <v>1.4.2</v>
          </cell>
          <cell r="C216" t="str">
            <v>OPKZP-PO1-SC142-2015-3</v>
          </cell>
          <cell r="D216" t="str">
            <v>Ministerstvo životného prostredia SR</v>
          </cell>
          <cell r="E216" t="str">
            <v>Geologický prieskum vybraných pravdepodobných environmentálnych záťaží</v>
          </cell>
          <cell r="F216">
            <v>42726</v>
          </cell>
          <cell r="G216" t="str">
            <v/>
          </cell>
          <cell r="H216">
            <v>43646</v>
          </cell>
          <cell r="I216">
            <v>42675</v>
          </cell>
          <cell r="J216">
            <v>43646</v>
          </cell>
          <cell r="K216">
            <v>42675</v>
          </cell>
          <cell r="L216">
            <v>43646</v>
          </cell>
          <cell r="M216" t="str">
            <v/>
          </cell>
          <cell r="N216" t="str">
            <v/>
          </cell>
          <cell r="O216">
            <v>31.923287671232877</v>
          </cell>
          <cell r="P216">
            <v>31.923287671232877</v>
          </cell>
          <cell r="Q216">
            <v>31.923287671232877</v>
          </cell>
          <cell r="R216" t="str">
            <v>nie</v>
          </cell>
          <cell r="S216">
            <v>0</v>
          </cell>
          <cell r="T216" t="str">
            <v>nie</v>
          </cell>
          <cell r="U216">
            <v>0</v>
          </cell>
          <cell r="V216">
            <v>42675</v>
          </cell>
          <cell r="W216">
            <v>43646</v>
          </cell>
          <cell r="X216">
            <v>42675</v>
          </cell>
          <cell r="Y216">
            <v>43646</v>
          </cell>
          <cell r="Z216">
            <v>31.923287671232877</v>
          </cell>
          <cell r="AA216">
            <v>31.923287671232877</v>
          </cell>
          <cell r="AB216">
            <v>31.923287671232877</v>
          </cell>
          <cell r="AC216" t="str">
            <v>nie</v>
          </cell>
          <cell r="AD216">
            <v>0</v>
          </cell>
          <cell r="AE216" t="str">
            <v>nie</v>
          </cell>
          <cell r="AF216">
            <v>0</v>
          </cell>
          <cell r="AG216">
            <v>42675</v>
          </cell>
          <cell r="AH216" t="str">
            <v>ok</v>
          </cell>
          <cell r="AJ216" t="b">
            <v>1</v>
          </cell>
        </row>
        <row r="217">
          <cell r="A217" t="str">
            <v>310011C166</v>
          </cell>
          <cell r="B217" t="str">
            <v>1.1.1</v>
          </cell>
          <cell r="C217" t="str">
            <v>OPKZP-PO1-SC111-2016-11</v>
          </cell>
          <cell r="D217" t="str">
            <v>Združenie obcí Kľakovskej doliny</v>
          </cell>
          <cell r="E217" t="str">
            <v>Zhodnocovanie biologicky rozložiteľného komunálneho odpadu v Kľakovskej doline</v>
          </cell>
          <cell r="F217">
            <v>42916</v>
          </cell>
          <cell r="G217" t="str">
            <v/>
          </cell>
          <cell r="H217">
            <v>43220</v>
          </cell>
          <cell r="I217">
            <v>42856</v>
          </cell>
          <cell r="J217">
            <v>43220</v>
          </cell>
          <cell r="K217">
            <v>43040</v>
          </cell>
          <cell r="L217">
            <v>43220</v>
          </cell>
          <cell r="M217">
            <v>0</v>
          </cell>
          <cell r="N217">
            <v>0</v>
          </cell>
          <cell r="O217">
            <v>11.967123287671233</v>
          </cell>
          <cell r="P217">
            <v>5.9178082191780819</v>
          </cell>
          <cell r="Q217">
            <v>11.967123287671233</v>
          </cell>
          <cell r="R217" t="str">
            <v>áno</v>
          </cell>
          <cell r="S217">
            <v>6.0493150684931507</v>
          </cell>
          <cell r="T217" t="str">
            <v>nie</v>
          </cell>
          <cell r="U217">
            <v>0</v>
          </cell>
          <cell r="V217" t="str">
            <v>-</v>
          </cell>
          <cell r="W217" t="str">
            <v>-</v>
          </cell>
          <cell r="X217" t="str">
            <v>-</v>
          </cell>
          <cell r="Y217" t="str">
            <v>-</v>
          </cell>
          <cell r="Z217" t="str">
            <v>-</v>
          </cell>
          <cell r="AA217" t="str">
            <v>-</v>
          </cell>
          <cell r="AB217" t="e">
            <v>#VALUE!</v>
          </cell>
          <cell r="AC217" t="str">
            <v>-</v>
          </cell>
          <cell r="AD217" t="str">
            <v>-</v>
          </cell>
          <cell r="AE217" t="str">
            <v>-</v>
          </cell>
          <cell r="AF217" t="str">
            <v>-</v>
          </cell>
          <cell r="AG217">
            <v>43040</v>
          </cell>
          <cell r="AH217" t="str">
            <v>po termíne</v>
          </cell>
          <cell r="AJ217" t="b">
            <v>0</v>
          </cell>
        </row>
        <row r="218">
          <cell r="A218" t="str">
            <v>310011C168</v>
          </cell>
          <cell r="B218" t="str">
            <v>1.1.1</v>
          </cell>
          <cell r="C218" t="str">
            <v>OPKZP-PO1-SC111-2016-11</v>
          </cell>
          <cell r="D218" t="str">
            <v>TSM Dubnica nad Váhom, s.r.o.</v>
          </cell>
          <cell r="E218" t="str">
            <v>Zberný dvor, Dubnica nad Váhom</v>
          </cell>
          <cell r="F218">
            <v>42878</v>
          </cell>
          <cell r="G218" t="str">
            <v/>
          </cell>
          <cell r="H218">
            <v>43281</v>
          </cell>
          <cell r="I218">
            <v>42887</v>
          </cell>
          <cell r="J218">
            <v>43131</v>
          </cell>
          <cell r="K218">
            <v>43040</v>
          </cell>
          <cell r="L218">
            <v>43281</v>
          </cell>
          <cell r="M218">
            <v>0</v>
          </cell>
          <cell r="N218">
            <v>0</v>
          </cell>
          <cell r="O218">
            <v>8.0219178082191789</v>
          </cell>
          <cell r="P218">
            <v>7.9232876712328757</v>
          </cell>
          <cell r="Q218">
            <v>12.953424657534246</v>
          </cell>
          <cell r="R218" t="str">
            <v>áno</v>
          </cell>
          <cell r="S218">
            <v>5.0301369863013701</v>
          </cell>
          <cell r="T218" t="str">
            <v>áno</v>
          </cell>
          <cell r="U218">
            <v>4.9315068493150687</v>
          </cell>
          <cell r="V218" t="str">
            <v>-</v>
          </cell>
          <cell r="W218" t="str">
            <v>-</v>
          </cell>
          <cell r="X218" t="str">
            <v>-</v>
          </cell>
          <cell r="Y218" t="str">
            <v>-</v>
          </cell>
          <cell r="Z218" t="str">
            <v>-</v>
          </cell>
          <cell r="AA218" t="str">
            <v>-</v>
          </cell>
          <cell r="AB218" t="e">
            <v>#VALUE!</v>
          </cell>
          <cell r="AC218" t="str">
            <v>-</v>
          </cell>
          <cell r="AD218" t="str">
            <v>-</v>
          </cell>
          <cell r="AE218" t="str">
            <v>-</v>
          </cell>
          <cell r="AF218" t="str">
            <v>-</v>
          </cell>
          <cell r="AG218">
            <v>43040</v>
          </cell>
          <cell r="AH218" t="str">
            <v>po termíne</v>
          </cell>
          <cell r="AJ218" t="b">
            <v>0</v>
          </cell>
        </row>
        <row r="219">
          <cell r="A219" t="str">
            <v>310011C169</v>
          </cell>
          <cell r="B219" t="str">
            <v>1.1.1</v>
          </cell>
          <cell r="C219" t="str">
            <v>OPKZP-PO1-SC111-2016-11</v>
          </cell>
          <cell r="D219" t="str">
            <v>Podnik služieb Opatovce nad Nitrou, s. r. o.</v>
          </cell>
          <cell r="E219" t="str">
            <v>Vybudovanie zberného dvora v obci Opatovce nad Nitrou</v>
          </cell>
          <cell r="F219">
            <v>42878</v>
          </cell>
          <cell r="G219" t="str">
            <v/>
          </cell>
          <cell r="H219">
            <v>43281</v>
          </cell>
          <cell r="I219">
            <v>42491</v>
          </cell>
          <cell r="J219">
            <v>42947</v>
          </cell>
          <cell r="K219">
            <v>42491</v>
          </cell>
          <cell r="L219">
            <v>43281</v>
          </cell>
          <cell r="M219" t="str">
            <v>n/a</v>
          </cell>
          <cell r="N219">
            <v>0</v>
          </cell>
          <cell r="O219">
            <v>14.991780821917807</v>
          </cell>
          <cell r="P219">
            <v>25.972602739726028</v>
          </cell>
          <cell r="Q219">
            <v>25.972602739726028</v>
          </cell>
          <cell r="R219" t="str">
            <v>nie</v>
          </cell>
          <cell r="S219">
            <v>0</v>
          </cell>
          <cell r="T219" t="str">
            <v>áno</v>
          </cell>
          <cell r="U219">
            <v>10.980821917808219</v>
          </cell>
          <cell r="V219" t="str">
            <v>-</v>
          </cell>
          <cell r="W219" t="str">
            <v>-</v>
          </cell>
          <cell r="X219" t="str">
            <v>-</v>
          </cell>
          <cell r="Y219" t="str">
            <v>-</v>
          </cell>
          <cell r="Z219" t="str">
            <v>-</v>
          </cell>
          <cell r="AA219" t="str">
            <v>-</v>
          </cell>
          <cell r="AB219" t="e">
            <v>#VALUE!</v>
          </cell>
          <cell r="AC219" t="str">
            <v>-</v>
          </cell>
          <cell r="AD219" t="str">
            <v>-</v>
          </cell>
          <cell r="AE219" t="str">
            <v>-</v>
          </cell>
          <cell r="AF219" t="str">
            <v>-</v>
          </cell>
          <cell r="AG219">
            <v>42491</v>
          </cell>
          <cell r="AH219" t="str">
            <v>ok</v>
          </cell>
          <cell r="AJ219" t="b">
            <v>0</v>
          </cell>
        </row>
        <row r="220">
          <cell r="A220" t="str">
            <v>310011C174</v>
          </cell>
          <cell r="B220" t="str">
            <v>1.1.1</v>
          </cell>
          <cell r="C220" t="str">
            <v>OPKZP-PO1-SC111-2016-11</v>
          </cell>
          <cell r="D220" t="str">
            <v>Mestský podnik služieb Turzovka</v>
          </cell>
          <cell r="E220" t="str">
            <v>Podpora triedeného zberu KO, Turzovka</v>
          </cell>
          <cell r="F220">
            <v>42880</v>
          </cell>
          <cell r="G220" t="str">
            <v/>
          </cell>
          <cell r="H220">
            <v>43100</v>
          </cell>
          <cell r="I220">
            <v>42826</v>
          </cell>
          <cell r="J220">
            <v>43100</v>
          </cell>
          <cell r="K220">
            <v>42917</v>
          </cell>
          <cell r="L220">
            <v>43100</v>
          </cell>
          <cell r="M220">
            <v>42917</v>
          </cell>
          <cell r="N220">
            <v>43100</v>
          </cell>
          <cell r="O220">
            <v>9.008219178082193</v>
          </cell>
          <cell r="P220">
            <v>6.0164383561643842</v>
          </cell>
          <cell r="Q220">
            <v>9.008219178082193</v>
          </cell>
          <cell r="R220" t="str">
            <v>áno</v>
          </cell>
          <cell r="S220">
            <v>2.9917808219178084</v>
          </cell>
          <cell r="T220" t="str">
            <v>nie</v>
          </cell>
          <cell r="U220">
            <v>0</v>
          </cell>
          <cell r="V220" t="str">
            <v>-</v>
          </cell>
          <cell r="W220" t="str">
            <v>-</v>
          </cell>
          <cell r="X220" t="str">
            <v>-</v>
          </cell>
          <cell r="Y220" t="str">
            <v>-</v>
          </cell>
          <cell r="Z220" t="str">
            <v>-</v>
          </cell>
          <cell r="AA220" t="str">
            <v>-</v>
          </cell>
          <cell r="AB220" t="e">
            <v>#VALUE!</v>
          </cell>
          <cell r="AC220" t="str">
            <v>-</v>
          </cell>
          <cell r="AD220" t="str">
            <v>-</v>
          </cell>
          <cell r="AE220" t="str">
            <v>-</v>
          </cell>
          <cell r="AF220" t="str">
            <v>-</v>
          </cell>
          <cell r="AG220">
            <v>42917</v>
          </cell>
          <cell r="AH220" t="str">
            <v>ok</v>
          </cell>
          <cell r="AJ220" t="b">
            <v>0</v>
          </cell>
        </row>
        <row r="221">
          <cell r="A221" t="str">
            <v>310011C176</v>
          </cell>
          <cell r="B221" t="str">
            <v>1.1.1</v>
          </cell>
          <cell r="C221" t="str">
            <v>OPKZP-PO1-SC111-2016-11</v>
          </cell>
          <cell r="D221" t="str">
            <v>Obec Cerovo</v>
          </cell>
          <cell r="E221" t="str">
            <v>Kompostáreň - Bioodpad</v>
          </cell>
          <cell r="F221">
            <v>42879</v>
          </cell>
          <cell r="G221" t="str">
            <v/>
          </cell>
          <cell r="H221">
            <v>43373</v>
          </cell>
          <cell r="I221">
            <v>42826</v>
          </cell>
          <cell r="J221">
            <v>43190</v>
          </cell>
          <cell r="K221">
            <v>42979</v>
          </cell>
          <cell r="L221">
            <v>43373</v>
          </cell>
          <cell r="M221">
            <v>42979</v>
          </cell>
          <cell r="N221">
            <v>43373</v>
          </cell>
          <cell r="O221">
            <v>11.967123287671233</v>
          </cell>
          <cell r="P221">
            <v>12.953424657534246</v>
          </cell>
          <cell r="Q221">
            <v>17.983561643835614</v>
          </cell>
          <cell r="R221" t="str">
            <v>áno</v>
          </cell>
          <cell r="S221">
            <v>5.0301369863013701</v>
          </cell>
          <cell r="T221" t="str">
            <v>áno</v>
          </cell>
          <cell r="U221">
            <v>6.0164383561643842</v>
          </cell>
          <cell r="V221" t="str">
            <v>-</v>
          </cell>
          <cell r="W221" t="str">
            <v>-</v>
          </cell>
          <cell r="X221" t="str">
            <v>-</v>
          </cell>
          <cell r="Y221" t="str">
            <v>-</v>
          </cell>
          <cell r="Z221" t="str">
            <v>-</v>
          </cell>
          <cell r="AA221" t="str">
            <v>-</v>
          </cell>
          <cell r="AB221" t="e">
            <v>#VALUE!</v>
          </cell>
          <cell r="AC221" t="str">
            <v>-</v>
          </cell>
          <cell r="AD221" t="str">
            <v>-</v>
          </cell>
          <cell r="AE221" t="str">
            <v>-</v>
          </cell>
          <cell r="AF221" t="str">
            <v>-</v>
          </cell>
          <cell r="AG221">
            <v>42979</v>
          </cell>
          <cell r="AH221" t="str">
            <v>ok</v>
          </cell>
          <cell r="AJ221" t="b">
            <v>0</v>
          </cell>
        </row>
        <row r="222">
          <cell r="A222" t="str">
            <v>310011C191</v>
          </cell>
          <cell r="B222" t="str">
            <v>1.1.1</v>
          </cell>
          <cell r="C222" t="str">
            <v>OPKZP-PO1-SC111-2016-11</v>
          </cell>
          <cell r="D222" t="str">
            <v>Mesto Prievidza</v>
          </cell>
          <cell r="E222" t="str">
            <v>Zhodnocovanie biologicky rozložiteľného odpadu v Prievidzi</v>
          </cell>
          <cell r="F222">
            <v>42879</v>
          </cell>
          <cell r="G222" t="str">
            <v/>
          </cell>
          <cell r="H222">
            <v>43524</v>
          </cell>
          <cell r="I222">
            <v>42887</v>
          </cell>
          <cell r="J222">
            <v>43343</v>
          </cell>
          <cell r="K222">
            <v>43070</v>
          </cell>
          <cell r="L222">
            <v>43524</v>
          </cell>
          <cell r="M222">
            <v>0</v>
          </cell>
          <cell r="N222">
            <v>0</v>
          </cell>
          <cell r="O222">
            <v>14.991780821917807</v>
          </cell>
          <cell r="P222">
            <v>14.926027397260274</v>
          </cell>
          <cell r="Q222">
            <v>20.942465753424656</v>
          </cell>
          <cell r="R222" t="str">
            <v>áno</v>
          </cell>
          <cell r="S222">
            <v>6.0164383561643842</v>
          </cell>
          <cell r="T222" t="str">
            <v>áno</v>
          </cell>
          <cell r="U222">
            <v>5.9506849315068493</v>
          </cell>
          <cell r="V222" t="str">
            <v>-</v>
          </cell>
          <cell r="W222" t="str">
            <v>-</v>
          </cell>
          <cell r="X222" t="str">
            <v>-</v>
          </cell>
          <cell r="Y222" t="str">
            <v>-</v>
          </cell>
          <cell r="Z222" t="str">
            <v>-</v>
          </cell>
          <cell r="AA222" t="str">
            <v>-</v>
          </cell>
          <cell r="AB222" t="e">
            <v>#VALUE!</v>
          </cell>
          <cell r="AC222" t="str">
            <v>-</v>
          </cell>
          <cell r="AD222" t="str">
            <v>-</v>
          </cell>
          <cell r="AE222" t="str">
            <v>-</v>
          </cell>
          <cell r="AF222" t="str">
            <v>-</v>
          </cell>
          <cell r="AG222">
            <v>43070</v>
          </cell>
          <cell r="AH222" t="str">
            <v>po termíne</v>
          </cell>
          <cell r="AJ222" t="b">
            <v>0</v>
          </cell>
        </row>
        <row r="223">
          <cell r="A223" t="str">
            <v>310011C193</v>
          </cell>
          <cell r="B223" t="str">
            <v>1.1.1</v>
          </cell>
          <cell r="C223" t="str">
            <v>OPKZP-PO1-SC111-2016-11</v>
          </cell>
          <cell r="D223" t="str">
            <v>Mesto Piešťany</v>
          </cell>
          <cell r="E223" t="str">
            <v>Vybudovanie kompostárne v meste Piešťany</v>
          </cell>
          <cell r="F223">
            <v>42868</v>
          </cell>
          <cell r="G223" t="str">
            <v/>
          </cell>
          <cell r="H223">
            <v>43465</v>
          </cell>
          <cell r="I223">
            <v>42522</v>
          </cell>
          <cell r="J223">
            <v>43220</v>
          </cell>
          <cell r="K223">
            <v>42522</v>
          </cell>
          <cell r="L223">
            <v>43465</v>
          </cell>
          <cell r="M223" t="str">
            <v>n/a</v>
          </cell>
          <cell r="N223">
            <v>0</v>
          </cell>
          <cell r="O223">
            <v>22.947945205479449</v>
          </cell>
          <cell r="P223">
            <v>31.002739726027396</v>
          </cell>
          <cell r="Q223">
            <v>31.002739726027396</v>
          </cell>
          <cell r="R223" t="str">
            <v>nie</v>
          </cell>
          <cell r="S223">
            <v>0</v>
          </cell>
          <cell r="T223" t="str">
            <v>áno</v>
          </cell>
          <cell r="U223">
            <v>8.0547945205479454</v>
          </cell>
          <cell r="V223" t="str">
            <v>-</v>
          </cell>
          <cell r="W223" t="str">
            <v>-</v>
          </cell>
          <cell r="X223" t="str">
            <v>-</v>
          </cell>
          <cell r="Y223" t="str">
            <v>-</v>
          </cell>
          <cell r="Z223" t="str">
            <v>-</v>
          </cell>
          <cell r="AA223" t="str">
            <v>-</v>
          </cell>
          <cell r="AB223" t="e">
            <v>#VALUE!</v>
          </cell>
          <cell r="AC223" t="str">
            <v>-</v>
          </cell>
          <cell r="AD223" t="str">
            <v>-</v>
          </cell>
          <cell r="AE223" t="str">
            <v>-</v>
          </cell>
          <cell r="AF223" t="str">
            <v>-</v>
          </cell>
          <cell r="AG223">
            <v>42522</v>
          </cell>
          <cell r="AH223" t="str">
            <v>ok</v>
          </cell>
          <cell r="AJ223" t="b">
            <v>0</v>
          </cell>
        </row>
        <row r="224">
          <cell r="A224" t="str">
            <v>310011C195</v>
          </cell>
          <cell r="B224" t="str">
            <v>1.1.1</v>
          </cell>
          <cell r="C224" t="str">
            <v>OPKZP-PO1-SC111-2016-11</v>
          </cell>
          <cell r="D224" t="str">
            <v>Obec Brehy</v>
          </cell>
          <cell r="E224" t="str">
            <v>Zhodnocovanie biologicky rozložiteľného komunálneho odpadu v obci Brehy</v>
          </cell>
          <cell r="F224">
            <v>42882</v>
          </cell>
          <cell r="G224" t="str">
            <v/>
          </cell>
          <cell r="H224">
            <v>43220</v>
          </cell>
          <cell r="I224">
            <v>42856</v>
          </cell>
          <cell r="J224">
            <v>43220</v>
          </cell>
          <cell r="K224">
            <v>42856</v>
          </cell>
          <cell r="L224">
            <v>43220</v>
          </cell>
          <cell r="M224" t="str">
            <v/>
          </cell>
          <cell r="N224" t="str">
            <v/>
          </cell>
          <cell r="O224">
            <v>11.967123287671233</v>
          </cell>
          <cell r="P224">
            <v>11.967123287671233</v>
          </cell>
          <cell r="Q224">
            <v>11.967123287671233</v>
          </cell>
          <cell r="R224" t="str">
            <v>nie</v>
          </cell>
          <cell r="S224">
            <v>0</v>
          </cell>
          <cell r="T224" t="str">
            <v>nie</v>
          </cell>
          <cell r="U224">
            <v>0</v>
          </cell>
          <cell r="V224" t="str">
            <v>-</v>
          </cell>
          <cell r="W224" t="str">
            <v>-</v>
          </cell>
          <cell r="X224" t="str">
            <v>-</v>
          </cell>
          <cell r="Y224" t="str">
            <v>-</v>
          </cell>
          <cell r="Z224" t="str">
            <v>-</v>
          </cell>
          <cell r="AA224" t="str">
            <v>-</v>
          </cell>
          <cell r="AB224" t="e">
            <v>#VALUE!</v>
          </cell>
          <cell r="AC224" t="str">
            <v>-</v>
          </cell>
          <cell r="AD224" t="str">
            <v>-</v>
          </cell>
          <cell r="AE224" t="str">
            <v>-</v>
          </cell>
          <cell r="AF224" t="str">
            <v>-</v>
          </cell>
          <cell r="AG224">
            <v>42856</v>
          </cell>
          <cell r="AH224" t="str">
            <v>po termíne</v>
          </cell>
          <cell r="AJ224" t="b">
            <v>0</v>
          </cell>
        </row>
        <row r="225">
          <cell r="A225" t="str">
            <v>310011C199</v>
          </cell>
          <cell r="B225" t="str">
            <v>1.1.1</v>
          </cell>
          <cell r="C225" t="str">
            <v>OPKZP-PO1-SC111-2016-11</v>
          </cell>
          <cell r="D225" t="str">
            <v>Obec Kálnica</v>
          </cell>
          <cell r="E225" t="str">
            <v>Zhodnocovanie biologicky rozložiteľného komunálneho odpadu v obci Kálnica</v>
          </cell>
          <cell r="F225">
            <v>42879</v>
          </cell>
          <cell r="G225" t="str">
            <v/>
          </cell>
          <cell r="H225">
            <v>43434</v>
          </cell>
          <cell r="I225">
            <v>42887</v>
          </cell>
          <cell r="J225">
            <v>43251</v>
          </cell>
          <cell r="K225">
            <v>43070</v>
          </cell>
          <cell r="L225">
            <v>43434</v>
          </cell>
          <cell r="M225">
            <v>0</v>
          </cell>
          <cell r="N225">
            <v>0</v>
          </cell>
          <cell r="O225">
            <v>11.967123287671233</v>
          </cell>
          <cell r="P225">
            <v>11.967123287671233</v>
          </cell>
          <cell r="Q225">
            <v>17.983561643835614</v>
          </cell>
          <cell r="R225" t="str">
            <v>áno</v>
          </cell>
          <cell r="S225">
            <v>6.0164383561643842</v>
          </cell>
          <cell r="T225" t="str">
            <v>áno</v>
          </cell>
          <cell r="U225">
            <v>6.0164383561643842</v>
          </cell>
          <cell r="V225" t="str">
            <v>-</v>
          </cell>
          <cell r="W225" t="str">
            <v>-</v>
          </cell>
          <cell r="X225" t="str">
            <v>-</v>
          </cell>
          <cell r="Y225" t="str">
            <v>-</v>
          </cell>
          <cell r="Z225" t="str">
            <v>-</v>
          </cell>
          <cell r="AA225" t="str">
            <v>-</v>
          </cell>
          <cell r="AB225" t="e">
            <v>#VALUE!</v>
          </cell>
          <cell r="AC225" t="str">
            <v>-</v>
          </cell>
          <cell r="AD225" t="str">
            <v>-</v>
          </cell>
          <cell r="AE225" t="str">
            <v>-</v>
          </cell>
          <cell r="AF225" t="str">
            <v>-</v>
          </cell>
          <cell r="AG225">
            <v>43070</v>
          </cell>
          <cell r="AH225" t="str">
            <v>po termíne</v>
          </cell>
          <cell r="AJ225" t="b">
            <v>0</v>
          </cell>
        </row>
        <row r="226">
          <cell r="A226" t="str">
            <v>310011C204</v>
          </cell>
          <cell r="B226" t="str">
            <v>1.1.1</v>
          </cell>
          <cell r="C226" t="str">
            <v>OPKZP-PO1-SC111-2016-11</v>
          </cell>
          <cell r="D226" t="str">
            <v>Obec Bajany</v>
          </cell>
          <cell r="E226" t="str">
            <v>Kompostáreň na zhodnocovanie biologicky rozložiteľného odpadu v obci Bajany</v>
          </cell>
          <cell r="F226">
            <v>43014</v>
          </cell>
          <cell r="G226" t="str">
            <v/>
          </cell>
          <cell r="H226">
            <v>43404</v>
          </cell>
          <cell r="I226">
            <v>43040</v>
          </cell>
          <cell r="J226">
            <v>43404</v>
          </cell>
          <cell r="K226">
            <v>43040</v>
          </cell>
          <cell r="L226">
            <v>43404</v>
          </cell>
          <cell r="M226" t="str">
            <v>n/a</v>
          </cell>
          <cell r="N226" t="str">
            <v>n/a</v>
          </cell>
          <cell r="O226">
            <v>11.967123287671233</v>
          </cell>
          <cell r="P226">
            <v>11.967123287671233</v>
          </cell>
          <cell r="Q226">
            <v>11.967123287671233</v>
          </cell>
          <cell r="R226" t="str">
            <v>nie</v>
          </cell>
          <cell r="S226">
            <v>0</v>
          </cell>
          <cell r="T226" t="str">
            <v>nie</v>
          </cell>
          <cell r="U226">
            <v>0</v>
          </cell>
          <cell r="V226" t="str">
            <v>-</v>
          </cell>
          <cell r="W226" t="str">
            <v>-</v>
          </cell>
          <cell r="X226" t="str">
            <v>-</v>
          </cell>
          <cell r="Y226" t="str">
            <v>-</v>
          </cell>
          <cell r="Z226" t="str">
            <v>-</v>
          </cell>
          <cell r="AA226" t="str">
            <v>-</v>
          </cell>
          <cell r="AB226" t="e">
            <v>#VALUE!</v>
          </cell>
          <cell r="AC226" t="str">
            <v>-</v>
          </cell>
          <cell r="AD226" t="str">
            <v>-</v>
          </cell>
          <cell r="AE226" t="str">
            <v>-</v>
          </cell>
          <cell r="AF226" t="str">
            <v>-</v>
          </cell>
          <cell r="AG226">
            <v>43040</v>
          </cell>
          <cell r="AH226" t="str">
            <v>ok</v>
          </cell>
          <cell r="AJ226" t="b">
            <v>0</v>
          </cell>
        </row>
        <row r="227">
          <cell r="A227" t="str">
            <v>310011C209</v>
          </cell>
          <cell r="B227" t="str">
            <v>1.1.1</v>
          </cell>
          <cell r="C227" t="str">
            <v>OPKZP-PO1-SC111-2016-11</v>
          </cell>
          <cell r="D227" t="str">
            <v>Technické služby Obce Bošany s.r.o.</v>
          </cell>
          <cell r="E227" t="str">
            <v>Vybudovanie zberného dvora a rozšírenie triedeného zberu odpadu v Bošanoch</v>
          </cell>
          <cell r="F227">
            <v>42867</v>
          </cell>
          <cell r="G227" t="str">
            <v/>
          </cell>
          <cell r="H227">
            <v>43496</v>
          </cell>
          <cell r="I227">
            <v>42887</v>
          </cell>
          <cell r="J227">
            <v>43312</v>
          </cell>
          <cell r="K227">
            <v>43070</v>
          </cell>
          <cell r="L227">
            <v>43496</v>
          </cell>
          <cell r="M227">
            <v>43070</v>
          </cell>
          <cell r="N227">
            <v>43496</v>
          </cell>
          <cell r="O227">
            <v>13.972602739726028</v>
          </cell>
          <cell r="P227">
            <v>14.005479452054796</v>
          </cell>
          <cell r="Q227">
            <v>20.021917808219179</v>
          </cell>
          <cell r="R227" t="str">
            <v>áno</v>
          </cell>
          <cell r="S227">
            <v>6.0164383561643842</v>
          </cell>
          <cell r="T227" t="str">
            <v>áno</v>
          </cell>
          <cell r="U227">
            <v>6.0493150684931507</v>
          </cell>
          <cell r="V227" t="str">
            <v>-</v>
          </cell>
          <cell r="W227" t="str">
            <v>-</v>
          </cell>
          <cell r="X227" t="str">
            <v>-</v>
          </cell>
          <cell r="Y227" t="str">
            <v>-</v>
          </cell>
          <cell r="Z227" t="str">
            <v>-</v>
          </cell>
          <cell r="AA227" t="str">
            <v>-</v>
          </cell>
          <cell r="AB227" t="e">
            <v>#VALUE!</v>
          </cell>
          <cell r="AC227" t="str">
            <v>-</v>
          </cell>
          <cell r="AD227" t="str">
            <v>-</v>
          </cell>
          <cell r="AE227" t="str">
            <v>-</v>
          </cell>
          <cell r="AF227" t="str">
            <v>-</v>
          </cell>
          <cell r="AG227">
            <v>43070</v>
          </cell>
          <cell r="AH227" t="str">
            <v>ok</v>
          </cell>
          <cell r="AJ227" t="b">
            <v>0</v>
          </cell>
        </row>
        <row r="228">
          <cell r="A228" t="str">
            <v>310011C210</v>
          </cell>
          <cell r="B228" t="str">
            <v>1.1.1</v>
          </cell>
          <cell r="C228" t="str">
            <v>OPKZP-PO1-SC111-2016-11</v>
          </cell>
          <cell r="D228" t="str">
            <v>Mesto Topoľčany</v>
          </cell>
          <cell r="E228" t="str">
            <v>Rozšírenie a intenzifikácia prevádzky kompostárne bioodpadov mesta Topoľčany</v>
          </cell>
          <cell r="F228">
            <v>42867</v>
          </cell>
          <cell r="G228" t="str">
            <v/>
          </cell>
          <cell r="H228">
            <v>43251</v>
          </cell>
          <cell r="I228">
            <v>42887</v>
          </cell>
          <cell r="J228">
            <v>43251</v>
          </cell>
          <cell r="K228">
            <v>42887</v>
          </cell>
          <cell r="L228">
            <v>43251</v>
          </cell>
          <cell r="M228">
            <v>0</v>
          </cell>
          <cell r="N228">
            <v>0</v>
          </cell>
          <cell r="O228">
            <v>11.967123287671233</v>
          </cell>
          <cell r="P228">
            <v>11.967123287671233</v>
          </cell>
          <cell r="Q228">
            <v>11.967123287671233</v>
          </cell>
          <cell r="R228" t="str">
            <v>nie</v>
          </cell>
          <cell r="S228">
            <v>0</v>
          </cell>
          <cell r="T228" t="str">
            <v>nie</v>
          </cell>
          <cell r="U228">
            <v>0</v>
          </cell>
          <cell r="V228" t="str">
            <v>-</v>
          </cell>
          <cell r="W228" t="str">
            <v>-</v>
          </cell>
          <cell r="X228" t="str">
            <v>-</v>
          </cell>
          <cell r="Y228" t="str">
            <v>-</v>
          </cell>
          <cell r="Z228" t="str">
            <v>-</v>
          </cell>
          <cell r="AA228" t="str">
            <v>-</v>
          </cell>
          <cell r="AB228" t="e">
            <v>#VALUE!</v>
          </cell>
          <cell r="AC228" t="str">
            <v>-</v>
          </cell>
          <cell r="AD228" t="str">
            <v>-</v>
          </cell>
          <cell r="AE228" t="str">
            <v>-</v>
          </cell>
          <cell r="AF228" t="str">
            <v>-</v>
          </cell>
          <cell r="AG228">
            <v>42887</v>
          </cell>
          <cell r="AH228" t="str">
            <v>ok</v>
          </cell>
          <cell r="AJ228" t="b">
            <v>0</v>
          </cell>
        </row>
        <row r="229">
          <cell r="A229" t="str">
            <v>310011C213</v>
          </cell>
          <cell r="B229" t="str">
            <v>1.1.1</v>
          </cell>
          <cell r="C229" t="str">
            <v>OPKZP-PO1-SC111-2016-11</v>
          </cell>
          <cell r="D229" t="str">
            <v>Mesto Hanušovce nad Topľou</v>
          </cell>
          <cell r="E229" t="str">
            <v>Kompostáreň na zhodnocovanie biologicky rozložiteľného odpadu v meste Hanušovce nad Topľou</v>
          </cell>
          <cell r="F229">
            <v>42867</v>
          </cell>
          <cell r="G229" t="str">
            <v/>
          </cell>
          <cell r="H229">
            <v>43131</v>
          </cell>
          <cell r="I229">
            <v>42522</v>
          </cell>
          <cell r="J229">
            <v>42978</v>
          </cell>
          <cell r="K229">
            <v>42522</v>
          </cell>
          <cell r="L229">
            <v>43131</v>
          </cell>
          <cell r="M229">
            <v>0</v>
          </cell>
          <cell r="N229">
            <v>43131</v>
          </cell>
          <cell r="O229">
            <v>14.991780821917807</v>
          </cell>
          <cell r="P229">
            <v>20.021917808219179</v>
          </cell>
          <cell r="Q229">
            <v>20.021917808219179</v>
          </cell>
          <cell r="R229" t="str">
            <v>nie</v>
          </cell>
          <cell r="S229">
            <v>0</v>
          </cell>
          <cell r="T229" t="str">
            <v>áno</v>
          </cell>
          <cell r="U229">
            <v>5.0301369863013701</v>
          </cell>
          <cell r="V229" t="str">
            <v>-</v>
          </cell>
          <cell r="W229" t="str">
            <v>-</v>
          </cell>
          <cell r="X229" t="str">
            <v>-</v>
          </cell>
          <cell r="Y229" t="str">
            <v>-</v>
          </cell>
          <cell r="Z229" t="str">
            <v>-</v>
          </cell>
          <cell r="AA229" t="str">
            <v>-</v>
          </cell>
          <cell r="AB229" t="e">
            <v>#VALUE!</v>
          </cell>
          <cell r="AC229" t="str">
            <v>-</v>
          </cell>
          <cell r="AD229" t="str">
            <v>-</v>
          </cell>
          <cell r="AE229" t="str">
            <v>-</v>
          </cell>
          <cell r="AF229" t="str">
            <v>-</v>
          </cell>
          <cell r="AG229">
            <v>42522</v>
          </cell>
          <cell r="AH229" t="str">
            <v>ok</v>
          </cell>
          <cell r="AJ229" t="b">
            <v>0</v>
          </cell>
        </row>
        <row r="230">
          <cell r="A230" t="str">
            <v>310011C215</v>
          </cell>
          <cell r="B230" t="str">
            <v>1.1.1</v>
          </cell>
          <cell r="C230" t="str">
            <v>OPKZP-PO1-SC111-2016-11</v>
          </cell>
          <cell r="D230" t="str">
            <v>Obec Lužianky</v>
          </cell>
          <cell r="E230" t="str">
            <v>Zhodnocovanie biologicky rozložiteľného komunálneho odpadu obce Lužianky</v>
          </cell>
          <cell r="F230">
            <v>42867</v>
          </cell>
          <cell r="G230" t="str">
            <v/>
          </cell>
          <cell r="H230">
            <v>43738</v>
          </cell>
          <cell r="I230">
            <v>42887</v>
          </cell>
          <cell r="J230">
            <v>43251</v>
          </cell>
          <cell r="K230">
            <v>43009</v>
          </cell>
          <cell r="L230">
            <v>43738</v>
          </cell>
          <cell r="M230">
            <v>43009</v>
          </cell>
          <cell r="N230">
            <v>43373</v>
          </cell>
          <cell r="O230">
            <v>11.967123287671233</v>
          </cell>
          <cell r="P230">
            <v>23.967123287671232</v>
          </cell>
          <cell r="Q230">
            <v>27.978082191780821</v>
          </cell>
          <cell r="R230" t="str">
            <v>áno</v>
          </cell>
          <cell r="S230">
            <v>4.0109589041095894</v>
          </cell>
          <cell r="T230" t="str">
            <v>áno</v>
          </cell>
          <cell r="U230">
            <v>16.010958904109589</v>
          </cell>
          <cell r="V230" t="str">
            <v>-</v>
          </cell>
          <cell r="W230" t="str">
            <v>-</v>
          </cell>
          <cell r="X230" t="str">
            <v>-</v>
          </cell>
          <cell r="Y230" t="str">
            <v>-</v>
          </cell>
          <cell r="Z230" t="str">
            <v>-</v>
          </cell>
          <cell r="AA230" t="str">
            <v>-</v>
          </cell>
          <cell r="AB230" t="e">
            <v>#VALUE!</v>
          </cell>
          <cell r="AC230" t="str">
            <v>-</v>
          </cell>
          <cell r="AD230" t="str">
            <v>-</v>
          </cell>
          <cell r="AE230" t="str">
            <v>-</v>
          </cell>
          <cell r="AF230" t="str">
            <v>-</v>
          </cell>
          <cell r="AG230">
            <v>43009</v>
          </cell>
          <cell r="AH230" t="str">
            <v>termín na začatie do konca mesiaca</v>
          </cell>
          <cell r="AJ230" t="b">
            <v>0</v>
          </cell>
        </row>
        <row r="231">
          <cell r="A231" t="str">
            <v>310011C228</v>
          </cell>
          <cell r="B231" t="str">
            <v>1.1.1</v>
          </cell>
          <cell r="C231" t="str">
            <v>OPKZP-PO1-SC111-2016-11</v>
          </cell>
          <cell r="D231" t="str">
            <v>Odvoz a likvidácia odpadu a.s.</v>
          </cell>
          <cell r="E231" t="str">
            <v>Zber a zhodnotenie BRO mesta Bratislava - I. etapa</v>
          </cell>
          <cell r="F231">
            <v>42878</v>
          </cell>
          <cell r="G231" t="str">
            <v/>
          </cell>
          <cell r="H231">
            <v>43465</v>
          </cell>
          <cell r="I231">
            <v>42887</v>
          </cell>
          <cell r="J231">
            <v>43404</v>
          </cell>
          <cell r="K231">
            <v>42979</v>
          </cell>
          <cell r="L231">
            <v>43465</v>
          </cell>
          <cell r="M231">
            <v>0</v>
          </cell>
          <cell r="N231">
            <v>0</v>
          </cell>
          <cell r="O231">
            <v>16.997260273972604</v>
          </cell>
          <cell r="P231">
            <v>15.978082191780823</v>
          </cell>
          <cell r="Q231">
            <v>19.002739726027396</v>
          </cell>
          <cell r="R231" t="str">
            <v>áno</v>
          </cell>
          <cell r="S231">
            <v>3.0246575342465754</v>
          </cell>
          <cell r="T231" t="str">
            <v>áno</v>
          </cell>
          <cell r="U231">
            <v>2.0054794520547947</v>
          </cell>
          <cell r="V231" t="str">
            <v>-</v>
          </cell>
          <cell r="W231" t="str">
            <v>-</v>
          </cell>
          <cell r="X231" t="str">
            <v>-</v>
          </cell>
          <cell r="Y231" t="str">
            <v>-</v>
          </cell>
          <cell r="Z231" t="str">
            <v>-</v>
          </cell>
          <cell r="AA231" t="str">
            <v>-</v>
          </cell>
          <cell r="AB231" t="e">
            <v>#VALUE!</v>
          </cell>
          <cell r="AC231" t="str">
            <v>-</v>
          </cell>
          <cell r="AD231" t="str">
            <v>-</v>
          </cell>
          <cell r="AE231" t="str">
            <v>-</v>
          </cell>
          <cell r="AF231" t="str">
            <v>-</v>
          </cell>
          <cell r="AG231">
            <v>42979</v>
          </cell>
          <cell r="AH231" t="str">
            <v>po termíne</v>
          </cell>
          <cell r="AJ231" t="b">
            <v>0</v>
          </cell>
        </row>
        <row r="232">
          <cell r="A232" t="str">
            <v>310011C797</v>
          </cell>
          <cell r="B232" t="str">
            <v>1.2.3</v>
          </cell>
          <cell r="C232" t="str">
            <v>OPKZP-PO1-SC123-2015-8</v>
          </cell>
          <cell r="D232" t="str">
            <v>SLOVENSKÝ VODOHOSPODÁRSKY PODNIK, štátny podnik</v>
          </cell>
          <cell r="E232" t="str">
            <v>Monitorovanie fyzikálno-chemických a biologických prvkov kvality vôd v rokoch 2016 - 2020</v>
          </cell>
          <cell r="F232">
            <v>42787</v>
          </cell>
          <cell r="G232" t="str">
            <v/>
          </cell>
          <cell r="H232">
            <v>44530</v>
          </cell>
          <cell r="I232">
            <v>42370</v>
          </cell>
          <cell r="J232">
            <v>44439</v>
          </cell>
          <cell r="K232">
            <v>42370</v>
          </cell>
          <cell r="L232">
            <v>44439</v>
          </cell>
          <cell r="M232">
            <v>0</v>
          </cell>
          <cell r="N232">
            <v>0</v>
          </cell>
          <cell r="O232">
            <v>68.021917808219186</v>
          </cell>
          <cell r="P232">
            <v>68.021917808219186</v>
          </cell>
          <cell r="Q232">
            <v>68.021917808219186</v>
          </cell>
          <cell r="R232" t="str">
            <v>nie</v>
          </cell>
          <cell r="S232">
            <v>0</v>
          </cell>
          <cell r="T232" t="str">
            <v>nie</v>
          </cell>
          <cell r="U232">
            <v>0</v>
          </cell>
          <cell r="V232">
            <v>42370</v>
          </cell>
          <cell r="W232">
            <v>44530</v>
          </cell>
          <cell r="X232">
            <v>42370</v>
          </cell>
          <cell r="Y232">
            <v>44530</v>
          </cell>
          <cell r="Z232">
            <v>71.013698630136986</v>
          </cell>
          <cell r="AA232">
            <v>71.013698630136986</v>
          </cell>
          <cell r="AB232">
            <v>71.013698630136986</v>
          </cell>
          <cell r="AC232" t="str">
            <v>nie</v>
          </cell>
          <cell r="AD232">
            <v>0</v>
          </cell>
          <cell r="AE232" t="str">
            <v>nie</v>
          </cell>
          <cell r="AF232">
            <v>0</v>
          </cell>
          <cell r="AG232">
            <v>42370</v>
          </cell>
          <cell r="AH232" t="str">
            <v>ok</v>
          </cell>
          <cell r="AJ232" t="b">
            <v>0</v>
          </cell>
        </row>
        <row r="233">
          <cell r="A233" t="str">
            <v>310011C895</v>
          </cell>
          <cell r="B233" t="str">
            <v>1.4.1</v>
          </cell>
          <cell r="C233" t="str">
            <v>OPKZP-PO1-SC141-2015-7</v>
          </cell>
          <cell r="D233" t="str">
            <v>U. S. Steel Košice, s.r.o.</v>
          </cell>
          <cell r="E233" t="str">
            <v>Kontrola emisií pre rudné mosty VP2</v>
          </cell>
          <cell r="F233">
            <v>42773</v>
          </cell>
          <cell r="G233" t="str">
            <v/>
          </cell>
          <cell r="H233">
            <v>43738</v>
          </cell>
          <cell r="I233">
            <v>43101</v>
          </cell>
          <cell r="J233">
            <v>43799</v>
          </cell>
          <cell r="K233">
            <v>43040</v>
          </cell>
          <cell r="L233">
            <v>43738</v>
          </cell>
          <cell r="M233">
            <v>0</v>
          </cell>
          <cell r="N233">
            <v>0</v>
          </cell>
          <cell r="O233">
            <v>22.947945205479449</v>
          </cell>
          <cell r="P233">
            <v>22.947945205479449</v>
          </cell>
          <cell r="Q233">
            <v>20.942465753424656</v>
          </cell>
          <cell r="R233" t="str">
            <v>áno</v>
          </cell>
          <cell r="S233">
            <v>-2.0054794520547947</v>
          </cell>
          <cell r="T233" t="str">
            <v>nie</v>
          </cell>
          <cell r="U233">
            <v>-2.0054794520547947</v>
          </cell>
          <cell r="V233" t="str">
            <v>-</v>
          </cell>
          <cell r="W233" t="str">
            <v>-</v>
          </cell>
          <cell r="X233" t="str">
            <v>-</v>
          </cell>
          <cell r="Y233" t="str">
            <v>-</v>
          </cell>
          <cell r="Z233" t="str">
            <v>-</v>
          </cell>
          <cell r="AA233" t="str">
            <v>-</v>
          </cell>
          <cell r="AB233" t="e">
            <v>#VALUE!</v>
          </cell>
          <cell r="AC233" t="str">
            <v>-</v>
          </cell>
          <cell r="AD233" t="str">
            <v>-</v>
          </cell>
          <cell r="AE233" t="str">
            <v>-</v>
          </cell>
          <cell r="AF233" t="str">
            <v>-</v>
          </cell>
          <cell r="AG233">
            <v>43040</v>
          </cell>
          <cell r="AH233" t="str">
            <v>ok</v>
          </cell>
          <cell r="AJ233" t="b">
            <v>0</v>
          </cell>
        </row>
        <row r="234">
          <cell r="A234" t="str">
            <v>310011C955</v>
          </cell>
          <cell r="B234" t="str">
            <v>1.4.1</v>
          </cell>
          <cell r="C234" t="str">
            <v>OPKZP-PO1-SC141-2015-7</v>
          </cell>
          <cell r="D234" t="str">
            <v>U. S. Steel Košice, s.r.o.</v>
          </cell>
          <cell r="E234" t="str">
            <v>Odprášenie koksovej služby VKB1</v>
          </cell>
          <cell r="F234">
            <v>42773</v>
          </cell>
          <cell r="G234" t="str">
            <v/>
          </cell>
          <cell r="H234">
            <v>44135</v>
          </cell>
          <cell r="I234">
            <v>43374</v>
          </cell>
          <cell r="J234">
            <v>44135</v>
          </cell>
          <cell r="K234">
            <v>43374</v>
          </cell>
          <cell r="L234">
            <v>44135</v>
          </cell>
          <cell r="M234" t="str">
            <v/>
          </cell>
          <cell r="N234" t="str">
            <v/>
          </cell>
          <cell r="O234">
            <v>25.019178082191779</v>
          </cell>
          <cell r="P234">
            <v>25.019178082191779</v>
          </cell>
          <cell r="Q234">
            <v>25.019178082191779</v>
          </cell>
          <cell r="R234" t="str">
            <v>nie</v>
          </cell>
          <cell r="S234">
            <v>0</v>
          </cell>
          <cell r="T234" t="str">
            <v>nie</v>
          </cell>
          <cell r="U234">
            <v>0</v>
          </cell>
          <cell r="V234" t="str">
            <v>-</v>
          </cell>
          <cell r="W234" t="str">
            <v>-</v>
          </cell>
          <cell r="X234" t="str">
            <v>-</v>
          </cell>
          <cell r="Y234" t="str">
            <v>-</v>
          </cell>
          <cell r="Z234" t="str">
            <v>-</v>
          </cell>
          <cell r="AA234" t="str">
            <v>-</v>
          </cell>
          <cell r="AB234" t="e">
            <v>#VALUE!</v>
          </cell>
          <cell r="AC234" t="str">
            <v>-</v>
          </cell>
          <cell r="AD234" t="str">
            <v>-</v>
          </cell>
          <cell r="AE234" t="str">
            <v>-</v>
          </cell>
          <cell r="AF234" t="str">
            <v>-</v>
          </cell>
          <cell r="AG234">
            <v>43374</v>
          </cell>
          <cell r="AH234" t="str">
            <v>ok</v>
          </cell>
          <cell r="AJ234" t="b">
            <v>0</v>
          </cell>
        </row>
        <row r="235">
          <cell r="A235" t="str">
            <v>310011C958</v>
          </cell>
          <cell r="B235" t="str">
            <v>1.4.1</v>
          </cell>
          <cell r="C235" t="str">
            <v>OPKZP-PO1-SC141-2015-7</v>
          </cell>
          <cell r="D235" t="str">
            <v>U. S. Steel Košice, s.r.o.</v>
          </cell>
          <cell r="E235" t="str">
            <v>Odprášenie koksovej služby VKB3</v>
          </cell>
          <cell r="F235">
            <v>42773</v>
          </cell>
          <cell r="G235" t="str">
            <v/>
          </cell>
          <cell r="H235">
            <v>44135</v>
          </cell>
          <cell r="I235">
            <v>43374</v>
          </cell>
          <cell r="J235">
            <v>44135</v>
          </cell>
          <cell r="K235">
            <v>43374</v>
          </cell>
          <cell r="L235">
            <v>44135</v>
          </cell>
          <cell r="M235" t="str">
            <v/>
          </cell>
          <cell r="N235" t="str">
            <v/>
          </cell>
          <cell r="O235">
            <v>25.019178082191779</v>
          </cell>
          <cell r="P235">
            <v>25.019178082191779</v>
          </cell>
          <cell r="Q235">
            <v>25.019178082191779</v>
          </cell>
          <cell r="R235" t="str">
            <v>nie</v>
          </cell>
          <cell r="S235">
            <v>0</v>
          </cell>
          <cell r="T235" t="str">
            <v>nie</v>
          </cell>
          <cell r="U235">
            <v>0</v>
          </cell>
          <cell r="V235" t="str">
            <v>-</v>
          </cell>
          <cell r="W235" t="str">
            <v>-</v>
          </cell>
          <cell r="X235" t="str">
            <v>-</v>
          </cell>
          <cell r="Y235" t="str">
            <v>-</v>
          </cell>
          <cell r="Z235" t="str">
            <v>-</v>
          </cell>
          <cell r="AA235" t="str">
            <v>-</v>
          </cell>
          <cell r="AB235" t="e">
            <v>#VALUE!</v>
          </cell>
          <cell r="AC235" t="str">
            <v>-</v>
          </cell>
          <cell r="AD235" t="str">
            <v>-</v>
          </cell>
          <cell r="AE235" t="str">
            <v>-</v>
          </cell>
          <cell r="AF235" t="str">
            <v>-</v>
          </cell>
          <cell r="AG235">
            <v>43374</v>
          </cell>
          <cell r="AH235" t="str">
            <v>ok</v>
          </cell>
          <cell r="AJ235" t="b">
            <v>0</v>
          </cell>
        </row>
        <row r="236">
          <cell r="A236" t="str">
            <v>310011C989</v>
          </cell>
          <cell r="B236" t="str">
            <v>1.4.1</v>
          </cell>
          <cell r="C236" t="str">
            <v>OPKZP-PO1-SC141-2015-7</v>
          </cell>
          <cell r="D236" t="str">
            <v>U. S. Steel Košice, s.r.o.</v>
          </cell>
          <cell r="E236" t="str">
            <v>Odprášenie Úpravne uhlia</v>
          </cell>
          <cell r="F236">
            <v>42773</v>
          </cell>
          <cell r="G236" t="str">
            <v/>
          </cell>
          <cell r="H236">
            <v>43677</v>
          </cell>
          <cell r="I236">
            <v>43160</v>
          </cell>
          <cell r="J236">
            <v>43677</v>
          </cell>
          <cell r="K236">
            <v>43160</v>
          </cell>
          <cell r="L236">
            <v>43677</v>
          </cell>
          <cell r="M236" t="str">
            <v/>
          </cell>
          <cell r="N236" t="str">
            <v/>
          </cell>
          <cell r="O236">
            <v>16.997260273972604</v>
          </cell>
          <cell r="P236">
            <v>16.997260273972604</v>
          </cell>
          <cell r="Q236">
            <v>16.997260273972604</v>
          </cell>
          <cell r="R236" t="str">
            <v>nie</v>
          </cell>
          <cell r="S236">
            <v>0</v>
          </cell>
          <cell r="T236" t="str">
            <v>nie</v>
          </cell>
          <cell r="U236">
            <v>0</v>
          </cell>
          <cell r="V236" t="str">
            <v>-</v>
          </cell>
          <cell r="W236" t="str">
            <v>-</v>
          </cell>
          <cell r="X236" t="str">
            <v>-</v>
          </cell>
          <cell r="Y236" t="str">
            <v>-</v>
          </cell>
          <cell r="Z236" t="str">
            <v>-</v>
          </cell>
          <cell r="AA236" t="str">
            <v>-</v>
          </cell>
          <cell r="AB236" t="e">
            <v>#VALUE!</v>
          </cell>
          <cell r="AC236" t="str">
            <v>-</v>
          </cell>
          <cell r="AD236" t="str">
            <v>-</v>
          </cell>
          <cell r="AE236" t="str">
            <v>-</v>
          </cell>
          <cell r="AF236" t="str">
            <v>-</v>
          </cell>
          <cell r="AG236">
            <v>43160</v>
          </cell>
          <cell r="AH236" t="str">
            <v>ok</v>
          </cell>
          <cell r="AJ236" t="b">
            <v>0</v>
          </cell>
        </row>
        <row r="237">
          <cell r="A237" t="str">
            <v>310011C992</v>
          </cell>
          <cell r="B237" t="str">
            <v>1.4.1</v>
          </cell>
          <cell r="C237" t="str">
            <v>OPKZP-PO1-SC141-2015-7</v>
          </cell>
          <cell r="D237" t="str">
            <v>U. S. Steel Košice, s.r.o.</v>
          </cell>
          <cell r="E237" t="str">
            <v>Odprášenie OC2 – Odsírenie SUZE</v>
          </cell>
          <cell r="F237">
            <v>42773</v>
          </cell>
          <cell r="G237" t="str">
            <v/>
          </cell>
          <cell r="H237">
            <v>43769</v>
          </cell>
          <cell r="I237">
            <v>43040</v>
          </cell>
          <cell r="J237">
            <v>43708</v>
          </cell>
          <cell r="K237">
            <v>43101</v>
          </cell>
          <cell r="L237">
            <v>43769</v>
          </cell>
          <cell r="M237">
            <v>0</v>
          </cell>
          <cell r="N237">
            <v>0</v>
          </cell>
          <cell r="O237">
            <v>21.961643835616439</v>
          </cell>
          <cell r="P237">
            <v>21.961643835616439</v>
          </cell>
          <cell r="Q237">
            <v>23.967123287671232</v>
          </cell>
          <cell r="R237" t="str">
            <v>áno</v>
          </cell>
          <cell r="S237">
            <v>2.0054794520547947</v>
          </cell>
          <cell r="T237" t="str">
            <v>áno</v>
          </cell>
          <cell r="U237">
            <v>2.0054794520547947</v>
          </cell>
          <cell r="V237" t="str">
            <v>-</v>
          </cell>
          <cell r="W237" t="str">
            <v>-</v>
          </cell>
          <cell r="X237" t="str">
            <v>-</v>
          </cell>
          <cell r="Y237" t="str">
            <v>-</v>
          </cell>
          <cell r="Z237" t="str">
            <v>-</v>
          </cell>
          <cell r="AA237" t="str">
            <v>-</v>
          </cell>
          <cell r="AB237" t="e">
            <v>#VALUE!</v>
          </cell>
          <cell r="AC237" t="str">
            <v>-</v>
          </cell>
          <cell r="AD237" t="str">
            <v>-</v>
          </cell>
          <cell r="AE237" t="str">
            <v>-</v>
          </cell>
          <cell r="AF237" t="str">
            <v>-</v>
          </cell>
          <cell r="AG237">
            <v>43101</v>
          </cell>
          <cell r="AH237" t="str">
            <v>po termíne</v>
          </cell>
          <cell r="AJ237" t="b">
            <v>0</v>
          </cell>
        </row>
        <row r="238">
          <cell r="A238" t="str">
            <v>310011D534</v>
          </cell>
          <cell r="B238" t="str">
            <v>1.1.1</v>
          </cell>
          <cell r="C238" t="str">
            <v>OPKZP-PO1-SC111-2016-16</v>
          </cell>
          <cell r="D238" t="str">
            <v>ZEDKO, s.r.o.</v>
          </cell>
          <cell r="E238" t="str">
            <v>Zvýšenie miery recyklácie elektroodpadu v spoločnosti ZEDKO, s.r.o.</v>
          </cell>
          <cell r="F238">
            <v>43012</v>
          </cell>
          <cell r="G238" t="str">
            <v/>
          </cell>
          <cell r="H238">
            <v>43343</v>
          </cell>
          <cell r="I238">
            <v>43070</v>
          </cell>
          <cell r="J238">
            <v>43343</v>
          </cell>
          <cell r="K238">
            <v>43070</v>
          </cell>
          <cell r="L238">
            <v>43343</v>
          </cell>
          <cell r="M238" t="str">
            <v/>
          </cell>
          <cell r="N238" t="str">
            <v/>
          </cell>
          <cell r="O238">
            <v>8.9753424657534246</v>
          </cell>
          <cell r="P238">
            <v>8.9753424657534246</v>
          </cell>
          <cell r="Q238">
            <v>8.9753424657534246</v>
          </cell>
          <cell r="R238" t="str">
            <v>nie</v>
          </cell>
          <cell r="S238">
            <v>0</v>
          </cell>
          <cell r="T238" t="str">
            <v>nie</v>
          </cell>
          <cell r="U238">
            <v>0</v>
          </cell>
          <cell r="V238" t="str">
            <v>-</v>
          </cell>
          <cell r="W238" t="str">
            <v>-</v>
          </cell>
          <cell r="X238" t="str">
            <v>-</v>
          </cell>
          <cell r="Y238" t="str">
            <v>-</v>
          </cell>
          <cell r="Z238" t="str">
            <v>-</v>
          </cell>
          <cell r="AA238" t="str">
            <v>-</v>
          </cell>
          <cell r="AB238" t="e">
            <v>#VALUE!</v>
          </cell>
          <cell r="AC238" t="str">
            <v>-</v>
          </cell>
          <cell r="AD238" t="str">
            <v>-</v>
          </cell>
          <cell r="AE238" t="str">
            <v>-</v>
          </cell>
          <cell r="AF238" t="str">
            <v>-</v>
          </cell>
          <cell r="AG238">
            <v>43070</v>
          </cell>
          <cell r="AH238" t="str">
            <v>ok</v>
          </cell>
          <cell r="AJ238" t="b">
            <v>0</v>
          </cell>
        </row>
        <row r="239">
          <cell r="A239" t="str">
            <v>310011D589</v>
          </cell>
          <cell r="B239" t="str">
            <v>1.1.1</v>
          </cell>
          <cell r="C239" t="str">
            <v>OPKZP-PO1-SC111-2016-16</v>
          </cell>
          <cell r="D239" t="str">
            <v>AGRO CS Slovakia, a.s.</v>
          </cell>
          <cell r="E239" t="str">
            <v>Zhodnocovanie biologicky rozložiteľného odpadu vo výrobe spoločnosti AGRO CS Slovakia, a.s.</v>
          </cell>
          <cell r="F239">
            <v>43027</v>
          </cell>
          <cell r="G239" t="str">
            <v/>
          </cell>
          <cell r="H239">
            <v>43465</v>
          </cell>
          <cell r="I239">
            <v>43009</v>
          </cell>
          <cell r="J239">
            <v>43465</v>
          </cell>
          <cell r="K239">
            <v>43009</v>
          </cell>
          <cell r="L239">
            <v>43465</v>
          </cell>
          <cell r="M239" t="str">
            <v/>
          </cell>
          <cell r="N239" t="str">
            <v/>
          </cell>
          <cell r="O239">
            <v>14.991780821917807</v>
          </cell>
          <cell r="P239">
            <v>14.991780821917807</v>
          </cell>
          <cell r="Q239">
            <v>14.991780821917807</v>
          </cell>
          <cell r="R239" t="str">
            <v>nie</v>
          </cell>
          <cell r="S239">
            <v>0</v>
          </cell>
          <cell r="T239" t="str">
            <v>nie</v>
          </cell>
          <cell r="U239">
            <v>0</v>
          </cell>
          <cell r="V239" t="str">
            <v>-</v>
          </cell>
          <cell r="W239" t="str">
            <v>-</v>
          </cell>
          <cell r="X239" t="str">
            <v>-</v>
          </cell>
          <cell r="Y239" t="str">
            <v>-</v>
          </cell>
          <cell r="Z239" t="str">
            <v>-</v>
          </cell>
          <cell r="AA239" t="str">
            <v>-</v>
          </cell>
          <cell r="AB239" t="e">
            <v>#VALUE!</v>
          </cell>
          <cell r="AC239" t="str">
            <v>-</v>
          </cell>
          <cell r="AD239" t="str">
            <v>-</v>
          </cell>
          <cell r="AE239" t="str">
            <v>-</v>
          </cell>
          <cell r="AF239" t="str">
            <v>-</v>
          </cell>
          <cell r="AG239">
            <v>43009</v>
          </cell>
          <cell r="AH239" t="str">
            <v>termín na začatie do konca mesiaca</v>
          </cell>
          <cell r="AJ239" t="b">
            <v>0</v>
          </cell>
        </row>
        <row r="240">
          <cell r="A240" t="str">
            <v>310011D635</v>
          </cell>
          <cell r="B240" t="str">
            <v>1.1.1</v>
          </cell>
          <cell r="C240" t="str">
            <v>OPKZP-PO1-SC111-2016-12</v>
          </cell>
          <cell r="D240" t="str">
            <v>Ministerstvo životného prostredia SR</v>
          </cell>
          <cell r="E240" t="str">
            <v>Vybudovanie a zavedenie jednotného environmentálneho monitorovacieho a informačného systému v odpadovom hospodárstve.</v>
          </cell>
          <cell r="F240">
            <v>42952</v>
          </cell>
          <cell r="G240" t="str">
            <v/>
          </cell>
          <cell r="H240">
            <v>44074</v>
          </cell>
          <cell r="I240">
            <v>42856</v>
          </cell>
          <cell r="J240">
            <v>43951</v>
          </cell>
          <cell r="K240">
            <v>42856</v>
          </cell>
          <cell r="L240">
            <v>43951</v>
          </cell>
          <cell r="M240" t="str">
            <v/>
          </cell>
          <cell r="N240" t="str">
            <v/>
          </cell>
          <cell r="O240">
            <v>36</v>
          </cell>
          <cell r="P240">
            <v>36</v>
          </cell>
          <cell r="Q240">
            <v>36</v>
          </cell>
          <cell r="R240" t="str">
            <v>nie</v>
          </cell>
          <cell r="S240">
            <v>0</v>
          </cell>
          <cell r="T240" t="str">
            <v>nie</v>
          </cell>
          <cell r="U240">
            <v>0</v>
          </cell>
          <cell r="V240">
            <v>42856</v>
          </cell>
          <cell r="W240">
            <v>44074</v>
          </cell>
          <cell r="X240">
            <v>42856</v>
          </cell>
          <cell r="Y240">
            <v>44074</v>
          </cell>
          <cell r="Z240">
            <v>40.043835616438358</v>
          </cell>
          <cell r="AA240">
            <v>40.043835616438358</v>
          </cell>
          <cell r="AB240">
            <v>40.043835616438358</v>
          </cell>
          <cell r="AC240" t="str">
            <v>nie</v>
          </cell>
          <cell r="AD240">
            <v>0</v>
          </cell>
          <cell r="AE240" t="str">
            <v>nie</v>
          </cell>
          <cell r="AF240">
            <v>0</v>
          </cell>
          <cell r="AG240">
            <v>42856</v>
          </cell>
          <cell r="AH240" t="str">
            <v>ok</v>
          </cell>
          <cell r="AJ240" t="b">
            <v>0</v>
          </cell>
        </row>
        <row r="241">
          <cell r="A241" t="str">
            <v>310011D670</v>
          </cell>
          <cell r="B241" t="str">
            <v>1.1.1</v>
          </cell>
          <cell r="C241" t="str">
            <v>OPKZP-PO1-SC111-2016-16</v>
          </cell>
          <cell r="D241" t="str">
            <v>EkoPellets Slovakia, s.r.o.</v>
          </cell>
          <cell r="E241" t="str">
            <v>Kombinovaná linka na spracovanie piliny procesom lisovania – modernizácia prísunu piliny</v>
          </cell>
          <cell r="F241">
            <v>43021</v>
          </cell>
          <cell r="G241" t="str">
            <v/>
          </cell>
          <cell r="H241">
            <v>43100</v>
          </cell>
          <cell r="I241">
            <v>42979</v>
          </cell>
          <cell r="J241">
            <v>43100</v>
          </cell>
          <cell r="K241">
            <v>42979</v>
          </cell>
          <cell r="L241">
            <v>43100</v>
          </cell>
          <cell r="M241">
            <v>0</v>
          </cell>
          <cell r="N241">
            <v>0</v>
          </cell>
          <cell r="O241">
            <v>3.978082191780822</v>
          </cell>
          <cell r="P241">
            <v>3.978082191780822</v>
          </cell>
          <cell r="Q241">
            <v>3.978082191780822</v>
          </cell>
          <cell r="R241" t="str">
            <v>nie</v>
          </cell>
          <cell r="S241">
            <v>0</v>
          </cell>
          <cell r="T241" t="str">
            <v>nie</v>
          </cell>
          <cell r="U241">
            <v>0</v>
          </cell>
          <cell r="V241" t="str">
            <v>-</v>
          </cell>
          <cell r="W241" t="str">
            <v>-</v>
          </cell>
          <cell r="X241" t="str">
            <v>-</v>
          </cell>
          <cell r="Y241" t="str">
            <v>-</v>
          </cell>
          <cell r="Z241" t="str">
            <v>-</v>
          </cell>
          <cell r="AA241" t="str">
            <v>-</v>
          </cell>
          <cell r="AB241" t="e">
            <v>#VALUE!</v>
          </cell>
          <cell r="AC241" t="str">
            <v>-</v>
          </cell>
          <cell r="AD241" t="str">
            <v>-</v>
          </cell>
          <cell r="AE241" t="str">
            <v>-</v>
          </cell>
          <cell r="AF241" t="str">
            <v>-</v>
          </cell>
          <cell r="AG241">
            <v>42979</v>
          </cell>
          <cell r="AH241" t="str">
            <v>po termíne</v>
          </cell>
          <cell r="AJ241" t="b">
            <v>0</v>
          </cell>
        </row>
        <row r="242">
          <cell r="A242" t="str">
            <v>310011F127</v>
          </cell>
          <cell r="B242" t="str">
            <v>1.1.1</v>
          </cell>
          <cell r="C242" t="str">
            <v>OPKZP-PO1-SC111-2016-15</v>
          </cell>
          <cell r="D242" t="str">
            <v>DOPABAL s.r.o.</v>
          </cell>
          <cell r="E242" t="str">
            <v>Zariadenie na recykláciu nebezpečných odpadov</v>
          </cell>
          <cell r="F242">
            <v>42973</v>
          </cell>
          <cell r="G242" t="str">
            <v/>
          </cell>
          <cell r="H242">
            <v>43524</v>
          </cell>
          <cell r="I242">
            <v>42979</v>
          </cell>
          <cell r="J242">
            <v>43434</v>
          </cell>
          <cell r="K242">
            <v>43070</v>
          </cell>
          <cell r="L242">
            <v>43524</v>
          </cell>
          <cell r="M242">
            <v>0</v>
          </cell>
          <cell r="N242">
            <v>0</v>
          </cell>
          <cell r="O242">
            <v>14.958904109589042</v>
          </cell>
          <cell r="P242">
            <v>14.926027397260274</v>
          </cell>
          <cell r="Q242">
            <v>17.917808219178081</v>
          </cell>
          <cell r="R242" t="str">
            <v>áno</v>
          </cell>
          <cell r="S242">
            <v>2.9917808219178084</v>
          </cell>
          <cell r="T242" t="str">
            <v>áno</v>
          </cell>
          <cell r="U242">
            <v>2.9589041095890409</v>
          </cell>
          <cell r="V242" t="str">
            <v>-</v>
          </cell>
          <cell r="W242" t="str">
            <v>-</v>
          </cell>
          <cell r="X242" t="str">
            <v>-</v>
          </cell>
          <cell r="Y242" t="str">
            <v>-</v>
          </cell>
          <cell r="Z242" t="str">
            <v>-</v>
          </cell>
          <cell r="AA242" t="str">
            <v>-</v>
          </cell>
          <cell r="AB242" t="e">
            <v>#VALUE!</v>
          </cell>
          <cell r="AC242" t="str">
            <v>-</v>
          </cell>
          <cell r="AD242" t="str">
            <v>-</v>
          </cell>
          <cell r="AE242" t="str">
            <v>-</v>
          </cell>
          <cell r="AF242" t="str">
            <v>-</v>
          </cell>
          <cell r="AG242">
            <v>43070</v>
          </cell>
          <cell r="AH242" t="str">
            <v>po termíne</v>
          </cell>
          <cell r="AJ242" t="b">
            <v>0</v>
          </cell>
        </row>
        <row r="243">
          <cell r="A243" t="str">
            <v>310011F270</v>
          </cell>
          <cell r="B243" t="str">
            <v>1.1.1</v>
          </cell>
          <cell r="C243" t="str">
            <v>OPKZP-PO1-SC111-2016-16</v>
          </cell>
          <cell r="D243" t="str">
            <v>BUKÓZA INVEST spol. s.r.o.</v>
          </cell>
          <cell r="E243" t="str">
            <v>Recyklácia zberového papiera za účelom výroby papiera (testlineru)</v>
          </cell>
          <cell r="F243">
            <v>43007</v>
          </cell>
          <cell r="G243" t="str">
            <v/>
          </cell>
          <cell r="H243">
            <v>43465</v>
          </cell>
          <cell r="I243">
            <v>42979</v>
          </cell>
          <cell r="J243">
            <v>43465</v>
          </cell>
          <cell r="K243">
            <v>42979</v>
          </cell>
          <cell r="L243">
            <v>43465</v>
          </cell>
          <cell r="M243" t="str">
            <v/>
          </cell>
          <cell r="N243" t="str">
            <v/>
          </cell>
          <cell r="O243">
            <v>15.978082191780823</v>
          </cell>
          <cell r="P243">
            <v>15.978082191780823</v>
          </cell>
          <cell r="Q243">
            <v>15.978082191780823</v>
          </cell>
          <cell r="R243" t="str">
            <v>nie</v>
          </cell>
          <cell r="S243">
            <v>0</v>
          </cell>
          <cell r="T243" t="str">
            <v>nie</v>
          </cell>
          <cell r="U243">
            <v>0</v>
          </cell>
          <cell r="V243" t="str">
            <v>-</v>
          </cell>
          <cell r="W243" t="str">
            <v>-</v>
          </cell>
          <cell r="X243" t="str">
            <v>-</v>
          </cell>
          <cell r="Y243" t="str">
            <v>-</v>
          </cell>
          <cell r="Z243" t="str">
            <v>-</v>
          </cell>
          <cell r="AA243" t="str">
            <v>-</v>
          </cell>
          <cell r="AB243" t="e">
            <v>#VALUE!</v>
          </cell>
          <cell r="AC243" t="str">
            <v>-</v>
          </cell>
          <cell r="AD243" t="str">
            <v>-</v>
          </cell>
          <cell r="AE243" t="str">
            <v>-</v>
          </cell>
          <cell r="AF243" t="str">
            <v>-</v>
          </cell>
          <cell r="AG243">
            <v>42979</v>
          </cell>
          <cell r="AH243" t="str">
            <v>po termíne</v>
          </cell>
          <cell r="AJ243" t="b">
            <v>0</v>
          </cell>
        </row>
        <row r="244">
          <cell r="A244" t="str">
            <v>310011F687</v>
          </cell>
          <cell r="B244" t="str">
            <v>1.1.1</v>
          </cell>
          <cell r="C244" t="str">
            <v>OPKZP-PO1-SC111-2016-16</v>
          </cell>
          <cell r="D244" t="str">
            <v>ELEKTRO RECYCLING, s.r.o.</v>
          </cell>
          <cell r="E244" t="str">
            <v>Zvýšenie efektivity procesov spracovania odpadov pre opätovné použitie.</v>
          </cell>
          <cell r="F244">
            <v>43000</v>
          </cell>
          <cell r="G244" t="str">
            <v/>
          </cell>
          <cell r="H244">
            <v>43616</v>
          </cell>
          <cell r="I244">
            <v>43070</v>
          </cell>
          <cell r="J244">
            <v>43616</v>
          </cell>
          <cell r="K244">
            <v>43070</v>
          </cell>
          <cell r="L244">
            <v>43616</v>
          </cell>
          <cell r="M244" t="str">
            <v/>
          </cell>
          <cell r="N244" t="str">
            <v/>
          </cell>
          <cell r="O244">
            <v>17.950684931506849</v>
          </cell>
          <cell r="P244">
            <v>17.950684931506849</v>
          </cell>
          <cell r="Q244">
            <v>17.950684931506849</v>
          </cell>
          <cell r="R244" t="str">
            <v>nie</v>
          </cell>
          <cell r="S244">
            <v>0</v>
          </cell>
          <cell r="T244" t="str">
            <v>nie</v>
          </cell>
          <cell r="U244">
            <v>0</v>
          </cell>
          <cell r="V244" t="str">
            <v>-</v>
          </cell>
          <cell r="W244" t="str">
            <v>-</v>
          </cell>
          <cell r="X244" t="str">
            <v>-</v>
          </cell>
          <cell r="Y244" t="str">
            <v>-</v>
          </cell>
          <cell r="Z244" t="str">
            <v>-</v>
          </cell>
          <cell r="AA244" t="str">
            <v>-</v>
          </cell>
          <cell r="AB244" t="e">
            <v>#VALUE!</v>
          </cell>
          <cell r="AC244" t="str">
            <v>-</v>
          </cell>
          <cell r="AD244" t="str">
            <v>-</v>
          </cell>
          <cell r="AE244" t="str">
            <v>-</v>
          </cell>
          <cell r="AF244" t="str">
            <v>-</v>
          </cell>
          <cell r="AG244">
            <v>43070</v>
          </cell>
          <cell r="AH244" t="str">
            <v>ok</v>
          </cell>
          <cell r="AJ244" t="b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Ukazovatele_17_12_Aktualizovane_J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139.455512499997" createdVersion="5" refreshedVersion="5" minRefreshableVersion="3" recordCount="415">
  <cacheSource type="worksheet">
    <worksheetSource ref="C1:P417" sheet="Výstup projektov 12-2017" r:id="rId2"/>
  </cacheSource>
  <cacheFields count="14">
    <cacheField name="PO" numFmtId="0">
      <sharedItems containsBlank="1" containsMixedTypes="1" containsNumber="1" containsInteger="1" minValue="1" maxValue="1"/>
    </cacheField>
    <cacheField name="Špecifický cieľ" numFmtId="0">
      <sharedItems containsBlank="1" count="21">
        <s v="1.1.1"/>
        <s v="1.2.1"/>
        <s v="1.2.2"/>
        <s v="1.2.3"/>
        <s v="1.3.1"/>
        <s v="1.4.1"/>
        <s v="1.4.2"/>
        <s v="2.1.1"/>
        <s v="2.1.2"/>
        <s v="3.1.1"/>
        <s v="3.1.2"/>
        <s v="3.1.3"/>
        <s v="4.1.1"/>
        <s v="4.1.2"/>
        <s v="4.2.1"/>
        <s v="4.3.1"/>
        <s v="4.4.1"/>
        <s v="4.5.1"/>
        <s v="5.1.1"/>
        <s v="5.1.2"/>
        <m/>
      </sharedItems>
    </cacheField>
    <cacheField name="Aktivita" numFmtId="0">
      <sharedItems containsBlank="1"/>
    </cacheField>
    <cacheField name="Kód ukazovateľa výstupu projektu" numFmtId="0">
      <sharedItems containsBlank="1"/>
    </cacheField>
    <cacheField name="Názov ukazovateľa výstupu projektu" numFmtId="0">
      <sharedItems containsBlank="1"/>
    </cacheField>
    <cacheField name="Merná jednotka" numFmtId="0">
      <sharedItems containsBlank="1" count="18">
        <s v="počet"/>
        <s v="t/rok"/>
        <s v="km"/>
        <s v="EO"/>
        <s v="osoby"/>
        <s v="ha"/>
        <s v="MW"/>
        <s v="kg/rok"/>
        <s v="€"/>
        <s v="m2"/>
        <s v="min"/>
        <s v="EUR"/>
        <s v="MWh/rok"/>
        <s v="t ekviv. CO2"/>
        <s v="podniky"/>
        <s v="MWe"/>
        <s v="MWt"/>
        <m/>
      </sharedItems>
    </cacheField>
    <cacheField name="Relevancia k HP" numFmtId="0">
      <sharedItems containsBlank="1"/>
    </cacheField>
    <cacheField name="Príznak rizika" numFmtId="0">
      <sharedItems containsBlank="1"/>
    </cacheField>
    <cacheField name="Počet projektov prispievajúcich k MU" numFmtId="0">
      <sharedItems containsString="0" containsBlank="1" containsNumber="1" containsInteger="1" minValue="0" maxValue="294"/>
    </cacheField>
    <cacheField name="Skutočný stav k 31.12.2017" numFmtId="0">
      <sharedItems containsString="0" containsBlank="1" containsNumber="1" minValue="0" maxValue="2973781.8615999999"/>
    </cacheField>
    <cacheField name="Očakávaný stav k 31.12.2018_x000a_Ukončené a zazmluvnené projekty s plánovaným ukončení k a odhad plnenia ukazovateľov projektov s harmonogramom presahujúcim 31.12.2018" numFmtId="0">
      <sharedItems containsString="0" containsBlank="1" containsNumber="1" minValue="0" maxValue="56671783.012999982"/>
    </cacheField>
    <cacheField name="Zazmluvnená hodnota k 31.12.2017" numFmtId="0">
      <sharedItems containsString="0" containsBlank="1" containsNumber="1" minValue="0" maxValue="81203302.442999989"/>
    </cacheField>
    <cacheField name="Kód ukazovateľa výstupu programu" numFmtId="0">
      <sharedItems containsBlank="1" count="82">
        <m/>
        <s v="O0178"/>
        <s v="O0002"/>
        <s v="O0003"/>
        <s v="CO17"/>
        <s v="O0004"/>
        <s v="CO19/K0007"/>
        <s v="CO18"/>
        <s v="O0176"/>
        <s v="O0006"/>
        <s v="O0007"/>
        <s v="O0008"/>
        <s v="O0009"/>
        <s v="CO23"/>
        <s v="O0010"/>
        <s v="O0012"/>
        <s v="O0011"/>
        <s v="O0174"/>
        <s v="O0177"/>
        <s v="O0016"/>
        <s v="O0015"/>
        <s v="CO22"/>
        <s v="O0018"/>
        <s v="O0017"/>
        <s v="CO20"/>
        <s v="O0019"/>
        <s v="O0020"/>
        <s v="O0021"/>
        <s v="O0022"/>
        <s v="O0023"/>
        <s v="O0024"/>
        <s v="O0025"/>
        <s v="O0026"/>
        <s v="O0027"/>
        <s v="CO34 (MRR)"/>
        <s v="CO01"/>
        <s v="O0188 (MRR)"/>
        <s v="CO30 (MRR)"/>
        <s v="O0189 (MRR)"/>
        <s v="O0028 (MRR)"/>
        <s v="CO34 (VRR)"/>
        <s v="O0028 (VRR)"/>
        <s v="O0188 (VRR)"/>
        <s v="CO30 (VRR)"/>
        <s v="O0189 (VRR)"/>
        <s v="O0030"/>
        <s v="CO34"/>
        <s v="O0029"/>
        <s v="O0032"/>
        <s v="O0031"/>
        <s v="O0184"/>
        <s v="O0185"/>
        <s v="O0188"/>
        <s v="CO30"/>
        <s v="O0189"/>
        <s v="O0180"/>
        <s v="O0183"/>
        <s v="O0187"/>
        <s v="CO32"/>
        <s v="O0179"/>
        <s v="O0050"/>
        <s v="O0036"/>
        <s v="O0034"/>
        <s v="O0037"/>
        <s v="O0038"/>
        <s v="O0039"/>
        <s v="O0040"/>
        <s v="O0163"/>
        <s v="O0175  "/>
        <s v="O0182 "/>
        <s v="O0181"/>
        <s v="O0163 "/>
        <s v="O0175 "/>
        <s v="O0181 "/>
        <s v="O0181 (VRR)" u="1"/>
        <s v="O0175  (MRR)" u="1"/>
        <s v="O0182 (MRR)" u="1"/>
        <s v="O0182 (VRR)" u="1"/>
        <s v="O0163 (MRR)" u="1"/>
        <s v="O0163  (VRR)" u="1"/>
        <s v="O0175  (VRR)" u="1"/>
        <s v="O0181 (MRR)" u="1"/>
      </sharedItems>
    </cacheField>
    <cacheField name="Názov ukazovateľa výstupu programu" numFmtId="0">
      <sharedItems containsBlank="1" count="76">
        <m/>
        <s v="Počet zrealizovaných informačných aktivít"/>
        <s v="Zvýšená kapacita pre triedenie komunálnych odpadov"/>
        <s v="1.1.1 B - P0702"/>
        <s v="Zvýšená kapacita pre zhodnocovanie odpadov"/>
        <s v="1.1.1 B - P0703"/>
        <s v="Zvýšená kapacita recyklácie odpadu "/>
        <s v="1.1.1 B - P0704"/>
        <s v="1.1.1 C - P0703"/>
        <s v="1.1.1 C - P0704"/>
        <s v="Vybudovaný jednotný environmentálny monitorovací a informačný systém v odpadovom hospodárstve"/>
        <s v="Zvýšený počet obyvateľov so zlepšeným čistením komunálnych odpadových vôd"/>
        <s v="Zvýšený počet obyvateľov so zlepšenou dodávkou pitnej vody"/>
        <s v="Počet analyzovaných vzoriek povrchových a podzemných vôd"/>
        <s v="Počet podporených objektov monitorovacej siete povrchových a podzemných vôd"/>
        <s v="Počet vyhodnotených vodných útvarov  povrchových a podzemných vôd"/>
        <s v="Počet opatrení na zabezpečenie spojitosti vodných tokov a odstraňovanie bariér vo vodných tokoch"/>
        <s v="Počet koncepčných, analytických a metodických materiálov"/>
        <s v="Plocha biotopov podporených s cieľom dosiahnuť lepší stav ich ochrany"/>
        <s v="Počet realizovaných prvkov zelenej infraštruktúry"/>
        <s v="Počet monitorovaných lokalít, kde došlo k zvýšeniu počtu monitorovaných druhov alebo biotopov"/>
        <s v="Počet novo zaradených monitorovaných lokalít"/>
        <s v="Inštalovaný výkon nízkoemisných zariadení nahradzujúcich zastarané spaľovacie zariadenia na výrobu tepla na vykurovanie"/>
        <s v="Počet podporených zariadení stredných a veľkých stacionárnych zdrojov znečisťovania ovzdušia za účelom zníženia emisií"/>
        <s v="Počet aplikovaných modulov NEIS podľa požiadaviek na informovanie verejnosti a reportingových povinností "/>
        <s v="Počet podporených akreditovaných odberných miest NMSKO"/>
        <s v="Celkový povrch rekultivovanej pôdy"/>
        <s v="Plocha monitorovaných environmentálnych záťaží"/>
        <s v="Plocha preskúmaných environmentálnych záťaží"/>
        <s v="Počet obyvateľov využívajúcich opatrenia protipovodňovej ochrany "/>
        <s v="Počet realizovaných vodozádržných opatrení"/>
        <s v="Počet aktualizovaných alebo novovytvorených plánovacích podkladov manažmentu povodňových rizík (na úrovni SR)"/>
        <s v="Počet novovytvorených metodík pre hodnotenie investičných rizík spojených s nepriaznivými dôsledkami zmeny klímy"/>
        <s v="Počet vytvorených modelov vývoja  mimoriadnych udalostí ovplyvnených zmenou klímy"/>
        <s v="Počet systémov včasného varovania "/>
        <s v="Plocha preskúmaného zosuvného územia"/>
        <s v="Plocha hydrogeologicky preskúmaného územia"/>
        <s v="Počet subjektov so zlepšeným vybavením intervenčnými kapacitami"/>
        <s v="Počet vytvorených špecializovaných  záchranných modulov "/>
        <s v="Odhadované ročné zníženie emisií skleníkových plynov (MRR)"/>
        <s v="Počet podnikov, ktorým sa poskytuje podpora"/>
        <s v="Zvýšená kapacita výroby elektriny z obnoviteľných zdrojov (MRR)"/>
        <s v="Zvýšená kapacita výroby energie z obnoviteľných zdrojov (MRR)"/>
        <s v="Zvýšená kapacita výroby tepla z obnoviteľných zdrojov (MRR)"/>
        <s v="Počet malých zariadení na využívanie OZE (MRR)"/>
        <s v="Odhadované ročné zníženie emisií skleníkových plynov (VRR)"/>
        <s v="Počet malých zariadení na využívanie OZE (VRR)"/>
        <s v="Zvýšená kapacita výroby elektriny z obnoviteľných zdrojov (VRR)"/>
        <s v="Zvýšená kapacita výroby energie z obnoviteľných zdrojov"/>
        <s v="Zvýšená kapacita výroby tepla z obnoviteľných zdrojov (VRR)"/>
        <s v="Počet energetických auditov"/>
        <s v="Odhadované ročné zníženie emisií skleníkových plynov"/>
        <s v="Počet opatrení energetickej efektívnosti realizovaných v podnikoch "/>
        <s v="Počet podnikov s registrovaným EMAS a zavedeným systémom environmentálneho manažérstva"/>
        <s v="Počet zavedených systémov merania a riadenia"/>
        <s v="Predpokladaná úspora PEZ v podniku podľa energetického auditu"/>
        <s v="Úspora PEZ v podniku "/>
        <s v="Zvýšená kapacita výroby elektriny z obnoviteľných zdrojov"/>
        <s v="Zvýšená kapacita výroby tepla z obnoviteľných zdrojov"/>
        <s v="Počet verejných budov na úrovni nízkoenergetickej alebo ultranízkoenergetickej alebo s takmer nulovou potrebou energie"/>
        <s v="Podlahová plocha budov obnovených nad rámec minimálnych požiadaviek"/>
        <s v="Zníženie konečnej spotreby energie vo verejných budovách  "/>
        <s v="Zníženie ročnej spotreby primárnej energie vo verejných budovách  "/>
        <s v="Počet regionálnych a lokálnych nízkouhlíkových stratégií"/>
        <s v="Počet registrácií EMAS a zavedených systémov environmentálneho manažérstva"/>
        <s v="Počet zavedených systémov energetického manažérstva"/>
        <s v="Počet zavedených systémov kontinuálneho zvyšovania informovanosti"/>
        <s v="Počet systémov centralizovaného zásobovania teplom s vyššou účinnosťou"/>
        <s v="Úspora PEZ v systémoch centralizovaného zásobovania teplom"/>
        <s v="Množstvo tepla vyrobeného vysoko účinnou kombinovanou výrobou založenou na dopyte po využiteľnom teple"/>
        <s v="Zvýšenie inštalovaného výkonu zariadení na výrobu elektriny a tepla vysoko účinnou kombinovanou výrobou založenou na dopyte po využiteľnom teple"/>
        <s v="Počet zrealizovaných vzdelávacích aktivít"/>
        <s v="Počet administratívnych kapacít financovaných z technickej pomoci"/>
        <s v="Podiel administratívnych kapacít vybavených materiálno-technickým vybavením z TP"/>
        <s v="Počet zrealizovaných hodnotení, analýz a štúdií"/>
        <s v="Podiel administratívnych kapacít vybavených materiálno-technickým vybavením z TP (!!! M.j. na projektovej úrovni je počet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5">
  <r>
    <n v="1"/>
    <x v="0"/>
    <s v="1.1.1 A"/>
    <s v="P0271"/>
    <s v="Počet osôb zapojených do informačných aktivít"/>
    <x v="0"/>
    <s v="PraN"/>
    <s v="Áno"/>
    <n v="0"/>
    <n v="0"/>
    <n v="0"/>
    <n v="0"/>
    <x v="0"/>
    <x v="0"/>
  </r>
  <r>
    <n v="1"/>
    <x v="0"/>
    <s v="1.1.1 A"/>
    <s v="P0402"/>
    <s v="Počet subjektov zapojených do informačných aktivít"/>
    <x v="0"/>
    <m/>
    <m/>
    <n v="0"/>
    <n v="0"/>
    <n v="0"/>
    <n v="0"/>
    <x v="0"/>
    <x v="0"/>
  </r>
  <r>
    <n v="1"/>
    <x v="0"/>
    <s v="1.1.1 A"/>
    <s v="P0589"/>
    <s v="Počet zrealizovaných informačných aktivít"/>
    <x v="0"/>
    <s v="PraN"/>
    <s v="Nie"/>
    <n v="0"/>
    <n v="0"/>
    <n v="0"/>
    <n v="0"/>
    <x v="1"/>
    <x v="1"/>
  </r>
  <r>
    <n v="1"/>
    <x v="0"/>
    <s v="1.1.1 C"/>
    <s v="P0082"/>
    <s v="BA"/>
    <x v="1"/>
    <s v="UR"/>
    <s v="Áno"/>
    <m/>
    <n v="0"/>
    <m/>
    <n v="0"/>
    <x v="0"/>
    <x v="0"/>
  </r>
  <r>
    <n v="1"/>
    <x v="0"/>
    <s v="1.1.1 C"/>
    <s v="P0082"/>
    <s v="NR"/>
    <x v="1"/>
    <s v="UR"/>
    <s v="Áno"/>
    <m/>
    <n v="0"/>
    <m/>
    <n v="0"/>
    <x v="0"/>
    <x v="0"/>
  </r>
  <r>
    <n v="1"/>
    <x v="0"/>
    <s v="1.1.1 C"/>
    <s v="P0082"/>
    <s v="TN"/>
    <x v="1"/>
    <s v="UR"/>
    <s v="Áno"/>
    <m/>
    <n v="0"/>
    <m/>
    <n v="0"/>
    <x v="0"/>
    <x v="0"/>
  </r>
  <r>
    <n v="1"/>
    <x v="0"/>
    <s v="1.1.1 C"/>
    <s v="P0082"/>
    <s v="TT"/>
    <x v="1"/>
    <s v="UR"/>
    <s v="Áno"/>
    <m/>
    <n v="0"/>
    <m/>
    <n v="0"/>
    <x v="0"/>
    <x v="0"/>
  </r>
  <r>
    <n v="1"/>
    <x v="0"/>
    <s v="1.1.1 C"/>
    <s v="P0082"/>
    <s v="BB"/>
    <x v="1"/>
    <s v="UR"/>
    <s v="Áno"/>
    <m/>
    <n v="0"/>
    <m/>
    <n v="0"/>
    <x v="0"/>
    <x v="0"/>
  </r>
  <r>
    <n v="1"/>
    <x v="0"/>
    <s v="1.1.1 C"/>
    <s v="P0082"/>
    <s v="ZA"/>
    <x v="1"/>
    <s v="UR"/>
    <s v="Áno"/>
    <m/>
    <n v="0"/>
    <m/>
    <n v="0"/>
    <x v="0"/>
    <x v="0"/>
  </r>
  <r>
    <n v="1"/>
    <x v="0"/>
    <s v="1.1.1 C"/>
    <s v="P0082"/>
    <s v="KE"/>
    <x v="1"/>
    <s v="UR"/>
    <s v="Áno"/>
    <m/>
    <n v="0"/>
    <m/>
    <n v="0"/>
    <x v="0"/>
    <x v="0"/>
  </r>
  <r>
    <n v="1"/>
    <x v="0"/>
    <s v="1.1.1 C"/>
    <s v="P0082"/>
    <s v="PO"/>
    <x v="1"/>
    <s v="UR"/>
    <s v="Áno"/>
    <m/>
    <n v="0"/>
    <m/>
    <n v="2300"/>
    <x v="0"/>
    <x v="0"/>
  </r>
  <r>
    <n v="1"/>
    <x v="0"/>
    <s v="1.1.1 B"/>
    <s v="P0081"/>
    <s v="Množstvo opätovne použitých odpadov"/>
    <x v="1"/>
    <s v="UR"/>
    <m/>
    <n v="0"/>
    <n v="0"/>
    <n v="0"/>
    <n v="0"/>
    <x v="0"/>
    <x v="0"/>
  </r>
  <r>
    <n v="1"/>
    <x v="0"/>
    <s v="1.1.1 B"/>
    <s v="P0083"/>
    <s v="BA"/>
    <x v="1"/>
    <s v="UR"/>
    <s v="Áno"/>
    <m/>
    <n v="0"/>
    <m/>
    <n v="0"/>
    <x v="0"/>
    <x v="0"/>
  </r>
  <r>
    <n v="1"/>
    <x v="0"/>
    <s v="1.1.1 B"/>
    <s v="P0083"/>
    <s v="NR"/>
    <x v="1"/>
    <s v="UR"/>
    <s v="Áno"/>
    <m/>
    <n v="0"/>
    <m/>
    <n v="0"/>
    <x v="0"/>
    <x v="0"/>
  </r>
  <r>
    <n v="1"/>
    <x v="0"/>
    <s v="1.1.1 B"/>
    <s v="P0083"/>
    <s v="TN"/>
    <x v="1"/>
    <s v="UR"/>
    <s v="Áno"/>
    <m/>
    <n v="0"/>
    <m/>
    <n v="0"/>
    <x v="0"/>
    <x v="0"/>
  </r>
  <r>
    <n v="1"/>
    <x v="0"/>
    <s v="1.1.1 B"/>
    <s v="P0083"/>
    <s v="TT"/>
    <x v="1"/>
    <s v="UR"/>
    <s v="Áno"/>
    <m/>
    <n v="0"/>
    <m/>
    <n v="0"/>
    <x v="0"/>
    <x v="0"/>
  </r>
  <r>
    <n v="1"/>
    <x v="0"/>
    <s v="1.1.1 B"/>
    <s v="P0083"/>
    <s v="BB"/>
    <x v="1"/>
    <s v="UR"/>
    <s v="Áno"/>
    <m/>
    <n v="0"/>
    <m/>
    <n v="10230"/>
    <x v="0"/>
    <x v="0"/>
  </r>
  <r>
    <n v="1"/>
    <x v="0"/>
    <s v="1.1.1 B"/>
    <s v="P0083"/>
    <s v="ZA"/>
    <x v="1"/>
    <s v="UR"/>
    <s v="Áno"/>
    <m/>
    <n v="0"/>
    <m/>
    <n v="0"/>
    <x v="0"/>
    <x v="0"/>
  </r>
  <r>
    <n v="1"/>
    <x v="0"/>
    <s v="1.1.1 B"/>
    <s v="P0083"/>
    <s v="KE"/>
    <x v="1"/>
    <s v="UR"/>
    <s v="Áno"/>
    <m/>
    <n v="0"/>
    <m/>
    <n v="0"/>
    <x v="0"/>
    <x v="0"/>
  </r>
  <r>
    <n v="1"/>
    <x v="0"/>
    <s v="1.1.1 B"/>
    <s v="P0083"/>
    <s v="PO"/>
    <x v="1"/>
    <s v="UR"/>
    <s v="Áno"/>
    <m/>
    <n v="0"/>
    <m/>
    <n v="74000"/>
    <x v="0"/>
    <x v="0"/>
  </r>
  <r>
    <n v="1"/>
    <x v="0"/>
    <s v="1.1.1 B"/>
    <s v="P0083"/>
    <s v="Množstvo recyklovaných nie nebezpečných odpadov"/>
    <x v="1"/>
    <s v="UR"/>
    <s v="Áno"/>
    <n v="4"/>
    <n v="0"/>
    <n v="84100"/>
    <n v="84230"/>
    <x v="0"/>
    <x v="0"/>
  </r>
  <r>
    <n v="1"/>
    <x v="0"/>
    <s v="1.1.1 B"/>
    <s v="P0087"/>
    <s v="BA"/>
    <x v="1"/>
    <s v="UR"/>
    <s v="Áno"/>
    <m/>
    <n v="0"/>
    <m/>
    <n v="6924.5680000000002"/>
    <x v="0"/>
    <x v="0"/>
  </r>
  <r>
    <n v="1"/>
    <x v="0"/>
    <s v="1.1.1 B"/>
    <s v="P0087"/>
    <s v="NR"/>
    <x v="1"/>
    <s v="UR"/>
    <s v="Áno"/>
    <m/>
    <n v="0"/>
    <m/>
    <n v="9387.57"/>
    <x v="0"/>
    <x v="0"/>
  </r>
  <r>
    <n v="1"/>
    <x v="0"/>
    <s v="1.1.1 B"/>
    <s v="P0087"/>
    <s v="TN"/>
    <x v="1"/>
    <s v="UR"/>
    <s v="Áno"/>
    <m/>
    <n v="151"/>
    <m/>
    <n v="9154.8709999999992"/>
    <x v="0"/>
    <x v="0"/>
  </r>
  <r>
    <n v="1"/>
    <x v="0"/>
    <s v="1.1.1 B"/>
    <s v="P0087"/>
    <s v="TT"/>
    <x v="1"/>
    <s v="UR"/>
    <s v="Áno"/>
    <m/>
    <n v="0"/>
    <m/>
    <n v="7072.31"/>
    <x v="0"/>
    <x v="0"/>
  </r>
  <r>
    <n v="1"/>
    <x v="0"/>
    <s v="1.1.1 B"/>
    <s v="P0087"/>
    <s v="BB"/>
    <x v="1"/>
    <s v="UR"/>
    <s v="Áno"/>
    <m/>
    <n v="0"/>
    <m/>
    <n v="7298.2400000000007"/>
    <x v="0"/>
    <x v="0"/>
  </r>
  <r>
    <n v="1"/>
    <x v="0"/>
    <s v="1.1.1 B"/>
    <s v="P0087"/>
    <s v="ZA"/>
    <x v="1"/>
    <s v="UR"/>
    <s v="Áno"/>
    <m/>
    <n v="0"/>
    <m/>
    <n v="7821.62"/>
    <x v="0"/>
    <x v="0"/>
  </r>
  <r>
    <n v="1"/>
    <x v="0"/>
    <s v="1.1.1 B"/>
    <s v="P0087"/>
    <s v="KE"/>
    <x v="1"/>
    <s v="UR"/>
    <s v="Áno"/>
    <m/>
    <n v="0"/>
    <m/>
    <n v="603.79"/>
    <x v="0"/>
    <x v="0"/>
  </r>
  <r>
    <n v="1"/>
    <x v="0"/>
    <s v="1.1.1 B"/>
    <s v="P0087"/>
    <s v="PO"/>
    <x v="1"/>
    <s v="UR"/>
    <s v="Áno"/>
    <m/>
    <n v="0"/>
    <m/>
    <n v="5100.24"/>
    <x v="0"/>
    <x v="0"/>
  </r>
  <r>
    <n v="1"/>
    <x v="0"/>
    <s v="1.1.1 B"/>
    <s v="P0087"/>
    <s v="Množstvo vytriedeného komunálneho odpadu"/>
    <x v="1"/>
    <s v="UR"/>
    <s v="Áno"/>
    <n v="126"/>
    <n v="151"/>
    <n v="47958.648000000016"/>
    <n v="53363.20900000001"/>
    <x v="0"/>
    <x v="0"/>
  </r>
  <r>
    <n v="1"/>
    <x v="0"/>
    <s v="1.1.1 B"/>
    <s v="P0089"/>
    <s v="BA"/>
    <x v="1"/>
    <s v="UR"/>
    <s v="Áno"/>
    <m/>
    <n v="0"/>
    <m/>
    <n v="0"/>
    <x v="0"/>
    <x v="0"/>
  </r>
  <r>
    <n v="1"/>
    <x v="0"/>
    <s v="1.1.1 B"/>
    <s v="P0089"/>
    <s v="NR"/>
    <x v="1"/>
    <s v="UR"/>
    <s v="Áno"/>
    <m/>
    <n v="0"/>
    <m/>
    <n v="3120"/>
    <x v="0"/>
    <x v="0"/>
  </r>
  <r>
    <n v="1"/>
    <x v="0"/>
    <s v="1.1.1 B"/>
    <s v="P0089"/>
    <s v="TN"/>
    <x v="1"/>
    <s v="UR"/>
    <s v="Áno"/>
    <m/>
    <n v="0"/>
    <m/>
    <n v="7574.5"/>
    <x v="0"/>
    <x v="0"/>
  </r>
  <r>
    <n v="1"/>
    <x v="0"/>
    <s v="1.1.1 B"/>
    <s v="P0089"/>
    <s v="TT"/>
    <x v="1"/>
    <s v="UR"/>
    <s v="Áno"/>
    <m/>
    <n v="0"/>
    <m/>
    <n v="5000"/>
    <x v="0"/>
    <x v="0"/>
  </r>
  <r>
    <n v="1"/>
    <x v="0"/>
    <s v="1.1.1 B"/>
    <s v="P0089"/>
    <s v="BB"/>
    <x v="1"/>
    <s v="UR"/>
    <s v="Áno"/>
    <m/>
    <n v="0"/>
    <m/>
    <n v="19892"/>
    <x v="0"/>
    <x v="0"/>
  </r>
  <r>
    <n v="1"/>
    <x v="0"/>
    <s v="1.1.1 B"/>
    <s v="P0089"/>
    <s v="ZA"/>
    <x v="1"/>
    <s v="UR"/>
    <s v="Áno"/>
    <m/>
    <n v="0"/>
    <m/>
    <n v="8350"/>
    <x v="0"/>
    <x v="0"/>
  </r>
  <r>
    <n v="1"/>
    <x v="0"/>
    <s v="1.1.1 B"/>
    <s v="P0089"/>
    <s v="KE"/>
    <x v="1"/>
    <s v="UR"/>
    <s v="Áno"/>
    <m/>
    <n v="0"/>
    <m/>
    <n v="163.5"/>
    <x v="0"/>
    <x v="0"/>
  </r>
  <r>
    <n v="1"/>
    <x v="0"/>
    <s v="1.1.1 B"/>
    <s v="P0089"/>
    <s v="PO"/>
    <x v="1"/>
    <s v="UR"/>
    <s v="Áno"/>
    <m/>
    <n v="0"/>
    <m/>
    <n v="5422"/>
    <x v="0"/>
    <x v="0"/>
  </r>
  <r>
    <n v="1"/>
    <x v="0"/>
    <s v="1.1.1 B"/>
    <s v="P0089"/>
    <s v="Množstvo zhodnotených nie nebezpečných odpadov"/>
    <x v="1"/>
    <s v="UR"/>
    <s v="Áno"/>
    <n v="42"/>
    <n v="0"/>
    <n v="44502.5"/>
    <n v="49522"/>
    <x v="0"/>
    <x v="0"/>
  </r>
  <r>
    <n v="1"/>
    <x v="0"/>
    <s v="1.1.1 B"/>
    <s v="P0271"/>
    <s v="Počet osôb zapojených do informačných aktivít (nie nebezpečný odpad a BRKO)"/>
    <x v="0"/>
    <s v="PraN"/>
    <s v="Áno"/>
    <n v="43"/>
    <n v="3934"/>
    <n v="94905"/>
    <n v="98080"/>
    <x v="0"/>
    <x v="0"/>
  </r>
  <r>
    <n v="1"/>
    <x v="0"/>
    <s v="1.1.1 B"/>
    <s v="P0271"/>
    <s v="BA"/>
    <x v="0"/>
    <s v="PraN"/>
    <s v="Áno"/>
    <m/>
    <n v="0"/>
    <m/>
    <n v="6000"/>
    <x v="0"/>
    <x v="0"/>
  </r>
  <r>
    <n v="1"/>
    <x v="0"/>
    <s v="1.1.1 B"/>
    <s v="P0271"/>
    <s v="NR"/>
    <x v="0"/>
    <s v="PraN"/>
    <s v="Áno"/>
    <m/>
    <n v="0"/>
    <m/>
    <n v="19027"/>
    <x v="0"/>
    <x v="0"/>
  </r>
  <r>
    <n v="1"/>
    <x v="0"/>
    <s v="1.1.1 B"/>
    <s v="P0271"/>
    <s v="TN"/>
    <x v="0"/>
    <s v="PraN"/>
    <s v="Áno"/>
    <m/>
    <n v="0"/>
    <m/>
    <n v="4950"/>
    <x v="0"/>
    <x v="0"/>
  </r>
  <r>
    <n v="1"/>
    <x v="0"/>
    <s v="1.1.1 B"/>
    <s v="P0271"/>
    <s v="TT"/>
    <x v="0"/>
    <s v="PraN"/>
    <s v="Áno"/>
    <m/>
    <n v="0"/>
    <m/>
    <n v="23600"/>
    <x v="0"/>
    <x v="0"/>
  </r>
  <r>
    <n v="1"/>
    <x v="0"/>
    <s v="1.1.1 B"/>
    <s v="P0271"/>
    <s v="BB"/>
    <x v="0"/>
    <s v="PraN"/>
    <s v="Áno"/>
    <m/>
    <n v="0"/>
    <m/>
    <n v="1724"/>
    <x v="0"/>
    <x v="0"/>
  </r>
  <r>
    <n v="1"/>
    <x v="0"/>
    <s v="1.1.1 B"/>
    <s v="P0271"/>
    <s v="ZA"/>
    <x v="0"/>
    <s v="PraN"/>
    <s v="Áno"/>
    <m/>
    <n v="0"/>
    <m/>
    <n v="22136"/>
    <x v="0"/>
    <x v="0"/>
  </r>
  <r>
    <n v="1"/>
    <x v="0"/>
    <s v="1.1.1 B"/>
    <s v="P0271"/>
    <s v="KE"/>
    <x v="0"/>
    <s v="PraN"/>
    <s v="Áno"/>
    <m/>
    <n v="0"/>
    <m/>
    <n v="0"/>
    <x v="0"/>
    <x v="0"/>
  </r>
  <r>
    <n v="1"/>
    <x v="0"/>
    <s v="1.1.1 B"/>
    <s v="P0271"/>
    <s v="PO"/>
    <x v="0"/>
    <s v="PraN"/>
    <s v="Áno"/>
    <m/>
    <n v="3934"/>
    <m/>
    <n v="20643"/>
    <x v="0"/>
    <x v="0"/>
  </r>
  <r>
    <n v="1"/>
    <x v="0"/>
    <s v="1.1.1 B"/>
    <s v="P0558"/>
    <s v="Počet zariadení na predchádzanie vzniku odpadu"/>
    <x v="0"/>
    <m/>
    <m/>
    <n v="0"/>
    <n v="0"/>
    <n v="0"/>
    <n v="0"/>
    <x v="0"/>
    <x v="0"/>
  </r>
  <r>
    <n v="1"/>
    <x v="0"/>
    <s v="1.1.1 B"/>
    <s v="P0589"/>
    <s v="Počet zrealizovaných informačných aktivít (nie nebezpečný odpad a BRKO)"/>
    <x v="0"/>
    <s v="PraN"/>
    <s v="Nie"/>
    <n v="43"/>
    <n v="7"/>
    <n v="204"/>
    <n v="207"/>
    <x v="1"/>
    <x v="1"/>
  </r>
  <r>
    <n v="1"/>
    <x v="0"/>
    <s v="1.1.1 B"/>
    <s v="P0702"/>
    <s v="Zvýšená kapacita pre triedenie komunálnych odpadov (nie nebezpečný odpad a BRKO)"/>
    <x v="1"/>
    <s v="UR"/>
    <s v="Nie"/>
    <n v="127"/>
    <n v="400.59000000000003"/>
    <n v="47958.648000000016"/>
    <n v="56934.209000000003"/>
    <x v="2"/>
    <x v="2"/>
  </r>
  <r>
    <n v="1"/>
    <x v="0"/>
    <s v="1.1.1 B"/>
    <s v="P0702"/>
    <s v="všetky kraje"/>
    <x v="1"/>
    <s v="UR"/>
    <s v="Nie"/>
    <m/>
    <n v="0"/>
    <m/>
    <n v="3571"/>
    <x v="0"/>
    <x v="3"/>
  </r>
  <r>
    <n v="1"/>
    <x v="0"/>
    <s v="1.1.1 B"/>
    <s v="P0703"/>
    <s v="Zvýšená kapacita pre zhodnocovanie odpadov (nie nebezpečný odpad a BRKO)"/>
    <x v="1"/>
    <s v="UR"/>
    <s v="Nie"/>
    <n v="46"/>
    <n v="120"/>
    <n v="124386.5"/>
    <n v="157113.5"/>
    <x v="3"/>
    <x v="4"/>
  </r>
  <r>
    <n v="1"/>
    <x v="0"/>
    <s v="1.1.1 B"/>
    <s v="P0589"/>
    <s v="BA"/>
    <x v="0"/>
    <s v="PraN"/>
    <s v="Nie"/>
    <m/>
    <n v="0"/>
    <m/>
    <n v="6"/>
    <x v="0"/>
    <x v="0"/>
  </r>
  <r>
    <n v="1"/>
    <x v="0"/>
    <s v="1.1.1 B"/>
    <s v="P0589"/>
    <s v="NR"/>
    <x v="0"/>
    <s v="PraN"/>
    <s v="Nie"/>
    <m/>
    <n v="0"/>
    <m/>
    <n v="29"/>
    <x v="0"/>
    <x v="0"/>
  </r>
  <r>
    <n v="1"/>
    <x v="0"/>
    <s v="1.1.1 B"/>
    <s v="P0589"/>
    <s v="TN"/>
    <x v="0"/>
    <s v="PraN"/>
    <s v="Nie"/>
    <m/>
    <n v="0"/>
    <m/>
    <n v="33"/>
    <x v="0"/>
    <x v="0"/>
  </r>
  <r>
    <n v="1"/>
    <x v="0"/>
    <s v="1.1.1 B"/>
    <s v="P0589"/>
    <s v="TT"/>
    <x v="0"/>
    <s v="PraN"/>
    <s v="Nie"/>
    <m/>
    <n v="0"/>
    <m/>
    <n v="11"/>
    <x v="0"/>
    <x v="0"/>
  </r>
  <r>
    <n v="1"/>
    <x v="0"/>
    <s v="1.1.1 B"/>
    <s v="P0589"/>
    <s v="BB"/>
    <x v="0"/>
    <s v="PraN"/>
    <s v="Nie"/>
    <m/>
    <n v="0"/>
    <m/>
    <n v="8"/>
    <x v="0"/>
    <x v="0"/>
  </r>
  <r>
    <n v="1"/>
    <x v="0"/>
    <s v="1.1.1 B"/>
    <s v="P0589"/>
    <s v="ZA"/>
    <x v="0"/>
    <s v="PraN"/>
    <s v="Nie"/>
    <m/>
    <n v="0"/>
    <m/>
    <n v="90"/>
    <x v="0"/>
    <x v="0"/>
  </r>
  <r>
    <n v="1"/>
    <x v="0"/>
    <s v="1.1.1 B"/>
    <s v="P0589"/>
    <s v="KE"/>
    <x v="0"/>
    <s v="PraN"/>
    <s v="Nie"/>
    <m/>
    <n v="0"/>
    <m/>
    <n v="0"/>
    <x v="0"/>
    <x v="0"/>
  </r>
  <r>
    <n v="1"/>
    <x v="0"/>
    <s v="1.1.1 B"/>
    <s v="P0589"/>
    <s v="PO"/>
    <x v="0"/>
    <s v="PraN"/>
    <s v="Nie"/>
    <m/>
    <n v="7"/>
    <m/>
    <n v="30"/>
    <x v="0"/>
    <x v="0"/>
  </r>
  <r>
    <n v="1"/>
    <x v="0"/>
    <s v="1.1.1 B"/>
    <s v="P0703"/>
    <s v="všetky kraje"/>
    <x v="1"/>
    <s v="UR"/>
    <s v="Nie"/>
    <m/>
    <n v="0"/>
    <m/>
    <n v="26852"/>
    <x v="0"/>
    <x v="5"/>
  </r>
  <r>
    <n v="1"/>
    <x v="0"/>
    <s v="1.1.1 B"/>
    <s v="P0704"/>
    <s v="Zvýšená kapacita recyklácie odpadu (nie nebezpečný odpad a BRKO)"/>
    <x v="1"/>
    <s v="UR"/>
    <s v="Nie"/>
    <n v="5"/>
    <n v="0"/>
    <n v="84100"/>
    <n v="101180"/>
    <x v="4"/>
    <x v="6"/>
  </r>
  <r>
    <n v="1"/>
    <x v="0"/>
    <s v="1.1.1 B"/>
    <s v="P0704"/>
    <s v="všetky kraje"/>
    <x v="1"/>
    <s v="UR"/>
    <s v="Nie"/>
    <m/>
    <n v="0"/>
    <m/>
    <n v="16085"/>
    <x v="0"/>
    <x v="7"/>
  </r>
  <r>
    <n v="1"/>
    <x v="0"/>
    <s v="1.1.1 B"/>
    <s v="P0702"/>
    <s v="BA"/>
    <x v="1"/>
    <s v="UR"/>
    <s v="Nie"/>
    <m/>
    <n v="0"/>
    <m/>
    <n v="6924.5680000000002"/>
    <x v="0"/>
    <x v="0"/>
  </r>
  <r>
    <n v="1"/>
    <x v="0"/>
    <s v="1.1.1 B"/>
    <s v="P0702"/>
    <s v="NR"/>
    <x v="1"/>
    <s v="UR"/>
    <s v="Nie"/>
    <m/>
    <n v="0"/>
    <m/>
    <n v="9387.57"/>
    <x v="0"/>
    <x v="0"/>
  </r>
  <r>
    <n v="1"/>
    <x v="0"/>
    <s v="1.1.1 B"/>
    <s v="P0702"/>
    <s v="TN"/>
    <x v="1"/>
    <s v="UR"/>
    <s v="Nie"/>
    <m/>
    <n v="151"/>
    <m/>
    <n v="9154.8709999999992"/>
    <x v="0"/>
    <x v="0"/>
  </r>
  <r>
    <n v="1"/>
    <x v="0"/>
    <s v="1.1.1 B"/>
    <s v="P0702"/>
    <s v="TT"/>
    <x v="1"/>
    <s v="UR"/>
    <s v="Nie"/>
    <m/>
    <n v="0"/>
    <m/>
    <n v="7072.31"/>
    <x v="0"/>
    <x v="0"/>
  </r>
  <r>
    <n v="1"/>
    <x v="0"/>
    <s v="1.1.1 B"/>
    <s v="P0702"/>
    <s v="BB"/>
    <x v="1"/>
    <s v="UR"/>
    <s v="Nie"/>
    <m/>
    <n v="0"/>
    <m/>
    <n v="7298.2400000000007"/>
    <x v="0"/>
    <x v="0"/>
  </r>
  <r>
    <n v="1"/>
    <x v="0"/>
    <s v="1.1.1 B"/>
    <s v="P0702"/>
    <s v="ZA"/>
    <x v="1"/>
    <s v="UR"/>
    <s v="Nie"/>
    <m/>
    <n v="0"/>
    <m/>
    <n v="7821.62"/>
    <x v="0"/>
    <x v="0"/>
  </r>
  <r>
    <n v="1"/>
    <x v="0"/>
    <s v="1.1.1 B"/>
    <s v="P0702"/>
    <s v="KE"/>
    <x v="1"/>
    <s v="UR"/>
    <s v="Nie"/>
    <m/>
    <n v="0"/>
    <m/>
    <n v="603.79"/>
    <x v="0"/>
    <x v="0"/>
  </r>
  <r>
    <n v="1"/>
    <x v="0"/>
    <s v="1.1.1 B"/>
    <s v="P0702"/>
    <s v="PO"/>
    <x v="1"/>
    <s v="UR"/>
    <s v="Nie"/>
    <m/>
    <n v="249.59"/>
    <m/>
    <n v="5100.24"/>
    <x v="0"/>
    <x v="0"/>
  </r>
  <r>
    <n v="1"/>
    <x v="0"/>
    <s v="1.1.1 B"/>
    <s v="P0708"/>
    <s v="Zvýšená kapacita zariadení na predchádzanie vzniku odpadov"/>
    <x v="0"/>
    <m/>
    <m/>
    <n v="0"/>
    <n v="0"/>
    <n v="0"/>
    <n v="0"/>
    <x v="0"/>
    <x v="0"/>
  </r>
  <r>
    <n v="1"/>
    <x v="0"/>
    <s v="1.1.1 C"/>
    <s v="P0081"/>
    <s v="Množstvo opätovne použitých odpadov"/>
    <x v="1"/>
    <s v="UR"/>
    <m/>
    <n v="0"/>
    <n v="0"/>
    <n v="0"/>
    <n v="0"/>
    <x v="0"/>
    <x v="0"/>
  </r>
  <r>
    <n v="1"/>
    <x v="0"/>
    <s v="1.1.1 B"/>
    <s v="P0703"/>
    <s v="BA"/>
    <x v="1"/>
    <s v="UR"/>
    <s v="Nie"/>
    <m/>
    <n v="0"/>
    <m/>
    <n v="0"/>
    <x v="0"/>
    <x v="0"/>
  </r>
  <r>
    <n v="1"/>
    <x v="0"/>
    <s v="1.1.1 B"/>
    <s v="P0703"/>
    <s v="NR"/>
    <x v="1"/>
    <s v="UR"/>
    <s v="Nie"/>
    <m/>
    <n v="0"/>
    <m/>
    <n v="3880"/>
    <x v="0"/>
    <x v="0"/>
  </r>
  <r>
    <n v="1"/>
    <x v="0"/>
    <s v="1.1.1 B"/>
    <s v="P0703"/>
    <s v="TN"/>
    <x v="1"/>
    <s v="UR"/>
    <s v="Nie"/>
    <m/>
    <n v="120"/>
    <m/>
    <n v="7575"/>
    <x v="0"/>
    <x v="0"/>
  </r>
  <r>
    <n v="1"/>
    <x v="0"/>
    <s v="1.1.1 B"/>
    <s v="P0703"/>
    <s v="TT"/>
    <x v="1"/>
    <s v="UR"/>
    <s v="Nie"/>
    <m/>
    <n v="0"/>
    <m/>
    <n v="5000"/>
    <x v="0"/>
    <x v="0"/>
  </r>
  <r>
    <n v="1"/>
    <x v="0"/>
    <s v="1.1.1 B"/>
    <s v="P0703"/>
    <s v="BB"/>
    <x v="1"/>
    <s v="UR"/>
    <s v="Nie"/>
    <m/>
    <n v="0"/>
    <m/>
    <n v="22587"/>
    <x v="0"/>
    <x v="0"/>
  </r>
  <r>
    <n v="1"/>
    <x v="0"/>
    <s v="1.1.1 B"/>
    <s v="P0703"/>
    <s v="ZA"/>
    <x v="1"/>
    <s v="UR"/>
    <s v="Nie"/>
    <m/>
    <n v="0"/>
    <m/>
    <n v="9850"/>
    <x v="0"/>
    <x v="0"/>
  </r>
  <r>
    <n v="1"/>
    <x v="0"/>
    <s v="1.1.1 B"/>
    <s v="P0703"/>
    <s v="KE"/>
    <x v="1"/>
    <s v="UR"/>
    <s v="Nie"/>
    <m/>
    <n v="0"/>
    <m/>
    <n v="199.5"/>
    <x v="0"/>
    <x v="0"/>
  </r>
  <r>
    <n v="1"/>
    <x v="0"/>
    <s v="1.1.1 B"/>
    <s v="P0703"/>
    <s v="PO"/>
    <x v="1"/>
    <s v="UR"/>
    <s v="Nie"/>
    <m/>
    <n v="0"/>
    <m/>
    <n v="81170"/>
    <x v="0"/>
    <x v="0"/>
  </r>
  <r>
    <n v="1"/>
    <x v="0"/>
    <s v="1.1.1 C"/>
    <s v="P0082"/>
    <s v="Množstvo recyklovaných nebezpečných odpadov"/>
    <x v="1"/>
    <s v="UR"/>
    <s v="Áno"/>
    <n v="1"/>
    <n v="0"/>
    <n v="0"/>
    <n v="2300"/>
    <x v="0"/>
    <x v="0"/>
  </r>
  <r>
    <n v="1"/>
    <x v="0"/>
    <s v="1.1.1 C"/>
    <s v="P0271"/>
    <s v="Počet osôb zapojených do informačných aktivít"/>
    <x v="0"/>
    <s v="PraN"/>
    <s v="Áno"/>
    <n v="0"/>
    <n v="0"/>
    <n v="0"/>
    <n v="0"/>
    <x v="0"/>
    <x v="0"/>
  </r>
  <r>
    <n v="1"/>
    <x v="0"/>
    <s v="1.1.1 C"/>
    <s v="P0703"/>
    <s v="BA"/>
    <x v="1"/>
    <s v="UR"/>
    <s v="Nie"/>
    <m/>
    <n v="0"/>
    <m/>
    <n v="0"/>
    <x v="0"/>
    <x v="0"/>
  </r>
  <r>
    <n v="1"/>
    <x v="0"/>
    <s v="1.1.1 C"/>
    <s v="P0703"/>
    <s v="NR"/>
    <x v="1"/>
    <s v="UR"/>
    <s v="Nie"/>
    <m/>
    <n v="0"/>
    <m/>
    <n v="0"/>
    <x v="0"/>
    <x v="0"/>
  </r>
  <r>
    <n v="1"/>
    <x v="0"/>
    <s v="1.1.1 C"/>
    <s v="P0703"/>
    <s v="TN"/>
    <x v="1"/>
    <s v="UR"/>
    <s v="Nie"/>
    <m/>
    <n v="0"/>
    <m/>
    <n v="0"/>
    <x v="0"/>
    <x v="0"/>
  </r>
  <r>
    <n v="1"/>
    <x v="0"/>
    <s v="1.1.1 C"/>
    <s v="P0703"/>
    <s v="TT"/>
    <x v="1"/>
    <s v="UR"/>
    <s v="Nie"/>
    <m/>
    <n v="0"/>
    <m/>
    <n v="0"/>
    <x v="0"/>
    <x v="0"/>
  </r>
  <r>
    <n v="1"/>
    <x v="0"/>
    <s v="1.1.1 C"/>
    <s v="P0703"/>
    <s v="BB"/>
    <x v="1"/>
    <s v="UR"/>
    <s v="Nie"/>
    <m/>
    <n v="0"/>
    <m/>
    <n v="0"/>
    <x v="0"/>
    <x v="0"/>
  </r>
  <r>
    <n v="1"/>
    <x v="0"/>
    <s v="1.1.1 C"/>
    <s v="P0703"/>
    <s v="ZA"/>
    <x v="1"/>
    <s v="UR"/>
    <s v="Nie"/>
    <m/>
    <n v="0"/>
    <m/>
    <n v="0"/>
    <x v="0"/>
    <x v="0"/>
  </r>
  <r>
    <n v="1"/>
    <x v="0"/>
    <s v="1.1.1 C"/>
    <s v="P0703"/>
    <s v="KE"/>
    <x v="1"/>
    <s v="UR"/>
    <s v="Nie"/>
    <m/>
    <n v="0"/>
    <m/>
    <n v="0"/>
    <x v="0"/>
    <x v="0"/>
  </r>
  <r>
    <n v="1"/>
    <x v="0"/>
    <s v="1.1.1 C"/>
    <s v="P0703"/>
    <s v="PO"/>
    <x v="1"/>
    <s v="UR"/>
    <s v="Nie"/>
    <m/>
    <n v="0"/>
    <m/>
    <n v="2300"/>
    <x v="0"/>
    <x v="0"/>
  </r>
  <r>
    <n v="1"/>
    <x v="0"/>
    <s v="1.1.1 C"/>
    <s v="P0589"/>
    <s v="Počet zrealizovaných informačných aktivít"/>
    <x v="0"/>
    <s v="PraN"/>
    <s v="Nie"/>
    <n v="0"/>
    <n v="0"/>
    <n v="0"/>
    <n v="0"/>
    <x v="1"/>
    <x v="1"/>
  </r>
  <r>
    <n v="1"/>
    <x v="0"/>
    <s v="1.1.1 C"/>
    <s v="P0703"/>
    <s v="Zvýšená kapacita pre zhodnocovanie odpadov (nebezpečný odpad)"/>
    <x v="1"/>
    <s v="UR"/>
    <s v="Nie"/>
    <n v="2"/>
    <n v="0"/>
    <n v="0"/>
    <n v="29152"/>
    <x v="3"/>
    <x v="4"/>
  </r>
  <r>
    <n v="1"/>
    <x v="0"/>
    <s v="1.1.1 B"/>
    <s v="P0704"/>
    <s v="BA"/>
    <x v="1"/>
    <s v="UR"/>
    <s v="Nie"/>
    <m/>
    <n v="0"/>
    <m/>
    <n v="0"/>
    <x v="0"/>
    <x v="0"/>
  </r>
  <r>
    <n v="1"/>
    <x v="0"/>
    <s v="1.1.1 B"/>
    <s v="P0704"/>
    <s v="NR"/>
    <x v="1"/>
    <s v="UR"/>
    <s v="Nie"/>
    <m/>
    <n v="0"/>
    <m/>
    <n v="0"/>
    <x v="0"/>
    <x v="0"/>
  </r>
  <r>
    <n v="1"/>
    <x v="0"/>
    <s v="1.1.1 B"/>
    <s v="P0704"/>
    <s v="TN"/>
    <x v="1"/>
    <s v="UR"/>
    <s v="Nie"/>
    <m/>
    <n v="0"/>
    <m/>
    <n v="0"/>
    <x v="0"/>
    <x v="0"/>
  </r>
  <r>
    <n v="1"/>
    <x v="0"/>
    <s v="1.1.1 B"/>
    <s v="P0704"/>
    <s v="TT"/>
    <x v="1"/>
    <s v="UR"/>
    <s v="Nie"/>
    <m/>
    <n v="0"/>
    <m/>
    <n v="0"/>
    <x v="0"/>
    <x v="0"/>
  </r>
  <r>
    <n v="1"/>
    <x v="0"/>
    <s v="1.1.1 B"/>
    <s v="P0704"/>
    <s v="BB"/>
    <x v="1"/>
    <s v="UR"/>
    <s v="Nie"/>
    <m/>
    <n v="0"/>
    <m/>
    <n v="11095"/>
    <x v="0"/>
    <x v="0"/>
  </r>
  <r>
    <n v="1"/>
    <x v="0"/>
    <s v="1.1.1 B"/>
    <s v="P0704"/>
    <s v="ZA"/>
    <x v="1"/>
    <s v="UR"/>
    <s v="Nie"/>
    <m/>
    <n v="0"/>
    <m/>
    <n v="0"/>
    <x v="0"/>
    <x v="0"/>
  </r>
  <r>
    <n v="1"/>
    <x v="0"/>
    <s v="1.1.1 B"/>
    <s v="P0704"/>
    <s v="KE"/>
    <x v="1"/>
    <s v="UR"/>
    <s v="Nie"/>
    <m/>
    <n v="0"/>
    <m/>
    <n v="0"/>
    <x v="0"/>
    <x v="0"/>
  </r>
  <r>
    <n v="1"/>
    <x v="0"/>
    <s v="1.1.1 B"/>
    <s v="P0704"/>
    <s v="PO"/>
    <x v="1"/>
    <s v="UR"/>
    <s v="Nie"/>
    <m/>
    <n v="0"/>
    <m/>
    <n v="74000"/>
    <x v="0"/>
    <x v="0"/>
  </r>
  <r>
    <n v="1"/>
    <x v="0"/>
    <s v="1.1.1 C"/>
    <s v="P0703"/>
    <s v="všetky kraje"/>
    <x v="1"/>
    <s v="UR"/>
    <s v="Nie"/>
    <m/>
    <n v="0"/>
    <m/>
    <n v="26852"/>
    <x v="0"/>
    <x v="8"/>
  </r>
  <r>
    <n v="1"/>
    <x v="0"/>
    <s v="1.1.1 C"/>
    <s v="P0704"/>
    <s v="Zvýšená kapacita recyklácie odpadu (nebezpečný odpad)"/>
    <x v="1"/>
    <s v="UR"/>
    <s v="Nie"/>
    <n v="2"/>
    <n v="0"/>
    <n v="0"/>
    <n v="18385"/>
    <x v="4"/>
    <x v="6"/>
  </r>
  <r>
    <n v="1"/>
    <x v="0"/>
    <s v="1.1.1 C"/>
    <s v="P0704"/>
    <s v="BA"/>
    <x v="1"/>
    <s v="UR"/>
    <s v="Nie"/>
    <m/>
    <n v="0"/>
    <m/>
    <n v="0"/>
    <x v="0"/>
    <x v="0"/>
  </r>
  <r>
    <n v="1"/>
    <x v="0"/>
    <s v="1.1.1 C"/>
    <s v="P0704"/>
    <s v="NR"/>
    <x v="1"/>
    <s v="UR"/>
    <s v="Nie"/>
    <m/>
    <n v="0"/>
    <m/>
    <n v="0"/>
    <x v="0"/>
    <x v="0"/>
  </r>
  <r>
    <n v="1"/>
    <x v="0"/>
    <s v="1.1.1 C"/>
    <s v="P0704"/>
    <s v="TN"/>
    <x v="1"/>
    <s v="UR"/>
    <s v="Nie"/>
    <m/>
    <n v="0"/>
    <m/>
    <n v="0"/>
    <x v="0"/>
    <x v="0"/>
  </r>
  <r>
    <n v="1"/>
    <x v="0"/>
    <s v="1.1.1 C"/>
    <s v="P0704"/>
    <s v="TT"/>
    <x v="1"/>
    <s v="UR"/>
    <s v="Nie"/>
    <m/>
    <n v="0"/>
    <m/>
    <n v="0"/>
    <x v="0"/>
    <x v="0"/>
  </r>
  <r>
    <n v="1"/>
    <x v="0"/>
    <s v="1.1.1 C"/>
    <s v="P0704"/>
    <s v="BB"/>
    <x v="1"/>
    <s v="UR"/>
    <s v="Nie"/>
    <m/>
    <n v="0"/>
    <m/>
    <n v="0"/>
    <x v="0"/>
    <x v="0"/>
  </r>
  <r>
    <n v="1"/>
    <x v="0"/>
    <s v="1.1.1 C"/>
    <s v="P0704"/>
    <s v="ZA"/>
    <x v="1"/>
    <s v="UR"/>
    <s v="Nie"/>
    <m/>
    <n v="0"/>
    <m/>
    <n v="0"/>
    <x v="0"/>
    <x v="0"/>
  </r>
  <r>
    <n v="1"/>
    <x v="0"/>
    <s v="1.1.1 C"/>
    <s v="P0704"/>
    <s v="KE"/>
    <x v="1"/>
    <s v="UR"/>
    <s v="Nie"/>
    <m/>
    <n v="0"/>
    <m/>
    <n v="0"/>
    <x v="0"/>
    <x v="0"/>
  </r>
  <r>
    <n v="1"/>
    <x v="0"/>
    <s v="1.1.1 C"/>
    <s v="P0704"/>
    <s v="PO"/>
    <x v="1"/>
    <s v="UR"/>
    <s v="Nie"/>
    <m/>
    <n v="0"/>
    <m/>
    <n v="2300"/>
    <x v="0"/>
    <x v="0"/>
  </r>
  <r>
    <n v="1"/>
    <x v="0"/>
    <s v="1.1.1 C"/>
    <s v="P0704"/>
    <s v="všetky kraje"/>
    <x v="1"/>
    <s v="UR"/>
    <s v="Nie"/>
    <m/>
    <n v="0"/>
    <m/>
    <n v="16085"/>
    <x v="0"/>
    <x v="9"/>
  </r>
  <r>
    <n v="1"/>
    <x v="0"/>
    <s v="1.1.1 D"/>
    <s v="P0677"/>
    <s v="Vybudovaný jednotný environmentálny monitorovací a informačný systém v odpadovom hospodárstve"/>
    <x v="0"/>
    <s v="UR"/>
    <s v="Nie"/>
    <n v="1"/>
    <n v="0"/>
    <n v="0"/>
    <n v="1"/>
    <x v="5"/>
    <x v="10"/>
  </r>
  <r>
    <s v="1"/>
    <x v="1"/>
    <s v="1.2.1 A"/>
    <s v="P0041"/>
    <s v="Dĺžka novovybudovaných kanalizačných sietí (bez kanal. prípojok)"/>
    <x v="2"/>
    <s v="PraN, UR"/>
    <s v="Nie"/>
    <n v="36"/>
    <n v="195.69709999999998"/>
    <n v="265.60969999999998"/>
    <n v="809.77720000000011"/>
    <x v="0"/>
    <x v="0"/>
  </r>
  <r>
    <s v="1"/>
    <x v="1"/>
    <s v="1.2.1 A"/>
    <s v="P0041"/>
    <s v="BA"/>
    <x v="2"/>
    <s v="PraN, UR"/>
    <s v="Nie"/>
    <m/>
    <n v="0"/>
    <m/>
    <n v="0"/>
    <x v="0"/>
    <x v="0"/>
  </r>
  <r>
    <s v="1"/>
    <x v="1"/>
    <s v="1.2.1 A"/>
    <s v="P0041"/>
    <s v="NR"/>
    <x v="2"/>
    <s v="PraN, UR"/>
    <s v="Nie"/>
    <m/>
    <n v="74.8125"/>
    <m/>
    <n v="183.80840000000003"/>
    <x v="0"/>
    <x v="0"/>
  </r>
  <r>
    <s v="1"/>
    <x v="1"/>
    <s v="1.2.1 A"/>
    <s v="P0041"/>
    <s v="TN"/>
    <x v="2"/>
    <s v="PraN, UR"/>
    <s v="Nie"/>
    <m/>
    <n v="41.596000000000004"/>
    <m/>
    <n v="205.83589999999998"/>
    <x v="0"/>
    <x v="0"/>
  </r>
  <r>
    <s v="1"/>
    <x v="1"/>
    <s v="1.2.1 A"/>
    <s v="P0041"/>
    <s v="TT"/>
    <x v="2"/>
    <s v="PraN, UR"/>
    <s v="Nie"/>
    <m/>
    <n v="10.235300000000001"/>
    <m/>
    <n v="41.623599999999996"/>
    <x v="0"/>
    <x v="0"/>
  </r>
  <r>
    <s v="1"/>
    <x v="1"/>
    <s v="1.2.1 A"/>
    <s v="P0041"/>
    <s v="BB"/>
    <x v="2"/>
    <s v="PraN, UR"/>
    <s v="Nie"/>
    <m/>
    <n v="16.492000000000001"/>
    <m/>
    <n v="138.01429999999999"/>
    <x v="0"/>
    <x v="0"/>
  </r>
  <r>
    <s v="1"/>
    <x v="1"/>
    <s v="1.2.1 A"/>
    <s v="P0041"/>
    <s v="ZA"/>
    <x v="2"/>
    <s v="PraN, UR"/>
    <s v="Nie"/>
    <m/>
    <n v="6.2526999999999999"/>
    <m/>
    <n v="130.06390000000002"/>
    <x v="0"/>
    <x v="0"/>
  </r>
  <r>
    <s v="1"/>
    <x v="1"/>
    <s v="1.2.1 A"/>
    <s v="P0041"/>
    <s v="KE"/>
    <x v="2"/>
    <s v="PraN, UR"/>
    <s v="Nie"/>
    <m/>
    <n v="0"/>
    <m/>
    <n v="50.920499999999997"/>
    <x v="0"/>
    <x v="0"/>
  </r>
  <r>
    <s v="1"/>
    <x v="1"/>
    <s v="1.2.1 A"/>
    <s v="P0041"/>
    <s v="PO"/>
    <x v="2"/>
    <s v="PraN, UR"/>
    <s v="Nie"/>
    <m/>
    <n v="2.7286000000000001"/>
    <m/>
    <n v="14.140600000000001"/>
    <x v="0"/>
    <x v="0"/>
  </r>
  <r>
    <s v="1"/>
    <x v="1"/>
    <s v="1.2.1 A"/>
    <s v="P0041"/>
    <s v="NR, TN"/>
    <x v="2"/>
    <s v="PraN, UR"/>
    <s v="Nie"/>
    <m/>
    <n v="43.58"/>
    <m/>
    <n v="45.37"/>
    <x v="0"/>
    <x v="0"/>
  </r>
  <r>
    <s v="1"/>
    <x v="1"/>
    <s v="1.2.1 A"/>
    <s v="P0598"/>
    <s v="Počet zrekonštruovaných alebo novovybudovaných ČOV"/>
    <x v="0"/>
    <s v="UR"/>
    <s v="Nie"/>
    <n v="36"/>
    <n v="4.99"/>
    <n v="12"/>
    <n v="36"/>
    <x v="0"/>
    <x v="0"/>
  </r>
  <r>
    <s v="1"/>
    <x v="1"/>
    <s v="1.2.1 A"/>
    <s v="P0714"/>
    <s v="Zvýšený počet obyvateľov so zlepšeným čistením komunálnych odpadových vôd"/>
    <x v="3"/>
    <s v="PraN, UR"/>
    <s v="Áno"/>
    <n v="36"/>
    <n v="118171"/>
    <n v="151893"/>
    <n v="258357"/>
    <x v="6"/>
    <x v="11"/>
  </r>
  <r>
    <s v="1"/>
    <x v="1"/>
    <s v="1.2.1 A"/>
    <s v="P0598"/>
    <s v="BA"/>
    <x v="0"/>
    <s v="UR"/>
    <s v="Nie"/>
    <m/>
    <n v="1"/>
    <m/>
    <n v="2"/>
    <x v="0"/>
    <x v="0"/>
  </r>
  <r>
    <s v="1"/>
    <x v="1"/>
    <s v="1.2.1 A"/>
    <s v="P0598"/>
    <s v="NR"/>
    <x v="0"/>
    <s v="UR"/>
    <s v="Nie"/>
    <m/>
    <n v="0"/>
    <m/>
    <n v="8"/>
    <x v="0"/>
    <x v="0"/>
  </r>
  <r>
    <s v="1"/>
    <x v="1"/>
    <s v="1.2.1 A"/>
    <s v="P0598"/>
    <s v="TN"/>
    <x v="0"/>
    <s v="UR"/>
    <s v="Nie"/>
    <m/>
    <n v="0"/>
    <m/>
    <n v="5"/>
    <x v="0"/>
    <x v="0"/>
  </r>
  <r>
    <s v="1"/>
    <x v="1"/>
    <s v="1.2.1 A"/>
    <s v="P0598"/>
    <s v="TT"/>
    <x v="0"/>
    <s v="UR"/>
    <s v="Nie"/>
    <m/>
    <n v="0"/>
    <m/>
    <n v="2"/>
    <x v="0"/>
    <x v="0"/>
  </r>
  <r>
    <s v="1"/>
    <x v="1"/>
    <s v="1.2.1 A"/>
    <s v="P0598"/>
    <s v="BB"/>
    <x v="0"/>
    <s v="UR"/>
    <s v="Nie"/>
    <m/>
    <n v="0"/>
    <m/>
    <n v="9"/>
    <x v="0"/>
    <x v="0"/>
  </r>
  <r>
    <s v="1"/>
    <x v="1"/>
    <s v="1.2.1 A"/>
    <s v="P0598"/>
    <s v="ZA"/>
    <x v="0"/>
    <s v="UR"/>
    <s v="Nie"/>
    <m/>
    <n v="0"/>
    <m/>
    <n v="1"/>
    <x v="0"/>
    <x v="0"/>
  </r>
  <r>
    <s v="1"/>
    <x v="1"/>
    <s v="1.2.1 A"/>
    <s v="P0598"/>
    <s v="KE"/>
    <x v="0"/>
    <s v="UR"/>
    <s v="Nie"/>
    <m/>
    <n v="0"/>
    <m/>
    <n v="3"/>
    <x v="0"/>
    <x v="0"/>
  </r>
  <r>
    <s v="1"/>
    <x v="1"/>
    <s v="1.2.1 A"/>
    <s v="P0598"/>
    <s v="PO"/>
    <x v="0"/>
    <s v="UR"/>
    <s v="Nie"/>
    <m/>
    <n v="1"/>
    <m/>
    <n v="3"/>
    <x v="0"/>
    <x v="0"/>
  </r>
  <r>
    <s v="1"/>
    <x v="1"/>
    <s v="1.2.1 A"/>
    <s v="P0598"/>
    <s v="NR, TN"/>
    <x v="0"/>
    <s v="UR"/>
    <s v="Nie"/>
    <m/>
    <n v="2.99"/>
    <m/>
    <n v="3"/>
    <x v="0"/>
    <x v="0"/>
  </r>
  <r>
    <s v="1"/>
    <x v="1"/>
    <s v="1.2.1 B"/>
    <s v="P0041"/>
    <s v="Dĺžka novovybudovaných kanalizačných sietí (bez kanal. prípojok) (chránené obl.)"/>
    <x v="2"/>
    <s v="PraN, UR"/>
    <s v="Nie"/>
    <n v="0"/>
    <n v="0"/>
    <n v="0"/>
    <n v="0"/>
    <x v="0"/>
    <x v="0"/>
  </r>
  <r>
    <s v="1"/>
    <x v="1"/>
    <s v="1.2.1 B"/>
    <s v="P0598"/>
    <s v="Počet zrekonštruovaných alebo novovybudovaných ČOV (chránené obl.)"/>
    <x v="0"/>
    <s v="UR"/>
    <s v="Nie"/>
    <n v="0"/>
    <n v="0"/>
    <n v="0"/>
    <n v="0"/>
    <x v="0"/>
    <x v="0"/>
  </r>
  <r>
    <s v="1"/>
    <x v="1"/>
    <s v="1.2.1 A"/>
    <s v="P0714"/>
    <s v="BA"/>
    <x v="3"/>
    <s v="PraN, UR"/>
    <s v="Áno"/>
    <m/>
    <n v="3500"/>
    <m/>
    <n v="7133"/>
    <x v="0"/>
    <x v="0"/>
  </r>
  <r>
    <s v="1"/>
    <x v="1"/>
    <s v="1.2.1 A"/>
    <s v="P0714"/>
    <s v="NR"/>
    <x v="3"/>
    <s v="PraN, UR"/>
    <s v="Áno"/>
    <m/>
    <n v="0"/>
    <m/>
    <n v="25405"/>
    <x v="0"/>
    <x v="0"/>
  </r>
  <r>
    <s v="1"/>
    <x v="1"/>
    <s v="1.2.1 A"/>
    <s v="P0714"/>
    <s v="TN"/>
    <x v="3"/>
    <s v="PraN, UR"/>
    <s v="Áno"/>
    <m/>
    <n v="0"/>
    <m/>
    <n v="32508"/>
    <x v="0"/>
    <x v="0"/>
  </r>
  <r>
    <s v="1"/>
    <x v="1"/>
    <s v="1.2.1 A"/>
    <s v="P0714"/>
    <s v="TT"/>
    <x v="3"/>
    <s v="PraN, UR"/>
    <s v="Áno"/>
    <m/>
    <n v="0"/>
    <m/>
    <n v="4940"/>
    <x v="0"/>
    <x v="0"/>
  </r>
  <r>
    <s v="1"/>
    <x v="1"/>
    <s v="1.2.1 A"/>
    <s v="P0714"/>
    <s v="BB"/>
    <x v="3"/>
    <s v="PraN, UR"/>
    <s v="Áno"/>
    <m/>
    <n v="0"/>
    <m/>
    <n v="31593"/>
    <x v="0"/>
    <x v="0"/>
  </r>
  <r>
    <s v="1"/>
    <x v="1"/>
    <s v="1.2.1 A"/>
    <s v="P0714"/>
    <s v="ZA"/>
    <x v="3"/>
    <s v="PraN, UR"/>
    <s v="Áno"/>
    <m/>
    <n v="0"/>
    <m/>
    <n v="19997"/>
    <x v="0"/>
    <x v="0"/>
  </r>
  <r>
    <s v="1"/>
    <x v="1"/>
    <s v="1.2.1 A"/>
    <s v="P0714"/>
    <s v="KE"/>
    <x v="3"/>
    <s v="PraN, UR"/>
    <s v="Áno"/>
    <m/>
    <n v="0"/>
    <m/>
    <n v="16975"/>
    <x v="0"/>
    <x v="0"/>
  </r>
  <r>
    <s v="1"/>
    <x v="1"/>
    <s v="1.2.1 A"/>
    <s v="P0714"/>
    <s v="PO"/>
    <x v="3"/>
    <s v="PraN, UR"/>
    <s v="Áno"/>
    <m/>
    <n v="2512"/>
    <m/>
    <n v="7647"/>
    <x v="0"/>
    <x v="0"/>
  </r>
  <r>
    <s v="1"/>
    <x v="1"/>
    <s v="1.2.1 A"/>
    <s v="P0714"/>
    <s v="NR, TN"/>
    <x v="3"/>
    <s v="PraN, UR"/>
    <s v="Áno"/>
    <m/>
    <n v="112159"/>
    <m/>
    <n v="112159"/>
    <x v="0"/>
    <x v="0"/>
  </r>
  <r>
    <s v="1"/>
    <x v="1"/>
    <s v="1.2.1 B"/>
    <s v="P0714"/>
    <s v="Zvýšený počet obyvateľov so zlepšeným čistením komunálnych odpadových vôd (chránené obl.)"/>
    <x v="3"/>
    <s v="PraN, UR"/>
    <s v="Áno"/>
    <n v="0"/>
    <n v="0"/>
    <n v="0"/>
    <n v="0"/>
    <x v="6"/>
    <x v="11"/>
  </r>
  <r>
    <s v="1"/>
    <x v="2"/>
    <s v="1.2.2 A"/>
    <s v="P0042"/>
    <s v="Dĺžka novovybudovaných rozvodov pitnej vody (bez vodovod. prípojok)"/>
    <x v="2"/>
    <s v="PraN, UR"/>
    <s v="Nie"/>
    <n v="2"/>
    <n v="2.0990000000000002"/>
    <n v="2.0990000000000002"/>
    <n v="24.5078"/>
    <x v="0"/>
    <x v="0"/>
  </r>
  <r>
    <s v="1"/>
    <x v="2"/>
    <s v="1.2.2 A"/>
    <s v="P0042"/>
    <s v="BA"/>
    <x v="2"/>
    <s v="PraN, UR"/>
    <s v="Nie"/>
    <m/>
    <n v="0"/>
    <m/>
    <n v="0"/>
    <x v="0"/>
    <x v="0"/>
  </r>
  <r>
    <s v="1"/>
    <x v="2"/>
    <s v="1.2.2 A"/>
    <s v="P0042"/>
    <s v="NR"/>
    <x v="2"/>
    <s v="PraN, UR"/>
    <s v="Nie"/>
    <m/>
    <n v="0"/>
    <m/>
    <n v="0"/>
    <x v="0"/>
    <x v="0"/>
  </r>
  <r>
    <s v="1"/>
    <x v="2"/>
    <s v="1.2.2 A"/>
    <s v="P0042"/>
    <s v="TN"/>
    <x v="2"/>
    <s v="PraN, UR"/>
    <s v="Nie"/>
    <m/>
    <n v="0"/>
    <m/>
    <n v="0"/>
    <x v="0"/>
    <x v="0"/>
  </r>
  <r>
    <s v="1"/>
    <x v="2"/>
    <s v="1.2.2 A"/>
    <s v="P0042"/>
    <s v="TT"/>
    <x v="2"/>
    <s v="PraN, UR"/>
    <s v="Nie"/>
    <m/>
    <n v="0"/>
    <m/>
    <n v="0"/>
    <x v="0"/>
    <x v="0"/>
  </r>
  <r>
    <s v="1"/>
    <x v="2"/>
    <s v="1.2.2 A"/>
    <s v="P0042"/>
    <s v="BB"/>
    <x v="2"/>
    <s v="PraN, UR"/>
    <s v="Nie"/>
    <m/>
    <n v="0"/>
    <m/>
    <n v="0"/>
    <x v="0"/>
    <x v="0"/>
  </r>
  <r>
    <s v="1"/>
    <x v="2"/>
    <s v="1.2.2 A"/>
    <s v="P0042"/>
    <s v="ZA"/>
    <x v="2"/>
    <s v="PraN, UR"/>
    <s v="Nie"/>
    <m/>
    <n v="2.0990000000000002"/>
    <m/>
    <n v="24.5078"/>
    <x v="0"/>
    <x v="0"/>
  </r>
  <r>
    <s v="1"/>
    <x v="2"/>
    <s v="1.2.2 A"/>
    <s v="P0042"/>
    <s v="KE"/>
    <x v="2"/>
    <s v="PraN, UR"/>
    <s v="Nie"/>
    <m/>
    <n v="0"/>
    <m/>
    <n v="0"/>
    <x v="0"/>
    <x v="0"/>
  </r>
  <r>
    <s v="1"/>
    <x v="2"/>
    <s v="1.2.2 A"/>
    <s v="P0042"/>
    <s v="PO"/>
    <x v="2"/>
    <s v="PraN, UR"/>
    <s v="Nie"/>
    <m/>
    <n v="0"/>
    <m/>
    <n v="0"/>
    <x v="0"/>
    <x v="0"/>
  </r>
  <r>
    <s v="1"/>
    <x v="2"/>
    <s v="1.2.2 A"/>
    <s v="P0042"/>
    <s v="NR, TN"/>
    <x v="2"/>
    <s v="PraN, UR"/>
    <s v="Nie"/>
    <m/>
    <n v="0"/>
    <m/>
    <n v="0"/>
    <x v="0"/>
    <x v="0"/>
  </r>
  <r>
    <s v="1"/>
    <x v="2"/>
    <s v="1.2.2 A"/>
    <s v="P0600"/>
    <s v="Počet zrekonštruovaných úpravní povrchových vôd"/>
    <x v="0"/>
    <s v="UR"/>
    <m/>
    <n v="0"/>
    <n v="0"/>
    <n v="0"/>
    <n v="0"/>
    <x v="0"/>
    <x v="0"/>
  </r>
  <r>
    <s v="1"/>
    <x v="2"/>
    <s v="1.2.2 A"/>
    <s v="P0712"/>
    <s v="Zvýšený počet obyvateľov so zlepšenou dodávkou pitnej vody"/>
    <x v="4"/>
    <s v="PraN, UR"/>
    <s v="Áno"/>
    <n v="2"/>
    <n v="0"/>
    <n v="140"/>
    <n v="2540"/>
    <x v="7"/>
    <x v="12"/>
  </r>
  <r>
    <s v="1"/>
    <x v="2"/>
    <s v="1.2.2 A"/>
    <s v="P0712"/>
    <s v="BA"/>
    <x v="4"/>
    <s v="PraN, UR"/>
    <s v="Áno"/>
    <m/>
    <n v="0"/>
    <m/>
    <n v="0"/>
    <x v="0"/>
    <x v="0"/>
  </r>
  <r>
    <s v="1"/>
    <x v="2"/>
    <s v="1.2.2 A"/>
    <s v="P0712"/>
    <s v="NR"/>
    <x v="4"/>
    <s v="PraN, UR"/>
    <s v="Áno"/>
    <m/>
    <n v="0"/>
    <m/>
    <n v="0"/>
    <x v="0"/>
    <x v="0"/>
  </r>
  <r>
    <s v="1"/>
    <x v="2"/>
    <s v="1.2.2 A"/>
    <s v="P0712"/>
    <s v="TN"/>
    <x v="4"/>
    <s v="PraN, UR"/>
    <s v="Áno"/>
    <m/>
    <n v="0"/>
    <m/>
    <n v="0"/>
    <x v="0"/>
    <x v="0"/>
  </r>
  <r>
    <s v="1"/>
    <x v="2"/>
    <s v="1.2.2 A"/>
    <s v="P0712"/>
    <s v="TT"/>
    <x v="4"/>
    <s v="PraN, UR"/>
    <s v="Áno"/>
    <m/>
    <n v="0"/>
    <m/>
    <n v="0"/>
    <x v="0"/>
    <x v="0"/>
  </r>
  <r>
    <s v="1"/>
    <x v="2"/>
    <s v="1.2.2 A"/>
    <s v="P0712"/>
    <s v="BB"/>
    <x v="4"/>
    <s v="PraN, UR"/>
    <s v="Áno"/>
    <m/>
    <n v="0"/>
    <m/>
    <n v="0"/>
    <x v="0"/>
    <x v="0"/>
  </r>
  <r>
    <s v="1"/>
    <x v="2"/>
    <s v="1.2.2 A"/>
    <s v="P0712"/>
    <s v="ZA"/>
    <x v="4"/>
    <s v="PraN, UR"/>
    <s v="Áno"/>
    <m/>
    <n v="0"/>
    <m/>
    <n v="2540"/>
    <x v="0"/>
    <x v="0"/>
  </r>
  <r>
    <s v="1"/>
    <x v="2"/>
    <s v="1.2.2 A"/>
    <s v="P0712"/>
    <s v="KE"/>
    <x v="4"/>
    <s v="PraN, UR"/>
    <s v="Áno"/>
    <m/>
    <n v="0"/>
    <m/>
    <n v="0"/>
    <x v="0"/>
    <x v="0"/>
  </r>
  <r>
    <s v="1"/>
    <x v="2"/>
    <s v="1.2.2 A"/>
    <s v="P0712"/>
    <s v="PO"/>
    <x v="4"/>
    <s v="PraN, UR"/>
    <s v="Áno"/>
    <m/>
    <n v="0"/>
    <m/>
    <n v="0"/>
    <x v="0"/>
    <x v="0"/>
  </r>
  <r>
    <s v="1"/>
    <x v="2"/>
    <s v="1.2.2 A"/>
    <s v="P0712"/>
    <s v="NR, TN"/>
    <x v="4"/>
    <s v="PraN, UR"/>
    <s v="Áno"/>
    <m/>
    <n v="0"/>
    <m/>
    <n v="0"/>
    <x v="0"/>
    <x v="0"/>
  </r>
  <r>
    <s v="1"/>
    <x v="3"/>
    <s v="1.2.3 A"/>
    <s v="P0139"/>
    <s v="Počet analýz podzemných vôd"/>
    <x v="0"/>
    <s v="UR"/>
    <s v="Áno"/>
    <n v="0"/>
    <n v="0"/>
    <n v="0"/>
    <n v="0"/>
    <x v="0"/>
    <x v="0"/>
  </r>
  <r>
    <s v="1"/>
    <x v="3"/>
    <s v="1.2.3 A"/>
    <s v="P0140"/>
    <s v="Počet analýz povrchových vôd"/>
    <x v="0"/>
    <s v="UR"/>
    <s v="Áno"/>
    <n v="1"/>
    <n v="94954"/>
    <n v="94954"/>
    <n v="94954"/>
    <x v="0"/>
    <x v="0"/>
  </r>
  <r>
    <s v="1"/>
    <x v="3"/>
    <s v="1.2.3 A"/>
    <s v="P0141"/>
    <s v="Počet analyzovaných vzoriek podzemných vôd"/>
    <x v="0"/>
    <s v="UR"/>
    <s v="Nie"/>
    <n v="2"/>
    <n v="15480"/>
    <n v="0"/>
    <n v="112190"/>
    <x v="8"/>
    <x v="13"/>
  </r>
  <r>
    <s v="1"/>
    <x v="3"/>
    <s v="1.2.3 A"/>
    <s v="P0142"/>
    <s v="Počet analyzovaných vzoriek povrchových vôd"/>
    <x v="0"/>
    <s v="UR"/>
    <s v="Nie"/>
    <n v="3"/>
    <n v="580460"/>
    <n v="4763"/>
    <n v="775356"/>
    <x v="8"/>
    <x v="13"/>
  </r>
  <r>
    <s v="1"/>
    <x v="3"/>
    <s v="1.2.3 A"/>
    <s v="P0188"/>
    <s v="Počet monitorovaných vodných útvarov podzemných vôd"/>
    <x v="0"/>
    <s v="UR"/>
    <s v="Áno"/>
    <n v="2"/>
    <n v="122"/>
    <n v="0"/>
    <n v="122"/>
    <x v="0"/>
    <x v="0"/>
  </r>
  <r>
    <s v="1"/>
    <x v="3"/>
    <s v="1.2.3 A"/>
    <s v="P0189"/>
    <s v="Počet monitorovaných vodných útvarov povrchových vôd"/>
    <x v="0"/>
    <s v="UR"/>
    <s v="Áno"/>
    <n v="3"/>
    <n v="1404"/>
    <n v="308"/>
    <n v="1486"/>
    <x v="0"/>
    <x v="0"/>
  </r>
  <r>
    <s v="1"/>
    <x v="3"/>
    <s v="1.2.3 A"/>
    <s v="P0252"/>
    <s v="Počet optimalizovaných informačných nástrojov"/>
    <x v="0"/>
    <m/>
    <m/>
    <n v="0"/>
    <n v="0"/>
    <n v="0"/>
    <n v="0"/>
    <x v="0"/>
    <x v="0"/>
  </r>
  <r>
    <s v="1"/>
    <x v="3"/>
    <s v="1.2.3 A"/>
    <s v="P0304"/>
    <s v="Počet podporených objektov monitorovacej siete podzemných vôd"/>
    <x v="0"/>
    <s v="UR"/>
    <s v="Nie"/>
    <n v="0"/>
    <n v="0"/>
    <n v="0"/>
    <n v="0"/>
    <x v="9"/>
    <x v="14"/>
  </r>
  <r>
    <s v="1"/>
    <x v="3"/>
    <s v="1.2.3 A"/>
    <s v="P0305"/>
    <s v="Počet podporených objektov monitorovacej siete povrchových vôd"/>
    <x v="0"/>
    <s v="UR"/>
    <s v="Nie"/>
    <n v="0"/>
    <n v="0"/>
    <n v="0"/>
    <n v="0"/>
    <x v="9"/>
    <x v="14"/>
  </r>
  <r>
    <s v="1"/>
    <x v="3"/>
    <s v="1.2.3 A"/>
    <s v="P0501"/>
    <s v="Počet vyhodnotených vodných útvarov podzemných vôd"/>
    <x v="0"/>
    <s v="UR"/>
    <s v="Nie"/>
    <n v="2"/>
    <n v="49"/>
    <n v="0"/>
    <n v="122"/>
    <x v="10"/>
    <x v="15"/>
  </r>
  <r>
    <s v="1"/>
    <x v="3"/>
    <s v="1.2.3 A"/>
    <s v="P0502"/>
    <s v="Počet vyhodnotených vodných útvarov povrchových vôd"/>
    <x v="0"/>
    <s v="UR"/>
    <s v="Nie"/>
    <n v="1"/>
    <n v="273"/>
    <n v="0"/>
    <n v="1510"/>
    <x v="10"/>
    <x v="15"/>
  </r>
  <r>
    <s v="1"/>
    <x v="3"/>
    <s v="1.2.3 B"/>
    <s v="P0044"/>
    <s v="Dĺžka spojitého úseku vodného toku po eliminácii bariéry"/>
    <x v="2"/>
    <m/>
    <m/>
    <n v="0"/>
    <n v="0"/>
    <n v="0"/>
    <n v="0"/>
    <x v="0"/>
    <x v="0"/>
  </r>
  <r>
    <s v="1"/>
    <x v="3"/>
    <s v="1.2.3 B"/>
    <s v="P0249"/>
    <s v="Počet opatrení na zabezpečenie spojitosti vodných tokov a odstraňovanie bariér vo vodných tokoch"/>
    <x v="0"/>
    <m/>
    <m/>
    <n v="0"/>
    <n v="0"/>
    <n v="0"/>
    <n v="0"/>
    <x v="11"/>
    <x v="16"/>
  </r>
  <r>
    <s v="1"/>
    <x v="3"/>
    <s v="1.2.3 B"/>
    <s v="P0715"/>
    <s v="Počet vodných útvarov so zabezpečenou spojitosťou toku a habitatov"/>
    <x v="0"/>
    <m/>
    <m/>
    <n v="0"/>
    <n v="0"/>
    <n v="0"/>
    <n v="0"/>
    <x v="0"/>
    <x v="0"/>
  </r>
  <r>
    <s v="1"/>
    <x v="3"/>
    <s v="1.2.3 C"/>
    <s v="P0178"/>
    <s v="Počet koncepčných, analytických a metodických materiálov"/>
    <x v="0"/>
    <m/>
    <m/>
    <n v="0"/>
    <n v="0"/>
    <n v="0"/>
    <n v="0"/>
    <x v="12"/>
    <x v="17"/>
  </r>
  <r>
    <s v="1"/>
    <x v="3"/>
    <s v="1.2.3 C"/>
    <s v="P0271"/>
    <s v="Počet osôb zapojených do informačných aktivít"/>
    <x v="0"/>
    <m/>
    <m/>
    <n v="0"/>
    <n v="0"/>
    <n v="0"/>
    <n v="0"/>
    <x v="0"/>
    <x v="0"/>
  </r>
  <r>
    <s v="1"/>
    <x v="3"/>
    <s v="1.2.3 C"/>
    <s v="P0589"/>
    <s v="Počet zrealizovaných informačných aktivít"/>
    <x v="0"/>
    <m/>
    <m/>
    <n v="0"/>
    <n v="0"/>
    <n v="0"/>
    <n v="0"/>
    <x v="1"/>
    <x v="1"/>
  </r>
  <r>
    <s v="1"/>
    <x v="4"/>
    <s v="1.3.1 A"/>
    <s v="P0112"/>
    <s v="Plocha biotopov podporených s cieľom dosiahnuť lepší stav ich ochrany"/>
    <x v="5"/>
    <s v="UR"/>
    <s v="Nie"/>
    <n v="0"/>
    <n v="0"/>
    <n v="0"/>
    <n v="0"/>
    <x v="13"/>
    <x v="18"/>
  </r>
  <r>
    <s v="1"/>
    <x v="4"/>
    <s v="1.3.1 A"/>
    <s v="P0505"/>
    <s v="Počet vypracovaných dokumentov starostlivosti"/>
    <x v="0"/>
    <m/>
    <m/>
    <n v="0"/>
    <n v="0"/>
    <n v="0"/>
    <n v="0"/>
    <x v="0"/>
    <x v="0"/>
  </r>
  <r>
    <s v="1"/>
    <x v="4"/>
    <s v="1.3.1 B"/>
    <s v="P0112"/>
    <s v="Plocha biotopov podporených s cieľom dosiahnuť lepší stav ich ochrany"/>
    <x v="5"/>
    <s v="UR"/>
    <s v="Nie"/>
    <n v="0"/>
    <n v="0"/>
    <n v="0"/>
    <n v="0"/>
    <x v="13"/>
    <x v="18"/>
  </r>
  <r>
    <s v="1"/>
    <x v="4"/>
    <s v="1.3.1 B"/>
    <s v="P0120"/>
    <s v="Plocha s odstránenými inváznymi druhmi rastlín"/>
    <x v="5"/>
    <s v="UR"/>
    <s v="Áno"/>
    <n v="0"/>
    <n v="0"/>
    <n v="0"/>
    <n v="0"/>
    <x v="0"/>
    <x v="0"/>
  </r>
  <r>
    <s v="1"/>
    <x v="4"/>
    <s v="1.3.1 B"/>
    <s v="P0367"/>
    <s v="Počet realizovaných prvkov zelenej infraštruktúry"/>
    <x v="0"/>
    <s v="UR"/>
    <s v="Nie"/>
    <n v="0"/>
    <n v="0"/>
    <n v="0"/>
    <n v="0"/>
    <x v="14"/>
    <x v="19"/>
  </r>
  <r>
    <s v="1"/>
    <x v="4"/>
    <s v="1.3.1 B"/>
    <s v="P0508"/>
    <s v="Počet vypracovaných MÚSES"/>
    <x v="0"/>
    <s v="UR"/>
    <s v="Áno"/>
    <n v="0"/>
    <n v="0"/>
    <n v="0"/>
    <n v="0"/>
    <x v="0"/>
    <x v="0"/>
  </r>
  <r>
    <s v="1"/>
    <x v="4"/>
    <s v="1.3.1 B"/>
    <s v="P0510"/>
    <s v="Počet vypracovaných RÚSES"/>
    <x v="0"/>
    <s v="UR"/>
    <s v="Áno"/>
    <n v="0"/>
    <n v="0"/>
    <n v="0"/>
    <n v="0"/>
    <x v="0"/>
    <x v="0"/>
  </r>
  <r>
    <s v="1"/>
    <x v="4"/>
    <s v="1.3.1 C"/>
    <s v="P0159"/>
    <s v="Počet druhov alebo biotopov v neznámom stave, ktorých stav sa pri monitorovaní druhov, alebo biotopov zmenil"/>
    <x v="0"/>
    <m/>
    <m/>
    <n v="0"/>
    <n v="0"/>
    <n v="0"/>
    <n v="0"/>
    <x v="0"/>
    <x v="0"/>
  </r>
  <r>
    <s v="1"/>
    <x v="4"/>
    <s v="1.3.1 C"/>
    <s v="P0186"/>
    <s v="Počet monitorovaných lokalít, kde došlo k zvýšeniu počtu monitorovaných druhov alebo biotopov"/>
    <x v="0"/>
    <m/>
    <m/>
    <n v="0"/>
    <n v="0"/>
    <n v="0"/>
    <n v="0"/>
    <x v="15"/>
    <x v="20"/>
  </r>
  <r>
    <s v="1"/>
    <x v="4"/>
    <s v="1.3.1 C"/>
    <s v="P0199"/>
    <s v="Počet novo zaradených monitorovaných lokalít"/>
    <x v="0"/>
    <m/>
    <m/>
    <n v="0"/>
    <n v="0"/>
    <n v="0"/>
    <n v="0"/>
    <x v="16"/>
    <x v="21"/>
  </r>
  <r>
    <s v="1"/>
    <x v="4"/>
    <s v="1.3.1 D"/>
    <s v="P0271"/>
    <s v="Počet osôb zapojených do informačných aktivít"/>
    <x v="0"/>
    <m/>
    <m/>
    <n v="0"/>
    <n v="0"/>
    <n v="0"/>
    <n v="0"/>
    <x v="0"/>
    <x v="0"/>
  </r>
  <r>
    <s v="1"/>
    <x v="4"/>
    <s v="1.3.1 D"/>
    <s v="P0589"/>
    <s v="Počet zrealizovaných informačných aktivít"/>
    <x v="0"/>
    <m/>
    <m/>
    <n v="0"/>
    <n v="0"/>
    <n v="0"/>
    <n v="0"/>
    <x v="1"/>
    <x v="1"/>
  </r>
  <r>
    <s v="1"/>
    <x v="5"/>
    <s v="1.4.1 A"/>
    <s v="P0064"/>
    <s v="Inštalovaný výkon nízkoemisných zariadení nahradzujúcich zastarané spaľovacie zariadenia na výrobu tepla na vykurovanie"/>
    <x v="6"/>
    <m/>
    <m/>
    <n v="0"/>
    <n v="0"/>
    <n v="0"/>
    <n v="0"/>
    <x v="17"/>
    <x v="22"/>
  </r>
  <r>
    <s v="1"/>
    <x v="5"/>
    <s v="1.4.1 A"/>
    <s v="P0192"/>
    <s v="Počet nahradených zastaraných spaľovacích zariadení"/>
    <x v="0"/>
    <m/>
    <m/>
    <n v="0"/>
    <n v="0"/>
    <n v="0"/>
    <n v="0"/>
    <x v="0"/>
    <x v="0"/>
  </r>
  <r>
    <s v="1"/>
    <x v="5"/>
    <s v="1.4.1 A"/>
    <s v="P0330"/>
    <s v="Počet podporených zariadení malých stacionárnych zdrojov znečisťovania ovzdušia za účelom zníženia emisií"/>
    <x v="0"/>
    <s v="UR"/>
    <s v="Nie"/>
    <n v="0"/>
    <n v="0"/>
    <n v="0"/>
    <n v="0"/>
    <x v="0"/>
    <x v="0"/>
  </r>
  <r>
    <s v="1"/>
    <x v="5"/>
    <s v="1.4.1 A"/>
    <s v="P0331"/>
    <s v="Počet podporených zariadení stredných a veľkých stacionárnych zdrojov znečisťovania ovzdušia za účelom zníženia emisií"/>
    <x v="0"/>
    <s v="UR"/>
    <s v="Nie"/>
    <n v="18"/>
    <n v="1"/>
    <n v="3"/>
    <n v="22"/>
    <x v="18"/>
    <x v="23"/>
  </r>
  <r>
    <s v="1"/>
    <x v="5"/>
    <s v="1.4.1 A"/>
    <s v="P0690"/>
    <s v="Zníženie produkcie emisií NH3"/>
    <x v="7"/>
    <s v="UR"/>
    <s v="Áno"/>
    <n v="0"/>
    <n v="0"/>
    <n v="0"/>
    <n v="0"/>
    <x v="0"/>
    <x v="0"/>
  </r>
  <r>
    <s v="1"/>
    <x v="5"/>
    <s v="1.4.1 A"/>
    <s v="P0691"/>
    <s v="Zníženie produkcie emisií NOx"/>
    <x v="7"/>
    <s v="UR"/>
    <s v="Áno"/>
    <n v="1"/>
    <n v="0"/>
    <n v="32889.666700000002"/>
    <n v="32889.666700000002"/>
    <x v="0"/>
    <x v="0"/>
  </r>
  <r>
    <s v="1"/>
    <x v="5"/>
    <s v="1.4.1 A"/>
    <s v="P0692"/>
    <s v="Zníženie produkcie emisií PM10"/>
    <x v="7"/>
    <s v="UR"/>
    <s v="Áno"/>
    <n v="18"/>
    <n v="0"/>
    <n v="11325.036700000001"/>
    <n v="1510393.7327000003"/>
    <x v="0"/>
    <x v="0"/>
  </r>
  <r>
    <s v="1"/>
    <x v="5"/>
    <s v="1.4.1 A"/>
    <s v="P0693"/>
    <s v="Zníženie produkcie emisií PM2,5"/>
    <x v="7"/>
    <s v="UR"/>
    <s v="Áno"/>
    <n v="18"/>
    <n v="0"/>
    <n v="10573.132"/>
    <n v="924543.89600000007"/>
    <x v="0"/>
    <x v="0"/>
  </r>
  <r>
    <s v="1"/>
    <x v="5"/>
    <s v="1.4.1 A"/>
    <s v="P0694"/>
    <s v="Zníženie produkcie emisií SO2"/>
    <x v="7"/>
    <s v="UR"/>
    <s v="Áno"/>
    <n v="1"/>
    <n v="0"/>
    <n v="238.16669999999999"/>
    <n v="238.16669999999999"/>
    <x v="0"/>
    <x v="0"/>
  </r>
  <r>
    <s v="1"/>
    <x v="5"/>
    <s v="1.4.1 A"/>
    <s v="P0695"/>
    <s v="Zníženie produkcie emisií VOC"/>
    <x v="7"/>
    <s v="UR"/>
    <s v="Áno"/>
    <n v="0"/>
    <n v="0"/>
    <n v="0"/>
    <n v="0"/>
    <x v="0"/>
    <x v="0"/>
  </r>
  <r>
    <s v="1"/>
    <x v="5"/>
    <s v="1.4.1 B"/>
    <s v="P0271"/>
    <s v="Počet osôb zapojených do informačných aktivít"/>
    <x v="0"/>
    <m/>
    <m/>
    <n v="0"/>
    <n v="0"/>
    <n v="0"/>
    <n v="0"/>
    <x v="0"/>
    <x v="0"/>
  </r>
  <r>
    <s v="1"/>
    <x v="5"/>
    <s v="1.4.1 A"/>
    <s v="P0331"/>
    <s v="ZA"/>
    <x v="0"/>
    <s v="UR"/>
    <s v="Nie"/>
    <m/>
    <n v="0"/>
    <m/>
    <n v="1"/>
    <x v="0"/>
    <x v="0"/>
  </r>
  <r>
    <s v="1"/>
    <x v="5"/>
    <s v="1.4.1 A"/>
    <s v="P0331"/>
    <s v="KE"/>
    <x v="0"/>
    <s v="UR"/>
    <s v="Nie"/>
    <m/>
    <n v="1"/>
    <m/>
    <n v="20"/>
    <x v="0"/>
    <x v="0"/>
  </r>
  <r>
    <s v="1"/>
    <x v="5"/>
    <s v="1.4.1 A"/>
    <s v="P0331"/>
    <s v="PO"/>
    <x v="0"/>
    <s v="UR"/>
    <s v="Nie"/>
    <m/>
    <n v="0"/>
    <m/>
    <n v="1"/>
    <x v="0"/>
    <x v="0"/>
  </r>
  <r>
    <s v="1"/>
    <x v="5"/>
    <s v="1.4.1 B"/>
    <s v="P0589"/>
    <s v="Počet zrealizovaných informačných aktivít"/>
    <x v="0"/>
    <m/>
    <m/>
    <n v="0"/>
    <n v="0"/>
    <n v="0"/>
    <n v="0"/>
    <x v="1"/>
    <x v="1"/>
  </r>
  <r>
    <s v="1"/>
    <x v="5"/>
    <s v="1.4.1 C"/>
    <s v="P0143"/>
    <s v="Počet aplikovaných modulov NEIS podľa požiadaviek na informovanie verejnosti a reportingových povinností"/>
    <x v="0"/>
    <m/>
    <m/>
    <n v="0"/>
    <n v="0"/>
    <n v="0"/>
    <n v="0"/>
    <x v="19"/>
    <x v="24"/>
  </r>
  <r>
    <s v="1"/>
    <x v="5"/>
    <s v="1.4.1 C"/>
    <s v="P0198"/>
    <s v="Počet novo vykonaných emisných inventúr a/alebo projekcií emisií"/>
    <x v="0"/>
    <m/>
    <m/>
    <n v="0"/>
    <n v="0"/>
    <n v="0"/>
    <n v="0"/>
    <x v="0"/>
    <x v="0"/>
  </r>
  <r>
    <s v="1"/>
    <x v="5"/>
    <s v="1.4.1 C"/>
    <s v="P0201"/>
    <s v="Počet novovybudovaných akreditovaných odberných miest NMSKO"/>
    <x v="0"/>
    <m/>
    <m/>
    <n v="0"/>
    <n v="0"/>
    <n v="0"/>
    <n v="0"/>
    <x v="20"/>
    <x v="25"/>
  </r>
  <r>
    <s v="1"/>
    <x v="5"/>
    <s v="1.4.1 C"/>
    <s v="P0202"/>
    <s v="Počet novovybudovaných staníc NMSKO"/>
    <x v="0"/>
    <m/>
    <m/>
    <n v="0"/>
    <n v="0"/>
    <n v="0"/>
    <n v="0"/>
    <x v="0"/>
    <x v="0"/>
  </r>
  <r>
    <s v="1"/>
    <x v="5"/>
    <s v="1.4.1 A"/>
    <s v="P0691"/>
    <s v="ZA"/>
    <x v="7"/>
    <s v="UR"/>
    <s v="Áno"/>
    <m/>
    <n v="0"/>
    <m/>
    <n v="0"/>
    <x v="0"/>
    <x v="0"/>
  </r>
  <r>
    <s v="1"/>
    <x v="5"/>
    <s v="1.4.1 A"/>
    <s v="P0691"/>
    <s v="KE"/>
    <x v="7"/>
    <s v="UR"/>
    <s v="Áno"/>
    <m/>
    <n v="0"/>
    <m/>
    <n v="32889.666700000002"/>
    <x v="0"/>
    <x v="0"/>
  </r>
  <r>
    <s v="1"/>
    <x v="5"/>
    <s v="1.4.1 A"/>
    <s v="P0691"/>
    <s v="PO"/>
    <x v="7"/>
    <s v="UR"/>
    <s v="Áno"/>
    <m/>
    <n v="0"/>
    <m/>
    <n v="0"/>
    <x v="0"/>
    <x v="0"/>
  </r>
  <r>
    <s v="1"/>
    <x v="5"/>
    <s v="1.4.1 C"/>
    <s v="P0292"/>
    <s v="Počet podporených existujúcich akreditovaných odberných miest NMSKO"/>
    <x v="0"/>
    <m/>
    <m/>
    <n v="0"/>
    <n v="0"/>
    <n v="0"/>
    <n v="0"/>
    <x v="20"/>
    <x v="25"/>
  </r>
  <r>
    <s v="1"/>
    <x v="5"/>
    <s v="1.4.1 A"/>
    <s v="P0692"/>
    <s v="ZA"/>
    <x v="7"/>
    <s v="UR"/>
    <s v="Áno"/>
    <m/>
    <n v="0"/>
    <m/>
    <n v="5980"/>
    <x v="0"/>
    <x v="0"/>
  </r>
  <r>
    <s v="1"/>
    <x v="5"/>
    <s v="1.4.1 A"/>
    <s v="P0692"/>
    <s v="KE"/>
    <x v="7"/>
    <s v="UR"/>
    <s v="Áno"/>
    <m/>
    <n v="0"/>
    <m/>
    <n v="1503530.4267000002"/>
    <x v="0"/>
    <x v="0"/>
  </r>
  <r>
    <s v="1"/>
    <x v="5"/>
    <s v="1.4.1 A"/>
    <s v="P0692"/>
    <s v="PO"/>
    <x v="7"/>
    <s v="UR"/>
    <s v="Áno"/>
    <m/>
    <n v="0"/>
    <m/>
    <n v="883.30600000000004"/>
    <x v="0"/>
    <x v="0"/>
  </r>
  <r>
    <s v="1"/>
    <x v="5"/>
    <s v="1.4.1 C"/>
    <s v="P0293"/>
    <s v="Počet podporených existujúcich staníc NMSKO"/>
    <x v="0"/>
    <m/>
    <m/>
    <n v="0"/>
    <n v="0"/>
    <n v="0"/>
    <n v="0"/>
    <x v="0"/>
    <x v="0"/>
  </r>
  <r>
    <s v="1"/>
    <x v="5"/>
    <s v="1.4.1 A"/>
    <s v="P0693"/>
    <s v="ZA"/>
    <x v="7"/>
    <s v="UR"/>
    <s v="Áno"/>
    <m/>
    <n v="0"/>
    <m/>
    <n v="3870"/>
    <x v="0"/>
    <x v="0"/>
  </r>
  <r>
    <s v="1"/>
    <x v="5"/>
    <s v="1.4.1 A"/>
    <s v="P0693"/>
    <s v="KE"/>
    <x v="7"/>
    <s v="UR"/>
    <s v="Áno"/>
    <m/>
    <n v="0"/>
    <m/>
    <n v="919886.60200000007"/>
    <x v="0"/>
    <x v="0"/>
  </r>
  <r>
    <s v="1"/>
    <x v="5"/>
    <s v="1.4.1 A"/>
    <s v="P0693"/>
    <s v="PO"/>
    <x v="7"/>
    <s v="UR"/>
    <s v="Áno"/>
    <m/>
    <n v="0"/>
    <m/>
    <n v="787.29399999999998"/>
    <x v="0"/>
    <x v="0"/>
  </r>
  <r>
    <s v="1"/>
    <x v="5"/>
    <s v="1.4.1 C"/>
    <s v="P0503"/>
    <s v="Počet vykonaných modelových výpočtov a/alebo chemických analýz"/>
    <x v="0"/>
    <m/>
    <m/>
    <n v="0"/>
    <n v="0"/>
    <n v="0"/>
    <n v="0"/>
    <x v="0"/>
    <x v="0"/>
  </r>
  <r>
    <s v="1"/>
    <x v="5"/>
    <s v="1.4.1 A"/>
    <s v="P0694"/>
    <s v="ZA"/>
    <x v="7"/>
    <s v="UR"/>
    <s v="Áno"/>
    <m/>
    <n v="0"/>
    <m/>
    <n v="0"/>
    <x v="0"/>
    <x v="0"/>
  </r>
  <r>
    <s v="1"/>
    <x v="5"/>
    <s v="1.4.1 A"/>
    <s v="P0694"/>
    <s v="KE"/>
    <x v="7"/>
    <s v="UR"/>
    <s v="Áno"/>
    <m/>
    <n v="0"/>
    <m/>
    <n v="238.16669999999999"/>
    <x v="0"/>
    <x v="0"/>
  </r>
  <r>
    <s v="1"/>
    <x v="5"/>
    <s v="1.4.1 A"/>
    <s v="P0694"/>
    <s v="PO"/>
    <x v="7"/>
    <s v="UR"/>
    <s v="Áno"/>
    <m/>
    <n v="0"/>
    <m/>
    <n v="0"/>
    <x v="0"/>
    <x v="0"/>
  </r>
  <r>
    <s v="1"/>
    <x v="5"/>
    <s v="1.4.1 C"/>
    <s v="P0562"/>
    <s v="Počet zavedených nových aplikovaných modulov NRZ"/>
    <x v="0"/>
    <m/>
    <m/>
    <n v="0"/>
    <n v="0"/>
    <n v="0"/>
    <n v="0"/>
    <x v="0"/>
    <x v="0"/>
  </r>
  <r>
    <s v="1"/>
    <x v="6"/>
    <s v="1.4.2 A"/>
    <s v="P0032"/>
    <s v="Celkový povrch rekultivovanej pôdy"/>
    <x v="5"/>
    <m/>
    <m/>
    <n v="0"/>
    <n v="0"/>
    <n v="0"/>
    <n v="0"/>
    <x v="21"/>
    <x v="26"/>
  </r>
  <r>
    <s v="1"/>
    <x v="6"/>
    <s v="1.4.2 A"/>
    <s v="P0114"/>
    <s v="Plocha monitorovaných environmentálnych záťaží"/>
    <x v="5"/>
    <s v="UR"/>
    <s v="Nie"/>
    <n v="1"/>
    <n v="205.1"/>
    <n v="0"/>
    <n v="205.1"/>
    <x v="22"/>
    <x v="27"/>
  </r>
  <r>
    <s v="1"/>
    <x v="6"/>
    <s v="1.4.2 A"/>
    <s v="P0119"/>
    <s v="Plocha preskúmaných environmentálnych záťaží"/>
    <x v="5"/>
    <s v="UR"/>
    <s v="Nie"/>
    <n v="1"/>
    <n v="0"/>
    <n v="0"/>
    <n v="12.46"/>
    <x v="23"/>
    <x v="28"/>
  </r>
  <r>
    <s v="1"/>
    <x v="6"/>
    <s v="1.4.2 A"/>
    <s v="P0185"/>
    <s v="Počet monitorovaných environmentálnych záťaží"/>
    <x v="0"/>
    <s v="UR"/>
    <s v="Áno"/>
    <n v="1"/>
    <n v="83"/>
    <n v="0"/>
    <n v="83"/>
    <x v="0"/>
    <x v="0"/>
  </r>
  <r>
    <s v="1"/>
    <x v="6"/>
    <s v="1.4.2 A"/>
    <s v="P0352"/>
    <s v="Počet preskúmaných prioritných environmentálnych záťaží"/>
    <x v="0"/>
    <s v="UR"/>
    <s v="Áno"/>
    <n v="1"/>
    <n v="0"/>
    <n v="0"/>
    <n v="53"/>
    <x v="0"/>
    <x v="0"/>
  </r>
  <r>
    <s v="1"/>
    <x v="6"/>
    <s v="1.4.2 A"/>
    <s v="P0385"/>
    <s v="Počet sanovaných environmentálnych záťaží"/>
    <x v="0"/>
    <m/>
    <m/>
    <n v="0"/>
    <n v="0"/>
    <n v="0"/>
    <n v="0"/>
    <x v="0"/>
    <x v="0"/>
  </r>
  <r>
    <s v="1"/>
    <x v="6"/>
    <s v="1.4.2 A"/>
    <s v="P0497"/>
    <s v="Počet vybudovaných zariadení na monitorovanie environmentálnych záťaží"/>
    <x v="0"/>
    <s v="UR"/>
    <s v="Áno"/>
    <n v="1"/>
    <n v="0"/>
    <n v="0"/>
    <n v="20"/>
    <x v="0"/>
    <x v="0"/>
  </r>
  <r>
    <s v="1"/>
    <x v="6"/>
    <s v="1.4.2 B"/>
    <s v="P0271"/>
    <s v="Počet osôb zapojených do informačných aktivít"/>
    <x v="0"/>
    <m/>
    <m/>
    <n v="0"/>
    <n v="0"/>
    <n v="0"/>
    <n v="0"/>
    <x v="0"/>
    <x v="0"/>
  </r>
  <r>
    <s v="1"/>
    <x v="6"/>
    <s v="1.4.2 B"/>
    <s v="P0589"/>
    <s v="Počet zrealizovaných informačných aktivít"/>
    <x v="0"/>
    <m/>
    <m/>
    <n v="0"/>
    <n v="0"/>
    <n v="0"/>
    <n v="0"/>
    <x v="1"/>
    <x v="1"/>
  </r>
  <r>
    <s v="2"/>
    <x v="7"/>
    <s v="2.1.1 A"/>
    <s v="P0060"/>
    <s v="Hodnota majetku ochraneného pred povodňami"/>
    <x v="8"/>
    <m/>
    <m/>
    <n v="0"/>
    <n v="0"/>
    <n v="0"/>
    <n v="0"/>
    <x v="0"/>
    <x v="0"/>
  </r>
  <r>
    <s v="2"/>
    <x v="7"/>
    <s v="2.1.1 A"/>
    <s v="P0239"/>
    <s v="Počet obyvateľov využívajúcich opatrenia protipovodňovej ochrany"/>
    <x v="0"/>
    <m/>
    <m/>
    <n v="0"/>
    <n v="0"/>
    <n v="0"/>
    <n v="0"/>
    <x v="24"/>
    <x v="29"/>
  </r>
  <r>
    <s v="2"/>
    <x v="7"/>
    <s v="2.1.1 B"/>
    <s v="P0060"/>
    <s v="Hodnota majetku ochraneného pred povodňami"/>
    <x v="8"/>
    <m/>
    <m/>
    <n v="0"/>
    <n v="0"/>
    <n v="0"/>
    <n v="0"/>
    <x v="0"/>
    <x v="0"/>
  </r>
  <r>
    <s v="2"/>
    <x v="7"/>
    <s v="2.1.1 B"/>
    <s v="P0239"/>
    <s v="Počet obyvateľov využívajúcich opatrenia protipovodňovej ochrany"/>
    <x v="0"/>
    <m/>
    <m/>
    <n v="0"/>
    <n v="0"/>
    <n v="0"/>
    <n v="0"/>
    <x v="24"/>
    <x v="29"/>
  </r>
  <r>
    <s v="2"/>
    <x v="7"/>
    <s v="2.1.1 C"/>
    <s v="P0121"/>
    <s v="Plocha vytvoreného vodozádržného opatrenia"/>
    <x v="9"/>
    <m/>
    <m/>
    <n v="0"/>
    <n v="0"/>
    <n v="0"/>
    <n v="0"/>
    <x v="0"/>
    <x v="0"/>
  </r>
  <r>
    <s v="2"/>
    <x v="7"/>
    <s v="2.1.1 C"/>
    <s v="P0368"/>
    <s v="Počet realizovaných vodozádržných opatrení"/>
    <x v="0"/>
    <m/>
    <m/>
    <n v="0"/>
    <n v="0"/>
    <n v="0"/>
    <n v="0"/>
    <x v="25"/>
    <x v="30"/>
  </r>
  <r>
    <s v="2"/>
    <x v="7"/>
    <s v="2.1.1 D"/>
    <s v="P0137"/>
    <s v="Počet aktualizovaných alebo novovytvorených plánovacích podkladov manažmentu povodňových rizík (na úrovni SR)"/>
    <x v="0"/>
    <m/>
    <m/>
    <n v="0"/>
    <n v="0"/>
    <n v="0"/>
    <n v="0"/>
    <x v="26"/>
    <x v="31"/>
  </r>
  <r>
    <s v="2"/>
    <x v="7"/>
    <s v="2.1.1 E"/>
    <s v="P0204"/>
    <s v="Počet novovytvorených metodík pre hodnotenie investičných rizík spojených s nepriaznivými dôsledkami zmeny klímy"/>
    <x v="0"/>
    <m/>
    <m/>
    <n v="0"/>
    <n v="0"/>
    <n v="0"/>
    <n v="0"/>
    <x v="27"/>
    <x v="32"/>
  </r>
  <r>
    <s v="2"/>
    <x v="7"/>
    <s v="2.1.1 F"/>
    <s v="P0271"/>
    <s v="Počet osôb zapojených do informačných aktivít"/>
    <x v="0"/>
    <m/>
    <m/>
    <n v="0"/>
    <n v="0"/>
    <n v="0"/>
    <n v="0"/>
    <x v="0"/>
    <x v="0"/>
  </r>
  <r>
    <s v="2"/>
    <x v="7"/>
    <s v="2.1.1 F"/>
    <s v="P0589"/>
    <s v="Počet zrealizovaných informačných aktivít"/>
    <x v="0"/>
    <m/>
    <m/>
    <n v="0"/>
    <n v="0"/>
    <n v="0"/>
    <n v="0"/>
    <x v="1"/>
    <x v="1"/>
  </r>
  <r>
    <s v="2"/>
    <x v="8"/>
    <s v="2.1.2 A"/>
    <s v="P0027"/>
    <s v="Celková plocha inventarizovaných uzavretých úložísk a opustených úložísk ťažobného odpadu"/>
    <x v="5"/>
    <m/>
    <m/>
    <n v="0"/>
    <n v="0"/>
    <n v="0"/>
    <n v="0"/>
    <x v="0"/>
    <x v="0"/>
  </r>
  <r>
    <s v="2"/>
    <x v="8"/>
    <s v="2.1.2 A"/>
    <s v="P0031"/>
    <s v="Celkový povrch rekultivovanej pôdy"/>
    <x v="5"/>
    <m/>
    <m/>
    <n v="0"/>
    <n v="0"/>
    <n v="0"/>
    <n v="0"/>
    <x v="21"/>
    <x v="26"/>
  </r>
  <r>
    <s v="2"/>
    <x v="8"/>
    <s v="2.1.2 A"/>
    <s v="P0169"/>
    <s v="Počet inventarizovaných uzavretých úložísk a opustených úložísk ťažobného odpadu"/>
    <x v="0"/>
    <m/>
    <m/>
    <n v="0"/>
    <n v="0"/>
    <n v="0"/>
    <n v="0"/>
    <x v="0"/>
    <x v="0"/>
  </r>
  <r>
    <s v="2"/>
    <x v="8"/>
    <s v="2.1.2 A"/>
    <s v="P0371"/>
    <s v="Počet rekultivovaných uzavretých úložísk a opustených úložísk ťažobného odpadu"/>
    <x v="0"/>
    <m/>
    <m/>
    <n v="0"/>
    <n v="0"/>
    <n v="0"/>
    <n v="0"/>
    <x v="0"/>
    <x v="0"/>
  </r>
  <r>
    <s v="3"/>
    <x v="9"/>
    <s v="3.1.1 A"/>
    <s v="P0146"/>
    <s v="Počet databáz pre potreby modelovania vývoja mimoriadnych udalostí, monitorovania a vyhodnocovania rizík viazaných na zmenu klímy a jej dôsledkov"/>
    <x v="0"/>
    <m/>
    <m/>
    <n v="0"/>
    <n v="0"/>
    <n v="0"/>
    <n v="0"/>
    <x v="0"/>
    <x v="0"/>
  </r>
  <r>
    <s v="3"/>
    <x v="9"/>
    <s v="3.1.1 A"/>
    <s v="P0197"/>
    <s v="Počet navrhovaných druhov preventívnych opatrení na elimináciu rizík viazaných na zmenu klímy a jej dôsledkov"/>
    <x v="0"/>
    <m/>
    <m/>
    <n v="0"/>
    <n v="0"/>
    <n v="0"/>
    <n v="0"/>
    <x v="0"/>
    <x v="0"/>
  </r>
  <r>
    <s v="3"/>
    <x v="9"/>
    <s v="3.1.1 A"/>
    <s v="P0403"/>
    <s v="Počet subjektov zapojených do projektu"/>
    <x v="0"/>
    <m/>
    <m/>
    <n v="0"/>
    <n v="0"/>
    <n v="0"/>
    <n v="0"/>
    <x v="0"/>
    <x v="0"/>
  </r>
  <r>
    <s v="3"/>
    <x v="9"/>
    <s v="3.1.1 A"/>
    <s v="P0415"/>
    <s v="Počet systémov monitorovania a/alebo vyhodnocovania rizík viazaných na zmenu klímy a jej dôsledkov"/>
    <x v="0"/>
    <m/>
    <m/>
    <n v="0"/>
    <n v="0"/>
    <n v="0"/>
    <n v="0"/>
    <x v="0"/>
    <x v="0"/>
  </r>
  <r>
    <s v="3"/>
    <x v="9"/>
    <s v="3.1.1 A"/>
    <s v="P0522"/>
    <s v="Počet vytvorených modelov vývoja mimoriadnych udalostí ovplyvnených zmenou klímy"/>
    <x v="0"/>
    <m/>
    <m/>
    <n v="0"/>
    <n v="0"/>
    <n v="0"/>
    <n v="0"/>
    <x v="28"/>
    <x v="33"/>
  </r>
  <r>
    <s v="3"/>
    <x v="9"/>
    <s v="3.1.1 B"/>
    <s v="P0116"/>
    <s v="Plocha pokrytia obývaného územia zabezpečeného systémom včasného varovania"/>
    <x v="5"/>
    <m/>
    <m/>
    <n v="0"/>
    <n v="0"/>
    <n v="0"/>
    <n v="0"/>
    <x v="0"/>
    <x v="0"/>
  </r>
  <r>
    <s v="3"/>
    <x v="9"/>
    <s v="3.1.1 B"/>
    <s v="P0117"/>
    <s v="Plocha pokrytia územia zabezpečeného systémom včasného varovania"/>
    <x v="5"/>
    <m/>
    <m/>
    <n v="0"/>
    <n v="0"/>
    <n v="0"/>
    <n v="0"/>
    <x v="0"/>
    <x v="0"/>
  </r>
  <r>
    <s v="3"/>
    <x v="9"/>
    <s v="3.1.1 B"/>
    <s v="P0403"/>
    <s v="Počet subjektov zapojených do projektu"/>
    <x v="0"/>
    <m/>
    <m/>
    <n v="1"/>
    <n v="0"/>
    <n v="1"/>
    <n v="1"/>
    <x v="0"/>
    <x v="0"/>
  </r>
  <r>
    <s v="3"/>
    <x v="9"/>
    <s v="3.1.1 B"/>
    <s v="P0416"/>
    <s v="Počet systémov na prenos údajov medzi lokálnou a/ alebo regionálnou a/ alebo národnou a/ alebo nadnárodnou úrovňou"/>
    <x v="0"/>
    <m/>
    <m/>
    <n v="1"/>
    <n v="0"/>
    <n v="1"/>
    <n v="1"/>
    <x v="0"/>
    <x v="0"/>
  </r>
  <r>
    <s v="3"/>
    <x v="9"/>
    <s v="3.1.1 B"/>
    <s v="P0417"/>
    <s v="Počet systémov včasného varovania"/>
    <x v="0"/>
    <m/>
    <m/>
    <n v="1"/>
    <n v="0"/>
    <n v="1"/>
    <n v="1"/>
    <x v="29"/>
    <x v="34"/>
  </r>
  <r>
    <s v="3"/>
    <x v="9"/>
    <s v="3.1.1 B"/>
    <s v="P0418"/>
    <s v="Počet systémov vyhodnocovania rizík viazaných na zmenu klímy a jej dôsledkov"/>
    <x v="0"/>
    <m/>
    <m/>
    <n v="1"/>
    <n v="0"/>
    <n v="1"/>
    <n v="1"/>
    <x v="0"/>
    <x v="0"/>
  </r>
  <r>
    <s v="3"/>
    <x v="10"/>
    <s v="3.1.2 A"/>
    <s v="P0031"/>
    <s v="Celkový povrch rekultivovanej pôdy"/>
    <x v="5"/>
    <m/>
    <m/>
    <n v="0"/>
    <n v="0"/>
    <n v="0"/>
    <n v="0"/>
    <x v="21"/>
    <x v="26"/>
  </r>
  <r>
    <s v="3"/>
    <x v="10"/>
    <s v="3.1.2 A"/>
    <s v="P0115"/>
    <s v="Plocha monitorovaných svahových deformácií"/>
    <x v="5"/>
    <m/>
    <m/>
    <n v="0"/>
    <n v="0"/>
    <n v="0"/>
    <n v="0"/>
    <x v="0"/>
    <x v="0"/>
  </r>
  <r>
    <s v="3"/>
    <x v="10"/>
    <s v="3.1.2 A"/>
    <s v="P0118"/>
    <s v="Plocha preskúmaného zosuvného územia"/>
    <x v="5"/>
    <m/>
    <m/>
    <n v="0"/>
    <n v="0"/>
    <n v="0"/>
    <n v="0"/>
    <x v="30"/>
    <x v="35"/>
  </r>
  <r>
    <s v="3"/>
    <x v="10"/>
    <s v="3.1.2 A"/>
    <s v="P0122"/>
    <s v="Plocha zmapovaného územia"/>
    <x v="5"/>
    <m/>
    <m/>
    <n v="0"/>
    <n v="0"/>
    <n v="0"/>
    <n v="0"/>
    <x v="0"/>
    <x v="0"/>
  </r>
  <r>
    <s v="3"/>
    <x v="10"/>
    <s v="3.1.2 A"/>
    <s v="P0187"/>
    <s v="Počet monitorovaných svahových deformácií"/>
    <x v="0"/>
    <m/>
    <m/>
    <n v="0"/>
    <n v="0"/>
    <n v="0"/>
    <n v="0"/>
    <x v="0"/>
    <x v="0"/>
  </r>
  <r>
    <s v="3"/>
    <x v="10"/>
    <s v="3.1.2 A"/>
    <s v="P0200"/>
    <s v="Počet novoidentifikovaných, registrovaných a zmapovaných svahových deformácií"/>
    <x v="0"/>
    <m/>
    <m/>
    <n v="0"/>
    <n v="0"/>
    <n v="0"/>
    <n v="0"/>
    <x v="0"/>
    <x v="0"/>
  </r>
  <r>
    <s v="3"/>
    <x v="10"/>
    <s v="3.1.2 A"/>
    <s v="P0353"/>
    <s v="Počet preskúmaných svahových deformácií"/>
    <x v="0"/>
    <m/>
    <m/>
    <n v="0"/>
    <n v="0"/>
    <n v="0"/>
    <n v="0"/>
    <x v="0"/>
    <x v="0"/>
  </r>
  <r>
    <s v="3"/>
    <x v="10"/>
    <s v="3.1.2 A"/>
    <s v="P0386"/>
    <s v="Počet sanovaných svahových deformácií"/>
    <x v="0"/>
    <m/>
    <m/>
    <n v="0"/>
    <n v="0"/>
    <n v="0"/>
    <n v="0"/>
    <x v="0"/>
    <x v="0"/>
  </r>
  <r>
    <s v="3"/>
    <x v="10"/>
    <s v="3.1.2 A"/>
    <s v="P0498"/>
    <s v="Počet vybudovaných zariadení na monitorovanie svahových deformácií"/>
    <x v="0"/>
    <m/>
    <m/>
    <n v="0"/>
    <n v="0"/>
    <n v="0"/>
    <n v="0"/>
    <x v="0"/>
    <x v="0"/>
  </r>
  <r>
    <s v="3"/>
    <x v="10"/>
    <s v="3.1.2 B"/>
    <s v="P0113"/>
    <s v="Plocha hydrogeologicky preskúmaného územia"/>
    <x v="5"/>
    <m/>
    <m/>
    <n v="0"/>
    <n v="0"/>
    <n v="0"/>
    <n v="0"/>
    <x v="31"/>
    <x v="36"/>
  </r>
  <r>
    <s v="3"/>
    <x v="10"/>
    <s v="3.1.2 B"/>
    <s v="P0241"/>
    <s v="Počet obyvateľov žijúcich v oblastiach vyznačujúcich sa deficitom pitnej vody"/>
    <x v="0"/>
    <m/>
    <m/>
    <n v="0"/>
    <n v="0"/>
    <n v="0"/>
    <n v="0"/>
    <x v="0"/>
    <x v="0"/>
  </r>
  <r>
    <s v="3"/>
    <x v="11"/>
    <s v="3.1.3 A"/>
    <s v="P0035"/>
    <s v="Čas trvania zásahu pri mimoriadnej udalosti ovplyvnenej zmenou klímy"/>
    <x v="10"/>
    <m/>
    <m/>
    <n v="0"/>
    <n v="0"/>
    <n v="0"/>
    <n v="0"/>
    <x v="0"/>
    <x v="0"/>
  </r>
  <r>
    <s v="3"/>
    <x v="11"/>
    <s v="3.1.3 A"/>
    <s v="P0135"/>
    <s v="Počet aktivít zameraných na výcvik, vzdelávanie, výmenu informácií a skúseností"/>
    <x v="0"/>
    <m/>
    <m/>
    <n v="0"/>
    <n v="0"/>
    <n v="0"/>
    <n v="0"/>
    <x v="0"/>
    <x v="0"/>
  </r>
  <r>
    <s v="3"/>
    <x v="11"/>
    <s v="3.1.3 A"/>
    <s v="P0178"/>
    <s v="Počet koncepčných, analytických a metodických materiálov"/>
    <x v="0"/>
    <m/>
    <m/>
    <n v="0"/>
    <n v="0"/>
    <n v="0"/>
    <n v="0"/>
    <x v="0"/>
    <x v="0"/>
  </r>
  <r>
    <s v="3"/>
    <x v="11"/>
    <s v="3.1.3 A"/>
    <s v="P0272"/>
    <s v="Počet osôb zapojených do opatrení zameraných na výmenu informácií, skúseností, vzdelávanie a výcvik"/>
    <x v="0"/>
    <m/>
    <m/>
    <n v="0"/>
    <n v="0"/>
    <n v="0"/>
    <n v="0"/>
    <x v="0"/>
    <x v="0"/>
  </r>
  <r>
    <s v="3"/>
    <x v="11"/>
    <s v="3.1.3 A"/>
    <s v="P0401"/>
    <s v="Počet subjektov so zlepšeným vybavením intervenčnými kapacitami."/>
    <x v="0"/>
    <m/>
    <m/>
    <n v="0"/>
    <n v="0"/>
    <n v="0"/>
    <n v="0"/>
    <x v="32"/>
    <x v="37"/>
  </r>
  <r>
    <s v="3"/>
    <x v="11"/>
    <s v="3.1.3 A"/>
    <s v="P0536"/>
    <s v="Počet zahraničných subjektov"/>
    <x v="0"/>
    <m/>
    <m/>
    <n v="0"/>
    <n v="0"/>
    <n v="0"/>
    <n v="0"/>
    <x v="0"/>
    <x v="0"/>
  </r>
  <r>
    <s v="3"/>
    <x v="11"/>
    <s v="3.1.3 A"/>
    <s v="P0557"/>
    <s v="Počet zariadení na elimináciu rizík súvisiacich so zmenou klímy"/>
    <x v="0"/>
    <m/>
    <m/>
    <n v="0"/>
    <n v="0"/>
    <n v="0"/>
    <n v="0"/>
    <x v="0"/>
    <x v="0"/>
  </r>
  <r>
    <s v="3"/>
    <x v="11"/>
    <s v="3.1.3 A"/>
    <s v="P0688"/>
    <s v="Zníženie materiálnych škôd posilnením intervenčných kapacít"/>
    <x v="11"/>
    <m/>
    <m/>
    <n v="0"/>
    <n v="0"/>
    <n v="0"/>
    <n v="0"/>
    <x v="0"/>
    <x v="0"/>
  </r>
  <r>
    <s v="3"/>
    <x v="11"/>
    <s v="3.1.3 B"/>
    <s v="P0529"/>
    <s v="Počet vytvorených špecializovaných záchranných modulov"/>
    <x v="0"/>
    <m/>
    <m/>
    <n v="4"/>
    <n v="0"/>
    <n v="2.8289078523456057"/>
    <n v="4"/>
    <x v="33"/>
    <x v="38"/>
  </r>
  <r>
    <s v="3"/>
    <x v="11"/>
    <s v="3.1.3 B"/>
    <s v="P0557"/>
    <s v="Počet zariadení na elimináciu rizík súvisiacich so zmenou klímy"/>
    <x v="0"/>
    <m/>
    <m/>
    <n v="4"/>
    <n v="20"/>
    <n v="78.936672243383441"/>
    <n v="166"/>
    <x v="0"/>
    <x v="0"/>
  </r>
  <r>
    <s v="4"/>
    <x v="12"/>
    <s v="4.1.1 A"/>
    <s v="P0080"/>
    <s v="Množstvo elektrickej energie vyrobenej v zariadení OZE"/>
    <x v="12"/>
    <m/>
    <m/>
    <n v="0"/>
    <n v="0"/>
    <n v="0"/>
    <n v="0"/>
    <x v="0"/>
    <x v="0"/>
  </r>
  <r>
    <s v="4"/>
    <x v="12"/>
    <s v="4.1.1 A"/>
    <s v="P0084"/>
    <s v="Množstvo tepelnej energie vyrobenej v zariadení OZE"/>
    <x v="12"/>
    <m/>
    <m/>
    <n v="0"/>
    <n v="0"/>
    <n v="0"/>
    <n v="0"/>
    <x v="0"/>
    <x v="0"/>
  </r>
  <r>
    <s v="4"/>
    <x v="12"/>
    <s v="4.1.1 A"/>
    <s v="P0103"/>
    <s v="Odhadované ročné zníženie emisií skleníkových plynov"/>
    <x v="13"/>
    <m/>
    <m/>
    <n v="1"/>
    <n v="0"/>
    <n v="1517.5570515746235"/>
    <n v="9109.5"/>
    <x v="34"/>
    <x v="39"/>
  </r>
  <r>
    <s v="4"/>
    <x v="12"/>
    <s v="4.1.1 A"/>
    <s v="P0290"/>
    <s v="Počet podnikov, ktorým sa poskytuje podpora"/>
    <x v="14"/>
    <m/>
    <m/>
    <n v="1"/>
    <n v="0"/>
    <n v="0.16659059790050204"/>
    <n v="1"/>
    <x v="35"/>
    <x v="40"/>
  </r>
  <r>
    <s v="4"/>
    <x v="12"/>
    <s v="4.1.1 A"/>
    <s v="P0691"/>
    <s v="Zníženie produkcie emisií NOx"/>
    <x v="7"/>
    <m/>
    <m/>
    <n v="0"/>
    <n v="0"/>
    <n v="0"/>
    <n v="0"/>
    <x v="0"/>
    <x v="0"/>
  </r>
  <r>
    <s v="4"/>
    <x v="12"/>
    <s v="4.1.1 A"/>
    <s v="P0692"/>
    <s v="Zníženie produkcie emisií PM10"/>
    <x v="7"/>
    <m/>
    <m/>
    <n v="0"/>
    <n v="0"/>
    <n v="0"/>
    <n v="0"/>
    <x v="0"/>
    <x v="0"/>
  </r>
  <r>
    <s v="4"/>
    <x v="12"/>
    <s v="4.1.1 A"/>
    <s v="P0694"/>
    <s v="Zníženie produkcie emisií SO2"/>
    <x v="7"/>
    <m/>
    <m/>
    <n v="0"/>
    <n v="0"/>
    <n v="0"/>
    <n v="0"/>
    <x v="0"/>
    <x v="0"/>
  </r>
  <r>
    <s v="4"/>
    <x v="12"/>
    <s v="4.1.1 A"/>
    <s v="P0705"/>
    <s v="Zvýšená kapacita výroby elektriny z obnoviteľných zdrojov"/>
    <x v="15"/>
    <m/>
    <m/>
    <n v="1"/>
    <n v="0"/>
    <n v="0.33318119580100408"/>
    <n v="2"/>
    <x v="36"/>
    <x v="41"/>
  </r>
  <r>
    <s v="4"/>
    <x v="12"/>
    <s v="4.1.1 A"/>
    <s v="P0706"/>
    <s v="Zvýšená kapacita výroby energie z obnoviteľných zdrojov"/>
    <x v="6"/>
    <m/>
    <m/>
    <n v="1"/>
    <n v="0"/>
    <n v="3.3318119580100412"/>
    <n v="20"/>
    <x v="37"/>
    <x v="42"/>
  </r>
  <r>
    <s v="4"/>
    <x v="12"/>
    <s v="4.1.1 A"/>
    <s v="P0707"/>
    <s v="Zvýšená kapacita výroby tepla z obnoviteľných zdrojov"/>
    <x v="16"/>
    <m/>
    <m/>
    <n v="1"/>
    <n v="0"/>
    <n v="2.8320401643085349"/>
    <n v="17"/>
    <x v="38"/>
    <x v="43"/>
  </r>
  <r>
    <s v="4"/>
    <x v="12"/>
    <s v="4.1.1 B"/>
    <s v="P0065"/>
    <s v="Inštalovaný výkon zariadenia na výrobu  biometánu"/>
    <x v="6"/>
    <m/>
    <m/>
    <n v="0"/>
    <n v="0"/>
    <n v="0"/>
    <n v="0"/>
    <x v="0"/>
    <x v="0"/>
  </r>
  <r>
    <s v="4"/>
    <x v="12"/>
    <s v="4.1.1 B"/>
    <s v="P0080"/>
    <s v="Množstvo elektrickej energie vyrobenej v zariadení OZE"/>
    <x v="12"/>
    <m/>
    <m/>
    <n v="0"/>
    <n v="0"/>
    <n v="0"/>
    <n v="0"/>
    <x v="0"/>
    <x v="0"/>
  </r>
  <r>
    <s v="4"/>
    <x v="12"/>
    <s v="4.1.1 B"/>
    <s v="P0084"/>
    <s v="Množstvo tepelnej energie vyrobenej v zariadení OZE"/>
    <x v="12"/>
    <m/>
    <m/>
    <n v="0"/>
    <n v="0"/>
    <n v="0"/>
    <n v="0"/>
    <x v="0"/>
    <x v="0"/>
  </r>
  <r>
    <s v="4"/>
    <x v="12"/>
    <s v="4.1.1 B"/>
    <s v="P0086"/>
    <s v="Množstvo vyrobeného biometánu (energetický obsah)"/>
    <x v="12"/>
    <m/>
    <m/>
    <n v="0"/>
    <n v="0"/>
    <n v="0"/>
    <n v="0"/>
    <x v="0"/>
    <x v="0"/>
  </r>
  <r>
    <s v="4"/>
    <x v="12"/>
    <s v="4.1.1 B"/>
    <s v="P0103"/>
    <s v="Odhadované ročné zníženie emisií skleníkových plynov"/>
    <x v="13"/>
    <m/>
    <m/>
    <n v="1"/>
    <n v="0"/>
    <n v="1517.5570515746235"/>
    <n v="9109.5"/>
    <x v="34"/>
    <x v="39"/>
  </r>
  <r>
    <s v="4"/>
    <x v="12"/>
    <s v="4.1.1 B"/>
    <s v="P0290"/>
    <s v="Počet podnikov, ktorým sa poskytuje podpora"/>
    <x v="14"/>
    <m/>
    <m/>
    <n v="1"/>
    <n v="0"/>
    <n v="0.16659059790050204"/>
    <n v="1"/>
    <x v="35"/>
    <x v="40"/>
  </r>
  <r>
    <s v="4"/>
    <x v="12"/>
    <s v="4.1.1 B"/>
    <s v="P0705"/>
    <s v="Zvýšená kapacita výroby elektriny z obnoviteľných zdrojov"/>
    <x v="15"/>
    <m/>
    <m/>
    <n v="1"/>
    <n v="0"/>
    <n v="0.33318119580100408"/>
    <n v="2"/>
    <x v="36"/>
    <x v="41"/>
  </r>
  <r>
    <s v="4"/>
    <x v="12"/>
    <s v="4.1.1 B"/>
    <s v="P0706"/>
    <s v="Zvýšená kapacita výroby energie z obnoviteľných zdrojov"/>
    <x v="6"/>
    <m/>
    <m/>
    <n v="1"/>
    <n v="0"/>
    <n v="3.3318119580100412"/>
    <n v="20"/>
    <x v="37"/>
    <x v="42"/>
  </r>
  <r>
    <s v="4"/>
    <x v="12"/>
    <s v="4.1.1 B"/>
    <s v="P0707"/>
    <s v="Zvýšená kapacita výroby tepla z obnoviteľných zdrojov"/>
    <x v="16"/>
    <m/>
    <m/>
    <n v="1"/>
    <n v="0"/>
    <n v="2.9986307622090371"/>
    <n v="18"/>
    <x v="38"/>
    <x v="43"/>
  </r>
  <r>
    <s v="4"/>
    <x v="12"/>
    <s v="4.1.1 C"/>
    <s v="P0103"/>
    <s v="Odhadované ročné zníženie emisií skleníkových plynov"/>
    <x v="13"/>
    <m/>
    <m/>
    <n v="1"/>
    <n v="23712.209200000001"/>
    <n v="23712.209200000001"/>
    <n v="13590.02"/>
    <x v="34"/>
    <x v="39"/>
  </r>
  <r>
    <s v="4"/>
    <x v="12"/>
    <s v="4.1.1 C"/>
    <s v="P0182"/>
    <s v="Počet malých zariadení na využívanie OZE"/>
    <x v="0"/>
    <m/>
    <m/>
    <n v="1"/>
    <n v="10572"/>
    <n v="13500"/>
    <n v="13500"/>
    <x v="39"/>
    <x v="44"/>
  </r>
  <r>
    <s v="4"/>
    <x v="12"/>
    <s v="4.1.1 C"/>
    <s v="P0705"/>
    <s v="Zvýšená kapacita výroby elektriny z obnoviteľných zdrojov"/>
    <x v="15"/>
    <m/>
    <m/>
    <n v="1"/>
    <n v="6.5781999999999998"/>
    <n v="17"/>
    <n v="17"/>
    <x v="36"/>
    <x v="41"/>
  </r>
  <r>
    <s v="4"/>
    <x v="12"/>
    <s v="4.1.1 C"/>
    <s v="P0706"/>
    <s v="Zvýšená kapacita výroby energie z obnoviteľných zdrojov"/>
    <x v="6"/>
    <m/>
    <m/>
    <n v="1"/>
    <n v="74.993200000000002"/>
    <n v="74.993200000000002"/>
    <n v="50"/>
    <x v="37"/>
    <x v="42"/>
  </r>
  <r>
    <s v="4"/>
    <x v="12"/>
    <s v="4.1.1 C"/>
    <s v="P0707"/>
    <s v="Zvýšená kapacita výroby tepla z obnoviteľných zdrojov"/>
    <x v="16"/>
    <m/>
    <m/>
    <n v="1"/>
    <n v="68.414900000000003"/>
    <n v="68.414900000000003"/>
    <n v="33"/>
    <x v="38"/>
    <x v="43"/>
  </r>
  <r>
    <s v="4"/>
    <x v="13"/>
    <s v="4.1.2 A"/>
    <s v="P0103"/>
    <s v="Odhadované ročné zníženie emisií skleníkových plynov"/>
    <x v="13"/>
    <m/>
    <m/>
    <n v="1"/>
    <n v="993.41150000000005"/>
    <n v="1448.3"/>
    <n v="1448.3"/>
    <x v="40"/>
    <x v="45"/>
  </r>
  <r>
    <s v="4"/>
    <x v="13"/>
    <s v="4.1.2 A"/>
    <s v="P0182"/>
    <s v="Počet malých zariadení na využívanie OZE"/>
    <x v="0"/>
    <m/>
    <m/>
    <n v="1"/>
    <n v="719"/>
    <n v="800"/>
    <n v="800"/>
    <x v="41"/>
    <x v="46"/>
  </r>
  <r>
    <s v="4"/>
    <x v="13"/>
    <s v="4.1.2 A"/>
    <s v="P0705"/>
    <s v="Zvýšená kapacita výroby elektriny z obnoviteľných zdrojov"/>
    <x v="15"/>
    <m/>
    <m/>
    <n v="1"/>
    <n v="0.45590000000000003"/>
    <n v="2"/>
    <n v="2"/>
    <x v="42"/>
    <x v="47"/>
  </r>
  <r>
    <s v="4"/>
    <x v="13"/>
    <s v="4.1.2 A"/>
    <s v="P0706"/>
    <s v="Zvýšená kapacita výroby energie z obnoviteľných zdrojov"/>
    <x v="6"/>
    <m/>
    <m/>
    <n v="1"/>
    <n v="3.7764000000000002"/>
    <n v="5"/>
    <n v="5"/>
    <x v="43"/>
    <x v="48"/>
  </r>
  <r>
    <s v="4"/>
    <x v="13"/>
    <s v="4.1.2 A"/>
    <s v="P0707"/>
    <s v="Zvýšená kapacita výroby tepla z obnoviteľných zdrojov"/>
    <x v="16"/>
    <m/>
    <m/>
    <n v="1"/>
    <n v="3.3205"/>
    <n v="3.3205"/>
    <n v="3"/>
    <x v="44"/>
    <x v="49"/>
  </r>
  <r>
    <s v="4"/>
    <x v="14"/>
    <s v="4.2.1 A"/>
    <s v="P0160"/>
    <s v="Počet energetických auditov"/>
    <x v="0"/>
    <m/>
    <m/>
    <n v="0"/>
    <n v="0"/>
    <n v="0"/>
    <n v="0"/>
    <x v="45"/>
    <x v="50"/>
  </r>
  <r>
    <s v="4"/>
    <x v="14"/>
    <s v="4.2.1 B"/>
    <s v="P0080"/>
    <s v="Množstvo elektrickej energie vyrobenej v zariadení OZE"/>
    <x v="12"/>
    <m/>
    <m/>
    <n v="0"/>
    <n v="0"/>
    <n v="0"/>
    <n v="0"/>
    <x v="0"/>
    <x v="0"/>
  </r>
  <r>
    <s v="4"/>
    <x v="14"/>
    <s v="4.2.1 B"/>
    <s v="P0084"/>
    <s v="Množstvo tepelnej energie vyrobenej v zariadení OZE"/>
    <x v="12"/>
    <m/>
    <m/>
    <n v="0"/>
    <n v="0"/>
    <n v="0"/>
    <n v="0"/>
    <x v="0"/>
    <x v="0"/>
  </r>
  <r>
    <s v="4"/>
    <x v="14"/>
    <s v="4.2.1 B"/>
    <s v="P0103"/>
    <s v="Odhadované ročné zníženie emisií skleníkových plynov"/>
    <x v="13"/>
    <m/>
    <m/>
    <n v="1"/>
    <n v="0"/>
    <n v="3162.5559105431307"/>
    <n v="18984"/>
    <x v="46"/>
    <x v="51"/>
  </r>
  <r>
    <s v="4"/>
    <x v="14"/>
    <s v="4.2.1 B"/>
    <s v="P0248"/>
    <s v="Počet opatrení energetickej efektívnosti realizovaných v podnikoch"/>
    <x v="0"/>
    <m/>
    <m/>
    <n v="1"/>
    <n v="0"/>
    <n v="9.1624828845276127"/>
    <n v="55"/>
    <x v="47"/>
    <x v="52"/>
  </r>
  <r>
    <s v="4"/>
    <x v="14"/>
    <s v="4.2.1 B"/>
    <s v="P0281"/>
    <s v="Počet podnikov s registrovaným EMAS a zavedeným systémom environmentálneho manažérstva"/>
    <x v="0"/>
    <m/>
    <m/>
    <n v="1"/>
    <n v="0"/>
    <n v="1.3327247832040163"/>
    <n v="8"/>
    <x v="48"/>
    <x v="53"/>
  </r>
  <r>
    <s v="4"/>
    <x v="14"/>
    <s v="4.2.1 B"/>
    <s v="P0290"/>
    <s v="Počet podnikov, ktorým sa poskytuje podpora"/>
    <x v="14"/>
    <m/>
    <m/>
    <n v="1"/>
    <n v="0"/>
    <n v="7.4965769055225921"/>
    <n v="45"/>
    <x v="35"/>
    <x v="40"/>
  </r>
  <r>
    <s v="4"/>
    <x v="14"/>
    <s v="4.2.1 B"/>
    <s v="P0370"/>
    <s v="Počet registrácií EMAS"/>
    <x v="0"/>
    <m/>
    <m/>
    <n v="0"/>
    <n v="0"/>
    <n v="0"/>
    <n v="0"/>
    <x v="0"/>
    <x v="0"/>
  </r>
  <r>
    <s v="4"/>
    <x v="14"/>
    <s v="4.2.1 B"/>
    <s v="P0573"/>
    <s v="Počet zavedených systémov energetického manažérstva"/>
    <x v="0"/>
    <m/>
    <m/>
    <n v="0"/>
    <n v="0"/>
    <n v="0"/>
    <n v="0"/>
    <x v="0"/>
    <x v="0"/>
  </r>
  <r>
    <s v="4"/>
    <x v="14"/>
    <s v="4.2.1 B"/>
    <s v="P0574"/>
    <s v="Počet zavedených systémov environmentálneho manažérstva"/>
    <x v="0"/>
    <m/>
    <m/>
    <n v="0"/>
    <n v="0"/>
    <n v="0"/>
    <n v="0"/>
    <x v="0"/>
    <x v="0"/>
  </r>
  <r>
    <s v="4"/>
    <x v="14"/>
    <s v="4.2.1 B"/>
    <s v="P0576"/>
    <s v="Počet zavedených systémov merania a riadenia"/>
    <x v="0"/>
    <m/>
    <m/>
    <n v="1"/>
    <n v="0"/>
    <n v="0.66636239160200816"/>
    <n v="4"/>
    <x v="49"/>
    <x v="54"/>
  </r>
  <r>
    <s v="4"/>
    <x v="14"/>
    <s v="4.2.1 B"/>
    <s v="P0608"/>
    <s v="Počet zavedených systémov environmentálneho manažérstva"/>
    <x v="0"/>
    <m/>
    <m/>
    <n v="0"/>
    <n v="0"/>
    <n v="0"/>
    <n v="0"/>
    <x v="0"/>
    <x v="0"/>
  </r>
  <r>
    <s v="4"/>
    <x v="14"/>
    <s v="4.2.1 B"/>
    <s v="P0618"/>
    <s v="Predpokladaná úspora PEZ v podniku podľa energetického auditu"/>
    <x v="12"/>
    <m/>
    <m/>
    <n v="1"/>
    <n v="0"/>
    <n v="8501.7845732542228"/>
    <n v="51034"/>
    <x v="50"/>
    <x v="55"/>
  </r>
  <r>
    <s v="4"/>
    <x v="14"/>
    <s v="4.2.1 B"/>
    <s v="P0629"/>
    <s v="Spotreba energie v podniku po realizácii opatrení energetickej efektívnosti"/>
    <x v="12"/>
    <m/>
    <m/>
    <n v="0"/>
    <n v="0"/>
    <n v="0"/>
    <n v="0"/>
    <x v="0"/>
    <x v="0"/>
  </r>
  <r>
    <s v="4"/>
    <x v="14"/>
    <s v="4.2.1 B"/>
    <s v="P0630"/>
    <s v="Spotreba energie v podniku pred realizáciou opatrení energetickej efektívnosti"/>
    <x v="12"/>
    <m/>
    <m/>
    <n v="0"/>
    <n v="0"/>
    <n v="0"/>
    <n v="0"/>
    <x v="0"/>
    <x v="0"/>
  </r>
  <r>
    <s v="4"/>
    <x v="14"/>
    <s v="4.2.1 B"/>
    <s v="P0657"/>
    <s v="Úspora PEZ v podniku"/>
    <x v="12"/>
    <m/>
    <m/>
    <n v="1"/>
    <n v="0"/>
    <n v="8501.7845732542228"/>
    <n v="51034"/>
    <x v="51"/>
    <x v="56"/>
  </r>
  <r>
    <s v="4"/>
    <x v="14"/>
    <s v="4.2.1 B"/>
    <s v="P0705"/>
    <s v="Zvýšená kapacita výroby elektriny z obnoviteľných zdrojov"/>
    <x v="15"/>
    <m/>
    <m/>
    <n v="1"/>
    <n v="0"/>
    <n v="0.66636239160200816"/>
    <n v="4"/>
    <x v="52"/>
    <x v="57"/>
  </r>
  <r>
    <s v="4"/>
    <x v="14"/>
    <s v="4.2.1 B"/>
    <s v="P0706"/>
    <s v="Zvýšená kapacita výroby energie z obnoviteľných zdrojov"/>
    <x v="6"/>
    <m/>
    <m/>
    <n v="1"/>
    <n v="0"/>
    <n v="1.6659059790050206"/>
    <n v="10"/>
    <x v="53"/>
    <x v="48"/>
  </r>
  <r>
    <s v="4"/>
    <x v="14"/>
    <s v="4.2.1 B"/>
    <s v="P0707"/>
    <s v="Zvýšená kapacita výroby tepla z obnoviteľných zdrojov"/>
    <x v="16"/>
    <m/>
    <m/>
    <n v="0"/>
    <n v="0"/>
    <n v="4"/>
    <n v="0"/>
    <x v="54"/>
    <x v="58"/>
  </r>
  <r>
    <s v="4"/>
    <x v="15"/>
    <s v="4.3.1 A"/>
    <s v="P0080"/>
    <s v="Množstvo elektrickej energie vyrobenej v zariadení OZE"/>
    <x v="12"/>
    <m/>
    <m/>
    <n v="293"/>
    <n v="0"/>
    <n v="295.09039999999999"/>
    <n v="432.56169999999997"/>
    <x v="0"/>
    <x v="0"/>
  </r>
  <r>
    <s v="4"/>
    <x v="15"/>
    <s v="4.3.1 A"/>
    <s v="P0084"/>
    <s v="Množstvo tepelnej energie vyrobenej v zariadení OZE"/>
    <x v="12"/>
    <m/>
    <m/>
    <n v="293"/>
    <n v="3.57"/>
    <n v="28919.608200000006"/>
    <n v="29315.538600000007"/>
    <x v="0"/>
    <x v="0"/>
  </r>
  <r>
    <s v="4"/>
    <x v="15"/>
    <s v="4.3.1 A"/>
    <s v="P0103"/>
    <s v="Odhadované ročné zníženie emisií skleníkových plynov"/>
    <x v="13"/>
    <m/>
    <m/>
    <n v="294"/>
    <n v="973.43690000000026"/>
    <n v="12276.8189"/>
    <n v="108603.19899999994"/>
    <x v="46"/>
    <x v="51"/>
  </r>
  <r>
    <s v="4"/>
    <x v="15"/>
    <s v="4.3.1 A"/>
    <s v="P0250"/>
    <s v="Počet opatrení na zníženie spotreby energie realizovaných vo verejnej budove"/>
    <x v="0"/>
    <m/>
    <m/>
    <n v="293"/>
    <n v="103"/>
    <n v="1081"/>
    <n v="1235"/>
    <x v="0"/>
    <x v="0"/>
  </r>
  <r>
    <s v="4"/>
    <x v="15"/>
    <s v="4.3.1 A"/>
    <s v="P0470"/>
    <s v="Počet verejných budov na úrovni nízkoenergetickej alebo ultranízkoenergetickej alebo s takmer nulovou potrebou energie"/>
    <x v="0"/>
    <m/>
    <m/>
    <n v="293"/>
    <n v="26"/>
    <n v="277"/>
    <n v="322"/>
    <x v="55"/>
    <x v="59"/>
  </r>
  <r>
    <s v="4"/>
    <x v="15"/>
    <s v="4.3.1 A"/>
    <s v="P0612"/>
    <s v="Podlahová plocha budov obnovených nad rámec minimálnych požiadaviek"/>
    <x v="17"/>
    <m/>
    <m/>
    <n v="293"/>
    <n v="33464.870000000003"/>
    <n v="429689.78140000004"/>
    <n v="508122.97139999998"/>
    <x v="56"/>
    <x v="60"/>
  </r>
  <r>
    <s v="4"/>
    <x v="15"/>
    <s v="4.3.1 A"/>
    <s v="P0627"/>
    <s v="Spotreba energie v budove po realizácii opatrení energetickej efektívnosti"/>
    <x v="17"/>
    <m/>
    <m/>
    <n v="293"/>
    <n v="0"/>
    <n v="81565.495400000029"/>
    <n v="87436.957400000014"/>
    <x v="0"/>
    <x v="0"/>
  </r>
  <r>
    <s v="4"/>
    <x v="15"/>
    <s v="4.3.1 A"/>
    <s v="P0628"/>
    <s v="Spotreba energie v budove pred realizáciou opatrení energetickej efektívnosti"/>
    <x v="17"/>
    <m/>
    <m/>
    <n v="293"/>
    <n v="357874.22569999995"/>
    <n v="292940.23700000002"/>
    <n v="305375.77279999986"/>
    <x v="0"/>
    <x v="0"/>
  </r>
  <r>
    <s v="4"/>
    <x v="15"/>
    <s v="4.3.1 A"/>
    <s v="P0687"/>
    <s v="Zníženie konečnej spotreby energie vo verejných budovách"/>
    <x v="17"/>
    <m/>
    <m/>
    <n v="294"/>
    <n v="52.237000000000002"/>
    <n v="39365200.357000001"/>
    <n v="53206003.8103"/>
    <x v="57"/>
    <x v="61"/>
  </r>
  <r>
    <s v="4"/>
    <x v="15"/>
    <s v="4.3.1 A"/>
    <s v="P0689"/>
    <s v="Zníženie potreby energie vo verejných budovách"/>
    <x v="17"/>
    <m/>
    <m/>
    <n v="293"/>
    <n v="2973781.8615999999"/>
    <n v="46034063.53800004"/>
    <n v="57489716.201000035"/>
    <x v="0"/>
    <x v="0"/>
  </r>
  <r>
    <s v="4"/>
    <x v="15"/>
    <s v="4.3.1 A"/>
    <s v="P0691"/>
    <s v="Zníženie produkcie emisií NOx"/>
    <x v="17"/>
    <m/>
    <m/>
    <n v="293"/>
    <n v="0"/>
    <n v="330537.26420000003"/>
    <n v="412833.93070000003"/>
    <x v="0"/>
    <x v="0"/>
  </r>
  <r>
    <s v="4"/>
    <x v="15"/>
    <s v="4.3.1 A"/>
    <s v="P0692"/>
    <s v="Zníženie produkcie emisií PM10"/>
    <x v="17"/>
    <m/>
    <m/>
    <n v="293"/>
    <n v="0"/>
    <n v="128565.62429999998"/>
    <n v="137503.57169999997"/>
    <x v="0"/>
    <x v="0"/>
  </r>
  <r>
    <s v="4"/>
    <x v="15"/>
    <s v="4.3.1 A"/>
    <s v="P0694"/>
    <s v="Zníženie produkcie emisií SO2"/>
    <x v="17"/>
    <m/>
    <m/>
    <n v="293"/>
    <n v="0"/>
    <n v="53894.493199999983"/>
    <n v="78537.34450000005"/>
    <x v="0"/>
    <x v="0"/>
  </r>
  <r>
    <s v="4"/>
    <x v="15"/>
    <s v="4.3.1 A"/>
    <s v="P0701"/>
    <s v="Zníženie ročnej spotreby primárnej energie vo verejných budovách  "/>
    <x v="17"/>
    <m/>
    <m/>
    <n v="294"/>
    <n v="51921.436999999998"/>
    <n v="56671783.012999982"/>
    <n v="81203302.442999989"/>
    <x v="58"/>
    <x v="62"/>
  </r>
  <r>
    <s v="4"/>
    <x v="15"/>
    <s v="4.3.1 A"/>
    <s v="P0705"/>
    <s v="Zvýšená kapacita výroby elektriny z obnoviteľných zdrojov"/>
    <x v="15"/>
    <m/>
    <m/>
    <n v="0"/>
    <n v="4.8000000000000001E-2"/>
    <n v="7.0108999999999995"/>
    <n v="13.107899999999999"/>
    <x v="0"/>
    <x v="0"/>
  </r>
  <r>
    <s v="4"/>
    <x v="15"/>
    <s v="4.3.1 A"/>
    <s v="P0706"/>
    <s v="Zvýšená kapacita výroby energie z obnoviteľných zdrojov"/>
    <x v="6"/>
    <m/>
    <m/>
    <n v="293"/>
    <n v="1.7876999999999998"/>
    <n v="141.19859999999994"/>
    <n v="175.44729999999996"/>
    <x v="53"/>
    <x v="48"/>
  </r>
  <r>
    <s v="4"/>
    <x v="15"/>
    <s v="4.3.1 A"/>
    <s v="P0707"/>
    <s v="Zvýšená kapacita výroby tepla z obnoviteľných zdrojov"/>
    <x v="16"/>
    <m/>
    <m/>
    <n v="293"/>
    <n v="1.7396999999999998"/>
    <n v="91.512800000000027"/>
    <n v="91.814000000000021"/>
    <x v="0"/>
    <x v="0"/>
  </r>
  <r>
    <s v="4"/>
    <x v="16"/>
    <s v="4.4.1 A"/>
    <s v="P0138"/>
    <s v="Počet aktualizovaných koncepcií rozvoja obcí v tepelnej energetike"/>
    <x v="0"/>
    <m/>
    <m/>
    <n v="0"/>
    <n v="0"/>
    <n v="0"/>
    <n v="0"/>
    <x v="0"/>
    <x v="0"/>
  </r>
  <r>
    <s v="4"/>
    <x v="16"/>
    <s v="4.4.1 A"/>
    <s v="P0150"/>
    <s v="Počet dočasne vytvorených pracovných miest počas doby realizácie projektu za účelom koordinácie prípravy konkrétnych projektov nízkouhlíkových opatrení zo schválených nízkouhlíkových stratégií."/>
    <x v="0"/>
    <m/>
    <m/>
    <n v="0"/>
    <n v="0"/>
    <n v="0"/>
    <n v="0"/>
    <x v="0"/>
    <x v="0"/>
  </r>
  <r>
    <s v="4"/>
    <x v="16"/>
    <s v="4.4.1 A"/>
    <s v="P0357"/>
    <s v="Počet pripravených projektov nízkouhlíkových opatrení"/>
    <x v="0"/>
    <m/>
    <m/>
    <n v="0"/>
    <n v="0"/>
    <n v="0"/>
    <n v="0"/>
    <x v="0"/>
    <x v="0"/>
  </r>
  <r>
    <s v="4"/>
    <x v="16"/>
    <s v="4.4.1 A"/>
    <s v="P0369"/>
    <s v="Počet regionálnych a lokálnych nízkouhlíkových stratégií"/>
    <x v="0"/>
    <m/>
    <m/>
    <n v="0"/>
    <n v="0"/>
    <n v="0"/>
    <n v="0"/>
    <x v="59"/>
    <x v="63"/>
  </r>
  <r>
    <s v="4"/>
    <x v="16"/>
    <s v="4.4.1 B"/>
    <s v="P0370"/>
    <s v="Počet registrácií EMAS"/>
    <x v="0"/>
    <m/>
    <m/>
    <n v="0"/>
    <n v="0"/>
    <n v="0"/>
    <n v="0"/>
    <x v="60"/>
    <x v="64"/>
  </r>
  <r>
    <s v="4"/>
    <x v="16"/>
    <s v="4.4.1 B"/>
    <s v="P0573"/>
    <s v="Počet zavedených systémov energetického manažérstva"/>
    <x v="0"/>
    <m/>
    <m/>
    <n v="0"/>
    <n v="0"/>
    <n v="0"/>
    <n v="0"/>
    <x v="61"/>
    <x v="65"/>
  </r>
  <r>
    <s v="4"/>
    <x v="16"/>
    <s v="4.4.1 B"/>
    <s v="P0574"/>
    <s v="Počet zavedených systémov environmentálneho manažérstva"/>
    <x v="0"/>
    <m/>
    <m/>
    <n v="0"/>
    <n v="0"/>
    <n v="0"/>
    <n v="0"/>
    <x v="60"/>
    <x v="64"/>
  </r>
  <r>
    <s v="4"/>
    <x v="16"/>
    <s v="4.4.1 C"/>
    <s v="P0160"/>
    <s v="Počet energetických auditov"/>
    <x v="0"/>
    <m/>
    <m/>
    <n v="0"/>
    <n v="0"/>
    <n v="0"/>
    <n v="0"/>
    <x v="45"/>
    <x v="50"/>
  </r>
  <r>
    <s v="4"/>
    <x v="16"/>
    <s v="4.4.1 C"/>
    <s v="P0358"/>
    <s v="Počet pripravených projektov realizovaných prostredníctvom poskytnutia energetickej služby"/>
    <x v="0"/>
    <m/>
    <m/>
    <n v="0"/>
    <n v="0"/>
    <n v="0"/>
    <n v="0"/>
    <x v="0"/>
    <x v="0"/>
  </r>
  <r>
    <s v="4"/>
    <x v="16"/>
    <s v="4.4.1 D"/>
    <s v="P0271"/>
    <s v="Počet osôb zapojených do informačných aktivít"/>
    <x v="0"/>
    <m/>
    <m/>
    <n v="1"/>
    <n v="39690"/>
    <n v="0"/>
    <n v="6500"/>
    <x v="0"/>
    <x v="0"/>
  </r>
  <r>
    <s v="4"/>
    <x v="16"/>
    <s v="4.4.1 D"/>
    <s v="P0589"/>
    <s v="Počet zrealizovaných informačných aktivít"/>
    <x v="0"/>
    <m/>
    <m/>
    <n v="1"/>
    <n v="18"/>
    <n v="0"/>
    <n v="2500"/>
    <x v="1"/>
    <x v="1"/>
  </r>
  <r>
    <s v="4"/>
    <x v="16"/>
    <s v="4.4.1 E"/>
    <s v="P0160"/>
    <s v="Počet energetických auditov"/>
    <x v="0"/>
    <m/>
    <m/>
    <n v="0"/>
    <n v="0"/>
    <n v="0"/>
    <n v="0"/>
    <x v="45"/>
    <x v="50"/>
  </r>
  <r>
    <s v="4"/>
    <x v="16"/>
    <s v="4.4.1 E"/>
    <s v="P0166"/>
    <s v="Počet informačných materiálov"/>
    <x v="0"/>
    <m/>
    <m/>
    <n v="0"/>
    <n v="0"/>
    <n v="0"/>
    <n v="0"/>
    <x v="0"/>
    <x v="0"/>
  </r>
  <r>
    <s v="4"/>
    <x v="16"/>
    <s v="4.4.1 E"/>
    <s v="P0575"/>
    <s v="Počet zavedených systémov kontinuálneho zvyšovania informovanosti"/>
    <x v="0"/>
    <m/>
    <m/>
    <n v="0"/>
    <n v="0"/>
    <n v="0"/>
    <n v="0"/>
    <x v="62"/>
    <x v="66"/>
  </r>
  <r>
    <s v="4"/>
    <x v="16"/>
    <s v="4.4.1 F"/>
    <s v="P0218"/>
    <s v="Počet nových funkcionalít monitorovacieho systému"/>
    <x v="0"/>
    <m/>
    <m/>
    <n v="0"/>
    <n v="0"/>
    <n v="0"/>
    <n v="0"/>
    <x v="0"/>
    <x v="0"/>
  </r>
  <r>
    <s v="4"/>
    <x v="16"/>
    <s v="4.4.1 F"/>
    <s v="P0625"/>
    <s v="Rozšírený monitorovací systém nízkouhlíkových opatrení"/>
    <x v="17"/>
    <m/>
    <m/>
    <n v="0"/>
    <n v="0"/>
    <n v="0"/>
    <n v="0"/>
    <x v="0"/>
    <x v="0"/>
  </r>
  <r>
    <s v="4"/>
    <x v="16"/>
    <s v="4.4.1 F"/>
    <s v="P0758"/>
    <s v="Počet monitorovaných budov"/>
    <x v="0"/>
    <m/>
    <m/>
    <n v="0"/>
    <n v="0"/>
    <n v="0"/>
    <n v="0"/>
    <x v="0"/>
    <x v="0"/>
  </r>
  <r>
    <s v="4"/>
    <x v="17"/>
    <s v="4.5.1 A"/>
    <s v="P0103"/>
    <s v="Odhadované ročné zníženie emisií skleníkových plynov"/>
    <x v="17"/>
    <m/>
    <m/>
    <n v="4"/>
    <n v="0"/>
    <n v="0"/>
    <n v="2685.16"/>
    <x v="46"/>
    <x v="51"/>
  </r>
  <r>
    <s v="4"/>
    <x v="17"/>
    <s v="4.5.1 A"/>
    <s v="P0414"/>
    <s v="Počet systémov centralizovaného zásobovania teplom s vyššou účinnosťou"/>
    <x v="0"/>
    <m/>
    <m/>
    <n v="4"/>
    <n v="0"/>
    <n v="0"/>
    <n v="4"/>
    <x v="63"/>
    <x v="67"/>
  </r>
  <r>
    <s v="4"/>
    <x v="17"/>
    <s v="4.5.1 A"/>
    <s v="P0655"/>
    <s v="Úspora PEZ v systémoch centralizovaného zásobovania teplom"/>
    <x v="17"/>
    <m/>
    <m/>
    <n v="4"/>
    <n v="0"/>
    <n v="0"/>
    <n v="6565.5599999999995"/>
    <x v="64"/>
    <x v="68"/>
  </r>
  <r>
    <s v="4"/>
    <x v="17"/>
    <s v="4.5.1 B"/>
    <s v="P0085"/>
    <s v="Množstvo tepla vyrobeného vysoko účinnou kombinovanou výrobou založenou na dopyte po využiteľnom teple"/>
    <x v="17"/>
    <m/>
    <m/>
    <n v="0"/>
    <n v="0"/>
    <n v="0"/>
    <n v="0"/>
    <x v="65"/>
    <x v="69"/>
  </r>
  <r>
    <s v="4"/>
    <x v="17"/>
    <s v="4.5.1 B"/>
    <s v="P0103"/>
    <s v="Odhadované ročné zníženie emisií skleníkových plynov"/>
    <x v="17"/>
    <m/>
    <m/>
    <n v="0"/>
    <n v="0"/>
    <n v="0"/>
    <n v="0"/>
    <x v="46"/>
    <x v="51"/>
  </r>
  <r>
    <s v="4"/>
    <x v="17"/>
    <s v="4.5.1 B"/>
    <s v="P0656"/>
    <s v="Úspora PEZ v zariadeniach pre vysoko účinnú kombinovanú výrobu elektriny a tepla"/>
    <x v="17"/>
    <m/>
    <m/>
    <n v="0"/>
    <n v="0"/>
    <n v="0"/>
    <n v="0"/>
    <x v="0"/>
    <x v="0"/>
  </r>
  <r>
    <s v="4"/>
    <x v="17"/>
    <s v="4.5.1 B"/>
    <s v="P0709"/>
    <s v="Zvýšenie inštalovaného výkonu zariadení na výrobu elektriny a tepla vysoko účinnou kombinovanou výrobou založenou na dopyte po využiteľnom teple"/>
    <x v="17"/>
    <m/>
    <m/>
    <n v="0"/>
    <n v="0"/>
    <n v="0"/>
    <n v="0"/>
    <x v="66"/>
    <x v="70"/>
  </r>
  <r>
    <s v="5"/>
    <x v="18"/>
    <s v="5.1.1 A - MRR"/>
    <s v="P0594"/>
    <s v="Počet zrealizovaných pracovných ciest"/>
    <x v="0"/>
    <m/>
    <m/>
    <m/>
    <m/>
    <m/>
    <m/>
    <x v="0"/>
    <x v="0"/>
  </r>
  <r>
    <s v="5"/>
    <x v="18"/>
    <s v="5.1.1 A - MRR"/>
    <s v="P0596"/>
    <s v="Počet zrealizovaných vzdelávacích aktivít"/>
    <x v="0"/>
    <m/>
    <m/>
    <m/>
    <m/>
    <m/>
    <m/>
    <x v="67"/>
    <x v="71"/>
  </r>
  <r>
    <s v="5"/>
    <x v="18"/>
    <s v="5.1.1 B - MRR"/>
    <s v="P0130"/>
    <s v="Počet administratívnych kapacít financovaných z technickej pomoci"/>
    <x v="0"/>
    <m/>
    <m/>
    <m/>
    <m/>
    <m/>
    <m/>
    <x v="68"/>
    <x v="72"/>
  </r>
  <r>
    <s v="5"/>
    <x v="18"/>
    <s v="5.1.1 B - MRR"/>
    <s v="P0741"/>
    <s v="Počet refundovaných hodín zamestnancov mimopracovného pomeru"/>
    <x v="0"/>
    <m/>
    <m/>
    <m/>
    <m/>
    <m/>
    <m/>
    <x v="0"/>
    <x v="0"/>
  </r>
  <r>
    <s v="5"/>
    <x v="18"/>
    <s v="5.1.1 C - MRR"/>
    <s v="P0131"/>
    <s v="Počet administratívnych kapacít vybavených materiálno-technickým vybavením z TP"/>
    <x v="0"/>
    <m/>
    <m/>
    <m/>
    <m/>
    <m/>
    <m/>
    <x v="69"/>
    <x v="73"/>
  </r>
  <r>
    <s v="5"/>
    <x v="18"/>
    <s v="5.1.1 C - MRR"/>
    <s v="P0219"/>
    <s v="Počet nových IKT zariadení"/>
    <x v="0"/>
    <m/>
    <m/>
    <m/>
    <m/>
    <m/>
    <m/>
    <x v="0"/>
    <x v="0"/>
  </r>
  <r>
    <s v="5"/>
    <x v="18"/>
    <s v="5.1.1 C - MRR"/>
    <s v="P0594"/>
    <s v="Počet zrealizovaných pracovných ciest"/>
    <x v="0"/>
    <m/>
    <m/>
    <m/>
    <m/>
    <m/>
    <m/>
    <x v="0"/>
    <x v="0"/>
  </r>
  <r>
    <s v="5"/>
    <x v="18"/>
    <s v="5.1.1 C - MRR"/>
    <s v="P0749"/>
    <s v="Počet dodaných informačných a komunikačných technológii"/>
    <x v="0"/>
    <m/>
    <m/>
    <m/>
    <m/>
    <m/>
    <m/>
    <x v="0"/>
    <x v="0"/>
  </r>
  <r>
    <s v="5"/>
    <x v="18"/>
    <s v="5.1.1 C - MRR"/>
    <s v="P0851"/>
    <s v="Počet účastníkov zrealizovaných pracovných ciest"/>
    <x v="0"/>
    <m/>
    <m/>
    <m/>
    <m/>
    <m/>
    <m/>
    <x v="0"/>
    <x v="0"/>
  </r>
  <r>
    <s v="5"/>
    <x v="18"/>
    <s v="5.1.1 D - MRR"/>
    <s v="P0349"/>
    <s v="Počet preložených dokumentov do cudzieho jazyka"/>
    <x v="0"/>
    <m/>
    <m/>
    <m/>
    <m/>
    <m/>
    <m/>
    <x v="0"/>
    <x v="0"/>
  </r>
  <r>
    <s v="5"/>
    <x v="18"/>
    <s v="5.1.1 D - MRR"/>
    <s v="P0379"/>
    <s v="Počet rokovaní s využitím tlmočníckych služieb"/>
    <x v="0"/>
    <m/>
    <m/>
    <m/>
    <m/>
    <m/>
    <m/>
    <x v="0"/>
    <x v="0"/>
  </r>
  <r>
    <s v="5"/>
    <x v="18"/>
    <s v="5.1.1 D - MRR"/>
    <s v="P0588"/>
    <s v="Počet zrealizovaných hodnotení, analýz a štúdií"/>
    <x v="0"/>
    <m/>
    <m/>
    <m/>
    <m/>
    <m/>
    <m/>
    <x v="70"/>
    <x v="74"/>
  </r>
  <r>
    <s v="5"/>
    <x v="18"/>
    <s v="5.1.1 D - MRR"/>
    <s v="P0747"/>
    <s v="Počet zrealizovaných aktivít, alebo poskytnutých služieb"/>
    <x v="0"/>
    <m/>
    <m/>
    <m/>
    <m/>
    <m/>
    <m/>
    <x v="0"/>
    <x v="0"/>
  </r>
  <r>
    <s v="5"/>
    <x v="18"/>
    <s v="5.1.1 A - VRR"/>
    <s v="P0594"/>
    <s v="Počet zrealizovaných pracovných ciest"/>
    <x v="0"/>
    <m/>
    <m/>
    <m/>
    <m/>
    <m/>
    <m/>
    <x v="0"/>
    <x v="0"/>
  </r>
  <r>
    <s v="5"/>
    <x v="18"/>
    <s v="5.1.1 A - VRR"/>
    <s v="P0596"/>
    <s v="Počet zrealizovaných vzdelávacích aktivít"/>
    <x v="0"/>
    <m/>
    <m/>
    <m/>
    <m/>
    <m/>
    <m/>
    <x v="71"/>
    <x v="71"/>
  </r>
  <r>
    <s v="5"/>
    <x v="18"/>
    <s v="5.1.1 B - VRR"/>
    <s v="P0130"/>
    <s v="Počet administratívnych kapacít financovaných z technickej pomoci"/>
    <x v="0"/>
    <m/>
    <m/>
    <m/>
    <m/>
    <m/>
    <m/>
    <x v="72"/>
    <x v="72"/>
  </r>
  <r>
    <s v="5"/>
    <x v="18"/>
    <s v="5.1.1 B - VRR"/>
    <s v="P0741"/>
    <s v="Počet refundovaných hodín zamestnancov mimopracovného pomeru"/>
    <x v="0"/>
    <m/>
    <m/>
    <m/>
    <m/>
    <m/>
    <m/>
    <x v="0"/>
    <x v="0"/>
  </r>
  <r>
    <s v="5"/>
    <x v="18"/>
    <s v="5.1.1 C - VRR"/>
    <s v="P0131"/>
    <s v="Počet administratívnych kapacít vybavených materiálno-technickým vybavením z TP"/>
    <x v="0"/>
    <m/>
    <m/>
    <m/>
    <m/>
    <m/>
    <m/>
    <x v="69"/>
    <x v="75"/>
  </r>
  <r>
    <s v="5"/>
    <x v="18"/>
    <s v="5.1.1 C - VRR"/>
    <s v="P0219"/>
    <s v="Počet nových IKT zariadení"/>
    <x v="0"/>
    <m/>
    <m/>
    <m/>
    <m/>
    <m/>
    <m/>
    <x v="0"/>
    <x v="0"/>
  </r>
  <r>
    <s v="5"/>
    <x v="18"/>
    <s v="5.1.1 C - VRR"/>
    <s v="P0594"/>
    <s v="Počet zrealizovaných pracovných ciest"/>
    <x v="0"/>
    <m/>
    <m/>
    <m/>
    <m/>
    <m/>
    <m/>
    <x v="0"/>
    <x v="0"/>
  </r>
  <r>
    <s v="5"/>
    <x v="18"/>
    <s v="5.1.1 C - VRR"/>
    <s v="P0749"/>
    <s v="Počet dodaných informačných a komunikačných technológii"/>
    <x v="0"/>
    <m/>
    <m/>
    <m/>
    <m/>
    <m/>
    <m/>
    <x v="0"/>
    <x v="0"/>
  </r>
  <r>
    <s v="5"/>
    <x v="18"/>
    <s v="5.1.1 C - VRR"/>
    <s v="P0851"/>
    <s v="Počet účastníkov zrealizovaných pracovných ciest"/>
    <x v="0"/>
    <m/>
    <m/>
    <m/>
    <m/>
    <m/>
    <m/>
    <x v="0"/>
    <x v="0"/>
  </r>
  <r>
    <s v="5"/>
    <x v="18"/>
    <s v="5.1.1 D - VRR"/>
    <s v="P0349"/>
    <s v="Počet preložených dokumentov do cudzieho jazyka"/>
    <x v="0"/>
    <m/>
    <m/>
    <m/>
    <m/>
    <m/>
    <m/>
    <x v="0"/>
    <x v="0"/>
  </r>
  <r>
    <s v="5"/>
    <x v="18"/>
    <s v="5.1.1 D - VRR"/>
    <s v="P0379"/>
    <s v="Počet rokovaní s využitím tlmočníckych služieb"/>
    <x v="0"/>
    <m/>
    <m/>
    <m/>
    <m/>
    <m/>
    <m/>
    <x v="0"/>
    <x v="0"/>
  </r>
  <r>
    <s v="5"/>
    <x v="18"/>
    <s v="5.1.1 D - VRR"/>
    <s v="P0588"/>
    <s v="Počet zrealizovaných hodnotení, analýz a štúdií"/>
    <x v="0"/>
    <m/>
    <m/>
    <m/>
    <m/>
    <m/>
    <m/>
    <x v="73"/>
    <x v="74"/>
  </r>
  <r>
    <s v="5"/>
    <x v="18"/>
    <s v="5.1.1 D - VRR"/>
    <s v="P0747"/>
    <s v="Počet zrealizovaných aktivít, alebo poskytnutých služieb"/>
    <x v="0"/>
    <m/>
    <m/>
    <m/>
    <m/>
    <m/>
    <m/>
    <x v="0"/>
    <x v="0"/>
  </r>
  <r>
    <s v="5"/>
    <x v="19"/>
    <s v="5.1.2 A - MRR"/>
    <s v="P0184"/>
    <s v="Počet mediálnych výstupov"/>
    <x v="0"/>
    <m/>
    <m/>
    <m/>
    <m/>
    <m/>
    <m/>
    <x v="0"/>
    <x v="0"/>
  </r>
  <r>
    <s v="5"/>
    <x v="19"/>
    <s v="5.1.2 A - MRR"/>
    <s v="P0589"/>
    <s v="Počet zrealizovaných informačných aktivít"/>
    <x v="0"/>
    <m/>
    <m/>
    <m/>
    <m/>
    <m/>
    <m/>
    <x v="1"/>
    <x v="1"/>
  </r>
  <r>
    <s v="5"/>
    <x v="19"/>
    <s v="5.1.2 A - MRR"/>
    <s v="P0877"/>
    <s v="Počet mediálnych kampaní"/>
    <x v="0"/>
    <m/>
    <m/>
    <m/>
    <m/>
    <m/>
    <m/>
    <x v="0"/>
    <x v="0"/>
  </r>
  <r>
    <s v="5"/>
    <x v="19"/>
    <s v="5.1.2 B - MRR"/>
    <s v="P0184"/>
    <s v="Počet mediálnych výstupov"/>
    <x v="0"/>
    <m/>
    <m/>
    <m/>
    <m/>
    <m/>
    <m/>
    <x v="0"/>
    <x v="0"/>
  </r>
  <r>
    <s v="5"/>
    <x v="19"/>
    <s v="5.1.2 B - MRR"/>
    <s v="P0589"/>
    <s v="Počet zrealizovaných informačných aktivít"/>
    <x v="0"/>
    <m/>
    <m/>
    <m/>
    <m/>
    <m/>
    <m/>
    <x v="1"/>
    <x v="1"/>
  </r>
  <r>
    <s v="5"/>
    <x v="19"/>
    <s v="5.1.2 B - MRR"/>
    <s v="P0877"/>
    <s v="Počet mediálnych kampaní"/>
    <x v="0"/>
    <m/>
    <m/>
    <m/>
    <m/>
    <m/>
    <m/>
    <x v="0"/>
    <x v="0"/>
  </r>
  <r>
    <s v="5"/>
    <x v="19"/>
    <s v="5.1.2 A - VRR"/>
    <s v="P0184"/>
    <s v="Počet mediálnych výstupov"/>
    <x v="0"/>
    <m/>
    <m/>
    <m/>
    <m/>
    <m/>
    <m/>
    <x v="0"/>
    <x v="0"/>
  </r>
  <r>
    <s v="5"/>
    <x v="19"/>
    <s v="5.1.2 A - VRR"/>
    <s v="P0589"/>
    <s v="Počet zrealizovaných informačných aktivít"/>
    <x v="0"/>
    <m/>
    <m/>
    <m/>
    <m/>
    <m/>
    <m/>
    <x v="1"/>
    <x v="1"/>
  </r>
  <r>
    <s v="5"/>
    <x v="19"/>
    <s v="5.1.2 A - VRR"/>
    <s v="P0877"/>
    <s v="Počet mediálnych kampaní"/>
    <x v="0"/>
    <m/>
    <m/>
    <m/>
    <m/>
    <m/>
    <m/>
    <x v="0"/>
    <x v="0"/>
  </r>
  <r>
    <s v="5"/>
    <x v="19"/>
    <s v="5.1.2 B - VRR"/>
    <s v="P0184"/>
    <s v="Počet mediálnych výstupov"/>
    <x v="0"/>
    <m/>
    <m/>
    <m/>
    <m/>
    <m/>
    <m/>
    <x v="0"/>
    <x v="0"/>
  </r>
  <r>
    <s v="5"/>
    <x v="19"/>
    <s v="5.1.2 B - VRR"/>
    <s v="P0589"/>
    <s v="Počet zrealizovaných informačných aktivít"/>
    <x v="0"/>
    <m/>
    <m/>
    <m/>
    <m/>
    <m/>
    <m/>
    <x v="1"/>
    <x v="1"/>
  </r>
  <r>
    <s v="5"/>
    <x v="19"/>
    <s v="5.1.2 B - VRR"/>
    <s v="P0877"/>
    <s v="Počet mediálnych kampaní"/>
    <x v="0"/>
    <m/>
    <m/>
    <m/>
    <m/>
    <m/>
    <m/>
    <x v="0"/>
    <x v="0"/>
  </r>
  <r>
    <m/>
    <x v="20"/>
    <m/>
    <m/>
    <m/>
    <x v="17"/>
    <m/>
    <m/>
    <m/>
    <m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compact="0" compactData="0" multipleFieldFilters="0">
  <location ref="B5:H105" firstHeaderRow="0" firstDataRow="1" firstDataCol="4"/>
  <pivotFields count="14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9">
        <item x="8"/>
        <item x="3"/>
        <item x="11"/>
        <item x="5"/>
        <item x="7"/>
        <item x="2"/>
        <item x="10"/>
        <item x="6"/>
        <item x="15"/>
        <item x="12"/>
        <item x="16"/>
        <item x="4"/>
        <item x="0"/>
        <item x="14"/>
        <item x="13"/>
        <item x="1"/>
        <item x="17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2">
        <item x="4"/>
        <item x="7"/>
        <item x="6"/>
        <item x="24"/>
        <item x="21"/>
        <item x="13"/>
        <item x="2"/>
        <item x="3"/>
        <item x="5"/>
        <item x="9"/>
        <item x="10"/>
        <item x="11"/>
        <item x="12"/>
        <item x="14"/>
        <item x="16"/>
        <item x="15"/>
        <item x="20"/>
        <item x="19"/>
        <item x="23"/>
        <item x="22"/>
        <item x="25"/>
        <item x="26"/>
        <item x="27"/>
        <item x="28"/>
        <item x="29"/>
        <item x="30"/>
        <item x="31"/>
        <item x="17"/>
        <item x="8"/>
        <item x="18"/>
        <item x="1"/>
        <item h="1" x="0"/>
        <item x="32"/>
        <item x="33"/>
        <item x="34"/>
        <item x="35"/>
        <item x="37"/>
        <item x="38"/>
        <item x="39"/>
        <item x="36"/>
        <item x="40"/>
        <item x="43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7"/>
        <item x="59"/>
        <item x="60"/>
        <item x="61"/>
        <item x="62"/>
        <item x="63"/>
        <item x="64"/>
        <item x="65"/>
        <item x="66"/>
        <item m="1" x="78"/>
        <item m="1" x="75"/>
        <item m="1" x="76"/>
        <item m="1" x="81"/>
        <item m="1" x="79"/>
        <item m="1" x="80"/>
        <item m="1" x="77"/>
        <item m="1" x="74"/>
        <item h="1" x="67"/>
        <item h="1" x="68"/>
        <item h="1" x="69"/>
        <item h="1" x="70"/>
        <item h="1" x="71"/>
        <item h="1" x="72"/>
        <item h="1" x="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6">
        <item x="3"/>
        <item x="5"/>
        <item x="7"/>
        <item x="8"/>
        <item x="9"/>
        <item x="26"/>
        <item x="22"/>
        <item x="18"/>
        <item x="36"/>
        <item x="27"/>
        <item x="35"/>
        <item x="28"/>
        <item x="31"/>
        <item x="13"/>
        <item x="24"/>
        <item x="17"/>
        <item x="20"/>
        <item x="21"/>
        <item x="32"/>
        <item x="29"/>
        <item x="16"/>
        <item x="25"/>
        <item x="14"/>
        <item x="23"/>
        <item x="19"/>
        <item x="30"/>
        <item x="34"/>
        <item x="15"/>
        <item x="33"/>
        <item x="1"/>
        <item x="10"/>
        <item x="2"/>
        <item x="4"/>
        <item x="6"/>
        <item x="12"/>
        <item x="11"/>
        <item x="0"/>
        <item x="37"/>
        <item x="38"/>
        <item x="39"/>
        <item x="40"/>
        <item x="42"/>
        <item x="43"/>
        <item x="44"/>
        <item x="41"/>
        <item x="45"/>
        <item x="48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12"/>
    <field x="13"/>
    <field x="5"/>
  </rowFields>
  <rowItems count="100">
    <i>
      <x/>
      <x/>
      <x v="33"/>
      <x v="15"/>
    </i>
    <i r="1">
      <x v="6"/>
      <x v="31"/>
      <x v="15"/>
    </i>
    <i r="1">
      <x v="7"/>
      <x v="32"/>
      <x v="15"/>
    </i>
    <i r="1">
      <x v="8"/>
      <x v="30"/>
      <x v="12"/>
    </i>
    <i r="1">
      <x v="30"/>
      <x v="29"/>
      <x v="12"/>
    </i>
    <i t="default">
      <x/>
    </i>
    <i>
      <x v="1"/>
      <x v="2"/>
      <x v="35"/>
      <x v="1"/>
    </i>
    <i t="default">
      <x v="1"/>
    </i>
    <i>
      <x v="2"/>
      <x v="1"/>
      <x v="34"/>
      <x v="11"/>
    </i>
    <i t="default">
      <x v="2"/>
    </i>
    <i>
      <x v="3"/>
      <x v="9"/>
      <x v="22"/>
      <x v="12"/>
    </i>
    <i r="1">
      <x v="10"/>
      <x v="27"/>
      <x v="12"/>
    </i>
    <i r="1">
      <x v="11"/>
      <x v="20"/>
      <x v="12"/>
    </i>
    <i r="1">
      <x v="12"/>
      <x v="15"/>
      <x v="12"/>
    </i>
    <i r="1">
      <x v="28"/>
      <x v="13"/>
      <x v="12"/>
    </i>
    <i r="1">
      <x v="30"/>
      <x v="29"/>
      <x v="12"/>
    </i>
    <i t="default">
      <x v="3"/>
    </i>
    <i>
      <x v="4"/>
      <x v="5"/>
      <x v="7"/>
      <x v="3"/>
    </i>
    <i r="1">
      <x v="13"/>
      <x v="24"/>
      <x v="12"/>
    </i>
    <i r="1">
      <x v="14"/>
      <x v="17"/>
      <x v="12"/>
    </i>
    <i r="1">
      <x v="15"/>
      <x v="16"/>
      <x v="12"/>
    </i>
    <i r="1">
      <x v="30"/>
      <x v="29"/>
      <x v="12"/>
    </i>
    <i t="default">
      <x v="4"/>
    </i>
    <i>
      <x v="5"/>
      <x v="16"/>
      <x v="21"/>
      <x v="12"/>
    </i>
    <i r="1">
      <x v="17"/>
      <x v="14"/>
      <x v="12"/>
    </i>
    <i r="1">
      <x v="27"/>
      <x v="6"/>
      <x v="7"/>
    </i>
    <i r="1">
      <x v="29"/>
      <x v="23"/>
      <x v="12"/>
    </i>
    <i r="1">
      <x v="30"/>
      <x v="29"/>
      <x v="12"/>
    </i>
    <i t="default">
      <x v="5"/>
    </i>
    <i>
      <x v="6"/>
      <x v="4"/>
      <x v="5"/>
      <x v="3"/>
    </i>
    <i r="1">
      <x v="18"/>
      <x v="11"/>
      <x v="3"/>
    </i>
    <i r="1">
      <x v="19"/>
      <x v="9"/>
      <x v="3"/>
    </i>
    <i r="1">
      <x v="30"/>
      <x v="29"/>
      <x v="12"/>
    </i>
    <i t="default">
      <x v="6"/>
    </i>
    <i>
      <x v="7"/>
      <x v="3"/>
      <x v="19"/>
      <x v="12"/>
    </i>
    <i r="1">
      <x v="20"/>
      <x v="25"/>
      <x v="12"/>
    </i>
    <i r="1">
      <x v="21"/>
      <x v="12"/>
      <x v="12"/>
    </i>
    <i r="1">
      <x v="22"/>
      <x v="18"/>
      <x v="12"/>
    </i>
    <i r="1">
      <x v="30"/>
      <x v="29"/>
      <x v="12"/>
    </i>
    <i t="default">
      <x v="7"/>
    </i>
    <i>
      <x v="8"/>
      <x v="4"/>
      <x v="5"/>
      <x v="3"/>
    </i>
    <i t="default">
      <x v="8"/>
    </i>
    <i>
      <x v="9"/>
      <x v="23"/>
      <x v="28"/>
      <x v="12"/>
    </i>
    <i r="1">
      <x v="24"/>
      <x v="26"/>
      <x v="12"/>
    </i>
    <i t="default">
      <x v="9"/>
    </i>
    <i>
      <x v="10"/>
      <x v="4"/>
      <x v="5"/>
      <x v="3"/>
    </i>
    <i r="1">
      <x v="25"/>
      <x v="10"/>
      <x v="3"/>
    </i>
    <i r="1">
      <x v="26"/>
      <x v="8"/>
      <x v="3"/>
    </i>
    <i t="default">
      <x v="10"/>
    </i>
    <i>
      <x v="11"/>
      <x v="32"/>
      <x v="37"/>
      <x v="12"/>
    </i>
    <i r="1">
      <x v="33"/>
      <x v="38"/>
      <x v="12"/>
    </i>
    <i t="default">
      <x v="11"/>
    </i>
    <i>
      <x v="12"/>
      <x v="34"/>
      <x v="39"/>
      <x v="14"/>
    </i>
    <i r="1">
      <x v="35"/>
      <x v="40"/>
      <x v="13"/>
    </i>
    <i r="1">
      <x v="36"/>
      <x v="41"/>
      <x v="7"/>
    </i>
    <i r="1">
      <x v="37"/>
      <x v="42"/>
      <x v="10"/>
    </i>
    <i r="1">
      <x v="38"/>
      <x v="43"/>
      <x v="12"/>
    </i>
    <i r="1">
      <x v="39"/>
      <x v="44"/>
      <x v="8"/>
    </i>
    <i t="default">
      <x v="12"/>
    </i>
    <i>
      <x v="13"/>
      <x v="40"/>
      <x v="45"/>
      <x v="14"/>
    </i>
    <i r="1">
      <x v="41"/>
      <x v="46"/>
      <x v="7"/>
    </i>
    <i r="1">
      <x v="42"/>
      <x v="47"/>
      <x v="12"/>
    </i>
    <i r="1">
      <x v="43"/>
      <x v="48"/>
      <x v="8"/>
    </i>
    <i r="1">
      <x v="44"/>
      <x v="49"/>
      <x v="10"/>
    </i>
    <i t="default">
      <x v="13"/>
    </i>
    <i>
      <x v="14"/>
      <x v="35"/>
      <x v="40"/>
      <x v="13"/>
    </i>
    <i r="1">
      <x v="45"/>
      <x v="50"/>
      <x v="12"/>
    </i>
    <i r="1">
      <x v="46"/>
      <x v="51"/>
      <x v="14"/>
    </i>
    <i r="1">
      <x v="47"/>
      <x v="52"/>
      <x v="12"/>
    </i>
    <i r="1">
      <x v="48"/>
      <x v="53"/>
      <x v="12"/>
    </i>
    <i r="1">
      <x v="49"/>
      <x v="54"/>
      <x v="12"/>
    </i>
    <i r="1">
      <x v="50"/>
      <x v="55"/>
      <x v="9"/>
    </i>
    <i r="1">
      <x v="51"/>
      <x v="56"/>
      <x v="9"/>
    </i>
    <i r="1">
      <x v="52"/>
      <x v="57"/>
      <x v="8"/>
    </i>
    <i r="1">
      <x v="53"/>
      <x v="46"/>
      <x v="7"/>
    </i>
    <i r="1">
      <x v="54"/>
      <x v="58"/>
      <x v="10"/>
    </i>
    <i t="default">
      <x v="14"/>
    </i>
    <i>
      <x v="15"/>
      <x v="46"/>
      <x v="51"/>
      <x v="14"/>
    </i>
    <i r="1">
      <x v="53"/>
      <x v="46"/>
      <x v="7"/>
    </i>
    <i r="1">
      <x v="55"/>
      <x v="59"/>
      <x v="12"/>
    </i>
    <i r="1">
      <x v="56"/>
      <x v="60"/>
      <x v="16"/>
    </i>
    <i r="1">
      <x v="57"/>
      <x v="61"/>
      <x v="16"/>
    </i>
    <i r="1">
      <x v="58"/>
      <x v="62"/>
      <x v="16"/>
    </i>
    <i t="default">
      <x v="15"/>
    </i>
    <i>
      <x v="16"/>
      <x v="30"/>
      <x v="29"/>
      <x v="12"/>
    </i>
    <i r="1">
      <x v="45"/>
      <x v="50"/>
      <x v="12"/>
    </i>
    <i r="1">
      <x v="59"/>
      <x v="63"/>
      <x v="12"/>
    </i>
    <i r="1">
      <x v="60"/>
      <x v="64"/>
      <x v="12"/>
    </i>
    <i r="1">
      <x v="61"/>
      <x v="65"/>
      <x v="12"/>
    </i>
    <i r="1">
      <x v="62"/>
      <x v="66"/>
      <x v="12"/>
    </i>
    <i t="default">
      <x v="16"/>
    </i>
    <i>
      <x v="17"/>
      <x v="46"/>
      <x v="51"/>
      <x v="16"/>
    </i>
    <i r="1">
      <x v="63"/>
      <x v="67"/>
      <x v="12"/>
    </i>
    <i r="1">
      <x v="64"/>
      <x v="68"/>
      <x v="16"/>
    </i>
    <i r="1">
      <x v="65"/>
      <x v="69"/>
      <x v="16"/>
    </i>
    <i r="1">
      <x v="66"/>
      <x v="70"/>
      <x v="16"/>
    </i>
    <i t="default">
      <x v="17"/>
    </i>
    <i>
      <x v="19"/>
      <x v="30"/>
      <x v="29"/>
      <x v="12"/>
    </i>
    <i t="default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účet z Skutočný stav k 31.12.2017" fld="9" baseField="12" baseItem="0" numFmtId="165"/>
    <dataField name="Súčet z Očakávaný stav k 31.12.2018" fld="10" baseField="12" baseItem="0" numFmtId="165"/>
    <dataField name="Súčet z Zazmluvnená hodnota k 31.12.2017" fld="11" baseField="12" baseItem="0" numFmtId="165"/>
  </dataFields>
  <formats count="268">
    <format dxfId="4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0">
      <pivotArea outline="0" collapsedLevelsAreSubtotals="1" fieldPosition="0">
        <references count="1">
          <reference field="1" count="19" selected="0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99">
      <pivotArea outline="0" collapsedLevelsAreSubtotals="1" fieldPosition="0">
        <references count="4">
          <reference field="1" count="1" selected="0">
            <x v="19"/>
          </reference>
          <reference field="5" count="1" selected="0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398">
      <pivotArea dataOnly="0" labelOnly="1" outline="0" fieldPosition="0">
        <references count="1">
          <reference field="1" count="0"/>
        </references>
      </pivotArea>
    </format>
    <format dxfId="397">
      <pivotArea dataOnly="0" labelOnly="1" outline="0" fieldPosition="0">
        <references count="1">
          <reference field="1" count="19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96">
      <pivotArea dataOnly="0" labelOnly="1" outline="0" fieldPosition="0">
        <references count="2">
          <reference field="1" count="1" selected="0">
            <x v="0"/>
          </reference>
          <reference field="12" count="5">
            <x v="0"/>
            <x v="6"/>
            <x v="7"/>
            <x v="8"/>
            <x v="30"/>
          </reference>
        </references>
      </pivotArea>
    </format>
    <format dxfId="395">
      <pivotArea dataOnly="0" labelOnly="1" outline="0" fieldPosition="0">
        <references count="2">
          <reference field="1" count="1" selected="0">
            <x v="1"/>
          </reference>
          <reference field="12" count="1">
            <x v="2"/>
          </reference>
        </references>
      </pivotArea>
    </format>
    <format dxfId="394">
      <pivotArea dataOnly="0" labelOnly="1" outline="0" fieldPosition="0">
        <references count="2">
          <reference field="1" count="1" selected="0">
            <x v="2"/>
          </reference>
          <reference field="12" count="1">
            <x v="1"/>
          </reference>
        </references>
      </pivotArea>
    </format>
    <format dxfId="393">
      <pivotArea dataOnly="0" labelOnly="1" outline="0" fieldPosition="0">
        <references count="2">
          <reference field="1" count="1" selected="0">
            <x v="3"/>
          </reference>
          <reference field="12" count="6">
            <x v="9"/>
            <x v="10"/>
            <x v="11"/>
            <x v="12"/>
            <x v="28"/>
            <x v="30"/>
          </reference>
        </references>
      </pivotArea>
    </format>
    <format dxfId="392">
      <pivotArea dataOnly="0" labelOnly="1" outline="0" fieldPosition="0">
        <references count="2">
          <reference field="1" count="1" selected="0">
            <x v="4"/>
          </reference>
          <reference field="12" count="5">
            <x v="5"/>
            <x v="13"/>
            <x v="14"/>
            <x v="15"/>
            <x v="30"/>
          </reference>
        </references>
      </pivotArea>
    </format>
    <format dxfId="391">
      <pivotArea dataOnly="0" labelOnly="1" outline="0" fieldPosition="0">
        <references count="2">
          <reference field="1" count="1" selected="0">
            <x v="5"/>
          </reference>
          <reference field="12" count="5">
            <x v="16"/>
            <x v="17"/>
            <x v="27"/>
            <x v="29"/>
            <x v="30"/>
          </reference>
        </references>
      </pivotArea>
    </format>
    <format dxfId="390">
      <pivotArea dataOnly="0" labelOnly="1" outline="0" fieldPosition="0">
        <references count="2">
          <reference field="1" count="1" selected="0">
            <x v="6"/>
          </reference>
          <reference field="12" count="4">
            <x v="4"/>
            <x v="18"/>
            <x v="19"/>
            <x v="30"/>
          </reference>
        </references>
      </pivotArea>
    </format>
    <format dxfId="389">
      <pivotArea dataOnly="0" labelOnly="1" outline="0" fieldPosition="0">
        <references count="2">
          <reference field="1" count="1" selected="0">
            <x v="7"/>
          </reference>
          <reference field="12" count="5">
            <x v="3"/>
            <x v="20"/>
            <x v="21"/>
            <x v="22"/>
            <x v="30"/>
          </reference>
        </references>
      </pivotArea>
    </format>
    <format dxfId="388">
      <pivotArea dataOnly="0" labelOnly="1" outline="0" fieldPosition="0">
        <references count="2">
          <reference field="1" count="1" selected="0">
            <x v="8"/>
          </reference>
          <reference field="12" count="1">
            <x v="4"/>
          </reference>
        </references>
      </pivotArea>
    </format>
    <format dxfId="387">
      <pivotArea dataOnly="0" labelOnly="1" outline="0" fieldPosition="0">
        <references count="2">
          <reference field="1" count="1" selected="0">
            <x v="9"/>
          </reference>
          <reference field="12" count="2">
            <x v="23"/>
            <x v="24"/>
          </reference>
        </references>
      </pivotArea>
    </format>
    <format dxfId="386">
      <pivotArea dataOnly="0" labelOnly="1" outline="0" fieldPosition="0">
        <references count="2">
          <reference field="1" count="1" selected="0">
            <x v="10"/>
          </reference>
          <reference field="12" count="3">
            <x v="4"/>
            <x v="25"/>
            <x v="26"/>
          </reference>
        </references>
      </pivotArea>
    </format>
    <format dxfId="385">
      <pivotArea dataOnly="0" labelOnly="1" outline="0" fieldPosition="0">
        <references count="2">
          <reference field="1" count="1" selected="0">
            <x v="11"/>
          </reference>
          <reference field="12" count="3">
            <x v="12"/>
            <x v="32"/>
            <x v="33"/>
          </reference>
        </references>
      </pivotArea>
    </format>
    <format dxfId="384">
      <pivotArea dataOnly="0" labelOnly="1" outline="0" fieldPosition="0">
        <references count="2">
          <reference field="1" count="1" selected="0">
            <x v="12"/>
          </reference>
          <reference field="12" count="6">
            <x v="34"/>
            <x v="35"/>
            <x v="36"/>
            <x v="37"/>
            <x v="38"/>
            <x v="39"/>
          </reference>
        </references>
      </pivotArea>
    </format>
    <format dxfId="383">
      <pivotArea dataOnly="0" labelOnly="1" outline="0" fieldPosition="0">
        <references count="2">
          <reference field="1" count="1" selected="0">
            <x v="13"/>
          </reference>
          <reference field="12" count="5">
            <x v="40"/>
            <x v="41"/>
            <x v="42"/>
            <x v="43"/>
            <x v="44"/>
          </reference>
        </references>
      </pivotArea>
    </format>
    <format dxfId="382">
      <pivotArea dataOnly="0" labelOnly="1" outline="0" fieldPosition="0">
        <references count="2">
          <reference field="1" count="1" selected="0">
            <x v="14"/>
          </reference>
          <reference field="12" count="11">
            <x v="35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81">
      <pivotArea dataOnly="0" labelOnly="1" outline="0" fieldPosition="0">
        <references count="2">
          <reference field="1" count="1" selected="0">
            <x v="15"/>
          </reference>
          <reference field="12" count="6">
            <x v="46"/>
            <x v="53"/>
            <x v="55"/>
            <x v="56"/>
            <x v="57"/>
            <x v="58"/>
          </reference>
        </references>
      </pivotArea>
    </format>
    <format dxfId="380">
      <pivotArea dataOnly="0" labelOnly="1" outline="0" fieldPosition="0">
        <references count="2">
          <reference field="1" count="1" selected="0">
            <x v="16"/>
          </reference>
          <reference field="12" count="6">
            <x v="30"/>
            <x v="45"/>
            <x v="59"/>
            <x v="60"/>
            <x v="61"/>
            <x v="62"/>
          </reference>
        </references>
      </pivotArea>
    </format>
    <format dxfId="379">
      <pivotArea dataOnly="0" labelOnly="1" outline="0" fieldPosition="0">
        <references count="2">
          <reference field="1" count="1" selected="0">
            <x v="17"/>
          </reference>
          <reference field="12" count="5">
            <x v="46"/>
            <x v="63"/>
            <x v="64"/>
            <x v="65"/>
            <x v="66"/>
          </reference>
        </references>
      </pivotArea>
    </format>
    <format dxfId="378">
      <pivotArea dataOnly="0" labelOnly="1" outline="0" fieldPosition="0">
        <references count="2">
          <reference field="1" count="1" selected="0">
            <x v="18"/>
          </reference>
          <reference field="12" count="8"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377">
      <pivotArea dataOnly="0" labelOnly="1" outline="0" fieldPosition="0">
        <references count="2">
          <reference field="1" count="1" selected="0">
            <x v="19"/>
          </reference>
          <reference field="12" count="1">
            <x v="30"/>
          </reference>
        </references>
      </pivotArea>
    </format>
    <format dxfId="376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0"/>
          </reference>
          <reference field="13" count="1">
            <x v="33"/>
          </reference>
        </references>
      </pivotArea>
    </format>
    <format dxfId="375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6"/>
          </reference>
          <reference field="13" count="1">
            <x v="31"/>
          </reference>
        </references>
      </pivotArea>
    </format>
    <format dxfId="374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7"/>
          </reference>
          <reference field="13" count="1">
            <x v="32"/>
          </reference>
        </references>
      </pivotArea>
    </format>
    <format dxfId="373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8"/>
          </reference>
          <reference field="13" count="1">
            <x v="30"/>
          </reference>
        </references>
      </pivotArea>
    </format>
    <format dxfId="372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71">
      <pivotArea dataOnly="0" labelOnly="1" outline="0" fieldPosition="0">
        <references count="3">
          <reference field="1" count="1" selected="0">
            <x v="1"/>
          </reference>
          <reference field="12" count="1" selected="0">
            <x v="2"/>
          </reference>
          <reference field="13" count="1">
            <x v="35"/>
          </reference>
        </references>
      </pivotArea>
    </format>
    <format dxfId="370">
      <pivotArea dataOnly="0" labelOnly="1" outline="0" fieldPosition="0">
        <references count="3">
          <reference field="1" count="1" selected="0">
            <x v="2"/>
          </reference>
          <reference field="12" count="1" selected="0">
            <x v="1"/>
          </reference>
          <reference field="13" count="1">
            <x v="34"/>
          </reference>
        </references>
      </pivotArea>
    </format>
    <format dxfId="369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9"/>
          </reference>
          <reference field="13" count="1">
            <x v="22"/>
          </reference>
        </references>
      </pivotArea>
    </format>
    <format dxfId="368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10"/>
          </reference>
          <reference field="13" count="1">
            <x v="27"/>
          </reference>
        </references>
      </pivotArea>
    </format>
    <format dxfId="367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11"/>
          </reference>
          <reference field="13" count="1">
            <x v="20"/>
          </reference>
        </references>
      </pivotArea>
    </format>
    <format dxfId="366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12"/>
          </reference>
          <reference field="13" count="1">
            <x v="15"/>
          </reference>
        </references>
      </pivotArea>
    </format>
    <format dxfId="365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28"/>
          </reference>
          <reference field="13" count="1">
            <x v="13"/>
          </reference>
        </references>
      </pivotArea>
    </format>
    <format dxfId="364">
      <pivotArea dataOnly="0" labelOnly="1" outline="0" fieldPosition="0">
        <references count="3">
          <reference field="1" count="1" selected="0">
            <x v="3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63">
      <pivotArea dataOnly="0" labelOnly="1" outline="0" fieldPosition="0">
        <references count="3">
          <reference field="1" count="1" selected="0">
            <x v="4"/>
          </reference>
          <reference field="12" count="1" selected="0">
            <x v="5"/>
          </reference>
          <reference field="13" count="1">
            <x v="7"/>
          </reference>
        </references>
      </pivotArea>
    </format>
    <format dxfId="362">
      <pivotArea dataOnly="0" labelOnly="1" outline="0" fieldPosition="0">
        <references count="3">
          <reference field="1" count="1" selected="0">
            <x v="4"/>
          </reference>
          <reference field="12" count="1" selected="0">
            <x v="13"/>
          </reference>
          <reference field="13" count="1">
            <x v="24"/>
          </reference>
        </references>
      </pivotArea>
    </format>
    <format dxfId="361">
      <pivotArea dataOnly="0" labelOnly="1" outline="0" fieldPosition="0">
        <references count="3">
          <reference field="1" count="1" selected="0">
            <x v="4"/>
          </reference>
          <reference field="12" count="1" selected="0">
            <x v="14"/>
          </reference>
          <reference field="13" count="1">
            <x v="17"/>
          </reference>
        </references>
      </pivotArea>
    </format>
    <format dxfId="360">
      <pivotArea dataOnly="0" labelOnly="1" outline="0" fieldPosition="0">
        <references count="3">
          <reference field="1" count="1" selected="0">
            <x v="4"/>
          </reference>
          <reference field="12" count="1" selected="0">
            <x v="15"/>
          </reference>
          <reference field="13" count="1">
            <x v="16"/>
          </reference>
        </references>
      </pivotArea>
    </format>
    <format dxfId="359">
      <pivotArea dataOnly="0" labelOnly="1" outline="0" fieldPosition="0">
        <references count="3">
          <reference field="1" count="1" selected="0">
            <x v="4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58">
      <pivotArea dataOnly="0" labelOnly="1" outline="0" fieldPosition="0">
        <references count="3">
          <reference field="1" count="1" selected="0">
            <x v="5"/>
          </reference>
          <reference field="12" count="1" selected="0">
            <x v="16"/>
          </reference>
          <reference field="13" count="1">
            <x v="21"/>
          </reference>
        </references>
      </pivotArea>
    </format>
    <format dxfId="357">
      <pivotArea dataOnly="0" labelOnly="1" outline="0" fieldPosition="0">
        <references count="3">
          <reference field="1" count="1" selected="0">
            <x v="5"/>
          </reference>
          <reference field="12" count="1" selected="0">
            <x v="17"/>
          </reference>
          <reference field="13" count="1">
            <x v="14"/>
          </reference>
        </references>
      </pivotArea>
    </format>
    <format dxfId="356">
      <pivotArea dataOnly="0" labelOnly="1" outline="0" fieldPosition="0">
        <references count="3">
          <reference field="1" count="1" selected="0">
            <x v="5"/>
          </reference>
          <reference field="12" count="1" selected="0">
            <x v="27"/>
          </reference>
          <reference field="13" count="1">
            <x v="6"/>
          </reference>
        </references>
      </pivotArea>
    </format>
    <format dxfId="355">
      <pivotArea dataOnly="0" labelOnly="1" outline="0" fieldPosition="0">
        <references count="3">
          <reference field="1" count="1" selected="0">
            <x v="5"/>
          </reference>
          <reference field="12" count="1" selected="0">
            <x v="29"/>
          </reference>
          <reference field="13" count="1">
            <x v="23"/>
          </reference>
        </references>
      </pivotArea>
    </format>
    <format dxfId="354">
      <pivotArea dataOnly="0" labelOnly="1" outline="0" fieldPosition="0">
        <references count="3">
          <reference field="1" count="1" selected="0">
            <x v="5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53">
      <pivotArea dataOnly="0" labelOnly="1" outline="0" fieldPosition="0">
        <references count="3">
          <reference field="1" count="1" selected="0">
            <x v="6"/>
          </reference>
          <reference field="12" count="1" selected="0">
            <x v="4"/>
          </reference>
          <reference field="13" count="1">
            <x v="5"/>
          </reference>
        </references>
      </pivotArea>
    </format>
    <format dxfId="352">
      <pivotArea dataOnly="0" labelOnly="1" outline="0" fieldPosition="0">
        <references count="3">
          <reference field="1" count="1" selected="0">
            <x v="6"/>
          </reference>
          <reference field="12" count="1" selected="0">
            <x v="18"/>
          </reference>
          <reference field="13" count="1">
            <x v="11"/>
          </reference>
        </references>
      </pivotArea>
    </format>
    <format dxfId="351">
      <pivotArea dataOnly="0" labelOnly="1" outline="0" fieldPosition="0">
        <references count="3">
          <reference field="1" count="1" selected="0">
            <x v="6"/>
          </reference>
          <reference field="12" count="1" selected="0">
            <x v="19"/>
          </reference>
          <reference field="13" count="1">
            <x v="9"/>
          </reference>
        </references>
      </pivotArea>
    </format>
    <format dxfId="350">
      <pivotArea dataOnly="0" labelOnly="1" outline="0" fieldPosition="0">
        <references count="3">
          <reference field="1" count="1" selected="0">
            <x v="6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49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3"/>
          </reference>
          <reference field="13" count="1">
            <x v="19"/>
          </reference>
        </references>
      </pivotArea>
    </format>
    <format dxfId="348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20"/>
          </reference>
          <reference field="13" count="1">
            <x v="25"/>
          </reference>
        </references>
      </pivotArea>
    </format>
    <format dxfId="347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21"/>
          </reference>
          <reference field="13" count="1">
            <x v="12"/>
          </reference>
        </references>
      </pivotArea>
    </format>
    <format dxfId="346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22"/>
          </reference>
          <reference field="13" count="1">
            <x v="18"/>
          </reference>
        </references>
      </pivotArea>
    </format>
    <format dxfId="345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44">
      <pivotArea dataOnly="0" labelOnly="1" outline="0" fieldPosition="0">
        <references count="3">
          <reference field="1" count="1" selected="0">
            <x v="8"/>
          </reference>
          <reference field="12" count="1" selected="0">
            <x v="4"/>
          </reference>
          <reference field="13" count="1">
            <x v="5"/>
          </reference>
        </references>
      </pivotArea>
    </format>
    <format dxfId="343">
      <pivotArea dataOnly="0" labelOnly="1" outline="0" fieldPosition="0">
        <references count="3">
          <reference field="1" count="1" selected="0">
            <x v="9"/>
          </reference>
          <reference field="12" count="1" selected="0">
            <x v="23"/>
          </reference>
          <reference field="13" count="1">
            <x v="28"/>
          </reference>
        </references>
      </pivotArea>
    </format>
    <format dxfId="342">
      <pivotArea dataOnly="0" labelOnly="1" outline="0" fieldPosition="0">
        <references count="3">
          <reference field="1" count="1" selected="0">
            <x v="9"/>
          </reference>
          <reference field="12" count="1" selected="0">
            <x v="24"/>
          </reference>
          <reference field="13" count="1">
            <x v="26"/>
          </reference>
        </references>
      </pivotArea>
    </format>
    <format dxfId="341">
      <pivotArea dataOnly="0" labelOnly="1" outline="0" fieldPosition="0">
        <references count="3">
          <reference field="1" count="1" selected="0">
            <x v="10"/>
          </reference>
          <reference field="12" count="1" selected="0">
            <x v="4"/>
          </reference>
          <reference field="13" count="1">
            <x v="5"/>
          </reference>
        </references>
      </pivotArea>
    </format>
    <format dxfId="340">
      <pivotArea dataOnly="0" labelOnly="1" outline="0" fieldPosition="0">
        <references count="3">
          <reference field="1" count="1" selected="0">
            <x v="10"/>
          </reference>
          <reference field="12" count="1" selected="0">
            <x v="25"/>
          </reference>
          <reference field="13" count="1">
            <x v="10"/>
          </reference>
        </references>
      </pivotArea>
    </format>
    <format dxfId="339">
      <pivotArea dataOnly="0" labelOnly="1" outline="0" fieldPosition="0">
        <references count="3">
          <reference field="1" count="1" selected="0">
            <x v="10"/>
          </reference>
          <reference field="12" count="1" selected="0">
            <x v="26"/>
          </reference>
          <reference field="13" count="1">
            <x v="8"/>
          </reference>
        </references>
      </pivotArea>
    </format>
    <format dxfId="338">
      <pivotArea dataOnly="0" labelOnly="1" outline="0" fieldPosition="0">
        <references count="3">
          <reference field="1" count="1" selected="0">
            <x v="11"/>
          </reference>
          <reference field="12" count="1" selected="0">
            <x v="12"/>
          </reference>
          <reference field="13" count="1">
            <x v="15"/>
          </reference>
        </references>
      </pivotArea>
    </format>
    <format dxfId="337">
      <pivotArea dataOnly="0" labelOnly="1" outline="0" fieldPosition="0">
        <references count="3">
          <reference field="1" count="1" selected="0">
            <x v="11"/>
          </reference>
          <reference field="12" count="1" selected="0">
            <x v="32"/>
          </reference>
          <reference field="13" count="1">
            <x v="37"/>
          </reference>
        </references>
      </pivotArea>
    </format>
    <format dxfId="336">
      <pivotArea dataOnly="0" labelOnly="1" outline="0" fieldPosition="0">
        <references count="3">
          <reference field="1" count="1" selected="0">
            <x v="11"/>
          </reference>
          <reference field="12" count="1" selected="0">
            <x v="33"/>
          </reference>
          <reference field="13" count="1">
            <x v="38"/>
          </reference>
        </references>
      </pivotArea>
    </format>
    <format dxfId="335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4"/>
          </reference>
          <reference field="13" count="1">
            <x v="39"/>
          </reference>
        </references>
      </pivotArea>
    </format>
    <format dxfId="334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5"/>
          </reference>
          <reference field="13" count="1">
            <x v="40"/>
          </reference>
        </references>
      </pivotArea>
    </format>
    <format dxfId="333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6"/>
          </reference>
          <reference field="13" count="1">
            <x v="41"/>
          </reference>
        </references>
      </pivotArea>
    </format>
    <format dxfId="332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7"/>
          </reference>
          <reference field="13" count="1">
            <x v="42"/>
          </reference>
        </references>
      </pivotArea>
    </format>
    <format dxfId="331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8"/>
          </reference>
          <reference field="13" count="1">
            <x v="43"/>
          </reference>
        </references>
      </pivotArea>
    </format>
    <format dxfId="330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9"/>
          </reference>
          <reference field="13" count="1">
            <x v="44"/>
          </reference>
        </references>
      </pivotArea>
    </format>
    <format dxfId="329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0"/>
          </reference>
          <reference field="13" count="1">
            <x v="45"/>
          </reference>
        </references>
      </pivotArea>
    </format>
    <format dxfId="328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1"/>
          </reference>
          <reference field="13" count="1">
            <x v="46"/>
          </reference>
        </references>
      </pivotArea>
    </format>
    <format dxfId="327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2"/>
          </reference>
          <reference field="13" count="1">
            <x v="47"/>
          </reference>
        </references>
      </pivotArea>
    </format>
    <format dxfId="326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3"/>
          </reference>
          <reference field="13" count="1">
            <x v="48"/>
          </reference>
        </references>
      </pivotArea>
    </format>
    <format dxfId="325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4"/>
          </reference>
          <reference field="13" count="1">
            <x v="49"/>
          </reference>
        </references>
      </pivotArea>
    </format>
    <format dxfId="324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35"/>
          </reference>
          <reference field="13" count="1">
            <x v="40"/>
          </reference>
        </references>
      </pivotArea>
    </format>
    <format dxfId="323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45"/>
          </reference>
          <reference field="13" count="1">
            <x v="50"/>
          </reference>
        </references>
      </pivotArea>
    </format>
    <format dxfId="322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46"/>
          </reference>
          <reference field="13" count="1">
            <x v="51"/>
          </reference>
        </references>
      </pivotArea>
    </format>
    <format dxfId="321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47"/>
          </reference>
          <reference field="13" count="1">
            <x v="52"/>
          </reference>
        </references>
      </pivotArea>
    </format>
    <format dxfId="320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48"/>
          </reference>
          <reference field="13" count="1">
            <x v="53"/>
          </reference>
        </references>
      </pivotArea>
    </format>
    <format dxfId="319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49"/>
          </reference>
          <reference field="13" count="1">
            <x v="54"/>
          </reference>
        </references>
      </pivotArea>
    </format>
    <format dxfId="318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50"/>
          </reference>
          <reference field="13" count="1">
            <x v="55"/>
          </reference>
        </references>
      </pivotArea>
    </format>
    <format dxfId="317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51"/>
          </reference>
          <reference field="13" count="1">
            <x v="56"/>
          </reference>
        </references>
      </pivotArea>
    </format>
    <format dxfId="316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52"/>
          </reference>
          <reference field="13" count="1">
            <x v="57"/>
          </reference>
        </references>
      </pivotArea>
    </format>
    <format dxfId="315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53"/>
          </reference>
          <reference field="13" count="1">
            <x v="46"/>
          </reference>
        </references>
      </pivotArea>
    </format>
    <format dxfId="314">
      <pivotArea dataOnly="0" labelOnly="1" outline="0" fieldPosition="0">
        <references count="3">
          <reference field="1" count="1" selected="0">
            <x v="14"/>
          </reference>
          <reference field="12" count="1" selected="0">
            <x v="54"/>
          </reference>
          <reference field="13" count="1">
            <x v="58"/>
          </reference>
        </references>
      </pivotArea>
    </format>
    <format dxfId="313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46"/>
          </reference>
          <reference field="13" count="1">
            <x v="51"/>
          </reference>
        </references>
      </pivotArea>
    </format>
    <format dxfId="312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3"/>
          </reference>
          <reference field="13" count="1">
            <x v="46"/>
          </reference>
        </references>
      </pivotArea>
    </format>
    <format dxfId="311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5"/>
          </reference>
          <reference field="13" count="1">
            <x v="59"/>
          </reference>
        </references>
      </pivotArea>
    </format>
    <format dxfId="310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6"/>
          </reference>
          <reference field="13" count="1">
            <x v="60"/>
          </reference>
        </references>
      </pivotArea>
    </format>
    <format dxfId="309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7"/>
          </reference>
          <reference field="13" count="1">
            <x v="61"/>
          </reference>
        </references>
      </pivotArea>
    </format>
    <format dxfId="308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8"/>
          </reference>
          <reference field="13" count="1">
            <x v="62"/>
          </reference>
        </references>
      </pivotArea>
    </format>
    <format dxfId="307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306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45"/>
          </reference>
          <reference field="13" count="1">
            <x v="50"/>
          </reference>
        </references>
      </pivotArea>
    </format>
    <format dxfId="305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59"/>
          </reference>
          <reference field="13" count="1">
            <x v="63"/>
          </reference>
        </references>
      </pivotArea>
    </format>
    <format dxfId="304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60"/>
          </reference>
          <reference field="13" count="1">
            <x v="64"/>
          </reference>
        </references>
      </pivotArea>
    </format>
    <format dxfId="303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61"/>
          </reference>
          <reference field="13" count="1">
            <x v="65"/>
          </reference>
        </references>
      </pivotArea>
    </format>
    <format dxfId="302">
      <pivotArea dataOnly="0" labelOnly="1" outline="0" fieldPosition="0">
        <references count="3">
          <reference field="1" count="1" selected="0">
            <x v="16"/>
          </reference>
          <reference field="12" count="1" selected="0">
            <x v="62"/>
          </reference>
          <reference field="13" count="1">
            <x v="66"/>
          </reference>
        </references>
      </pivotArea>
    </format>
    <format dxfId="301">
      <pivotArea dataOnly="0" labelOnly="1" outline="0" fieldPosition="0">
        <references count="3">
          <reference field="1" count="1" selected="0">
            <x v="17"/>
          </reference>
          <reference field="12" count="1" selected="0">
            <x v="46"/>
          </reference>
          <reference field="13" count="1">
            <x v="51"/>
          </reference>
        </references>
      </pivotArea>
    </format>
    <format dxfId="300">
      <pivotArea dataOnly="0" labelOnly="1" outline="0" fieldPosition="0">
        <references count="3">
          <reference field="1" count="1" selected="0">
            <x v="17"/>
          </reference>
          <reference field="12" count="1" selected="0">
            <x v="63"/>
          </reference>
          <reference field="13" count="1">
            <x v="67"/>
          </reference>
        </references>
      </pivotArea>
    </format>
    <format dxfId="299">
      <pivotArea dataOnly="0" labelOnly="1" outline="0" fieldPosition="0">
        <references count="3">
          <reference field="1" count="1" selected="0">
            <x v="17"/>
          </reference>
          <reference field="12" count="1" selected="0">
            <x v="64"/>
          </reference>
          <reference field="13" count="1">
            <x v="68"/>
          </reference>
        </references>
      </pivotArea>
    </format>
    <format dxfId="298">
      <pivotArea dataOnly="0" labelOnly="1" outline="0" fieldPosition="0">
        <references count="3">
          <reference field="1" count="1" selected="0">
            <x v="17"/>
          </reference>
          <reference field="12" count="1" selected="0">
            <x v="65"/>
          </reference>
          <reference field="13" count="1">
            <x v="69"/>
          </reference>
        </references>
      </pivotArea>
    </format>
    <format dxfId="297">
      <pivotArea dataOnly="0" labelOnly="1" outline="0" fieldPosition="0">
        <references count="3">
          <reference field="1" count="1" selected="0">
            <x v="17"/>
          </reference>
          <reference field="12" count="1" selected="0">
            <x v="66"/>
          </reference>
          <reference field="13" count="1">
            <x v="70"/>
          </reference>
        </references>
      </pivotArea>
    </format>
    <format dxfId="296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67"/>
          </reference>
          <reference field="13" count="1">
            <x v="71"/>
          </reference>
        </references>
      </pivotArea>
    </format>
    <format dxfId="295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68"/>
          </reference>
          <reference field="13" count="1">
            <x v="72"/>
          </reference>
        </references>
      </pivotArea>
    </format>
    <format dxfId="294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69"/>
          </reference>
          <reference field="13" count="1">
            <x v="73"/>
          </reference>
        </references>
      </pivotArea>
    </format>
    <format dxfId="293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70"/>
          </reference>
          <reference field="13" count="1">
            <x v="74"/>
          </reference>
        </references>
      </pivotArea>
    </format>
    <format dxfId="292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71"/>
          </reference>
          <reference field="13" count="1">
            <x v="71"/>
          </reference>
        </references>
      </pivotArea>
    </format>
    <format dxfId="291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72"/>
          </reference>
          <reference field="13" count="1">
            <x v="72"/>
          </reference>
        </references>
      </pivotArea>
    </format>
    <format dxfId="290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73"/>
          </reference>
          <reference field="13" count="1">
            <x v="75"/>
          </reference>
        </references>
      </pivotArea>
    </format>
    <format dxfId="289">
      <pivotArea dataOnly="0" labelOnly="1" outline="0" fieldPosition="0">
        <references count="3">
          <reference field="1" count="1" selected="0">
            <x v="18"/>
          </reference>
          <reference field="12" count="1" selected="0">
            <x v="74"/>
          </reference>
          <reference field="13" count="1">
            <x v="74"/>
          </reference>
        </references>
      </pivotArea>
    </format>
    <format dxfId="288">
      <pivotArea dataOnly="0" labelOnly="1" outline="0" fieldPosition="0">
        <references count="3">
          <reference field="1" count="1" selected="0">
            <x v="19"/>
          </reference>
          <reference field="12" count="1" selected="0">
            <x v="30"/>
          </reference>
          <reference field="13" count="1">
            <x v="29"/>
          </reference>
        </references>
      </pivotArea>
    </format>
    <format dxfId="287">
      <pivotArea dataOnly="0" labelOnly="1" outline="0" fieldPosition="0">
        <references count="4">
          <reference field="1" count="1" selected="0">
            <x v="0"/>
          </reference>
          <reference field="5" count="1">
            <x v="15"/>
          </reference>
          <reference field="12" count="1" selected="0">
            <x v="0"/>
          </reference>
          <reference field="13" count="1" selected="0">
            <x v="33"/>
          </reference>
        </references>
      </pivotArea>
    </format>
    <format dxfId="286">
      <pivotArea dataOnly="0" labelOnly="1" outline="0" fieldPosition="0">
        <references count="4">
          <reference field="1" count="1" selected="0">
            <x v="0"/>
          </reference>
          <reference field="5" count="1">
            <x v="15"/>
          </reference>
          <reference field="12" count="1" selected="0">
            <x v="6"/>
          </reference>
          <reference field="13" count="1" selected="0">
            <x v="31"/>
          </reference>
        </references>
      </pivotArea>
    </format>
    <format dxfId="285">
      <pivotArea dataOnly="0" labelOnly="1" outline="0" fieldPosition="0">
        <references count="4">
          <reference field="1" count="1" selected="0">
            <x v="0"/>
          </reference>
          <reference field="5" count="1">
            <x v="15"/>
          </reference>
          <reference field="12" count="1" selected="0">
            <x v="7"/>
          </reference>
          <reference field="13" count="1" selected="0">
            <x v="32"/>
          </reference>
        </references>
      </pivotArea>
    </format>
    <format dxfId="284">
      <pivotArea dataOnly="0" labelOnly="1" outline="0" fieldPosition="0">
        <references count="4">
          <reference field="1" count="1" selected="0">
            <x v="0"/>
          </reference>
          <reference field="5" count="1">
            <x v="12"/>
          </reference>
          <reference field="12" count="1" selected="0">
            <x v="8"/>
          </reference>
          <reference field="13" count="1" selected="0">
            <x v="30"/>
          </reference>
        </references>
      </pivotArea>
    </format>
    <format dxfId="283">
      <pivotArea dataOnly="0" labelOnly="1" outline="0" fieldPosition="0">
        <references count="4">
          <reference field="1" count="1" selected="0">
            <x v="0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82">
      <pivotArea dataOnly="0" labelOnly="1" outline="0" fieldPosition="0">
        <references count="4">
          <reference field="1" count="1" selected="0">
            <x v="1"/>
          </reference>
          <reference field="5" count="1">
            <x v="1"/>
          </reference>
          <reference field="12" count="1" selected="0">
            <x v="2"/>
          </reference>
          <reference field="13" count="1" selected="0">
            <x v="35"/>
          </reference>
        </references>
      </pivotArea>
    </format>
    <format dxfId="281">
      <pivotArea dataOnly="0" labelOnly="1" outline="0" fieldPosition="0">
        <references count="4">
          <reference field="1" count="1" selected="0">
            <x v="2"/>
          </reference>
          <reference field="5" count="1">
            <x v="11"/>
          </reference>
          <reference field="12" count="1" selected="0">
            <x v="1"/>
          </reference>
          <reference field="13" count="1" selected="0">
            <x v="34"/>
          </reference>
        </references>
      </pivotArea>
    </format>
    <format dxfId="280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9"/>
          </reference>
          <reference field="13" count="1" selected="0">
            <x v="22"/>
          </reference>
        </references>
      </pivotArea>
    </format>
    <format dxfId="279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10"/>
          </reference>
          <reference field="13" count="1" selected="0">
            <x v="27"/>
          </reference>
        </references>
      </pivotArea>
    </format>
    <format dxfId="278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11"/>
          </reference>
          <reference field="13" count="1" selected="0">
            <x v="20"/>
          </reference>
        </references>
      </pivotArea>
    </format>
    <format dxfId="277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12"/>
          </reference>
          <reference field="13" count="1" selected="0">
            <x v="15"/>
          </reference>
        </references>
      </pivotArea>
    </format>
    <format dxfId="276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28"/>
          </reference>
          <reference field="13" count="1" selected="0">
            <x v="13"/>
          </reference>
        </references>
      </pivotArea>
    </format>
    <format dxfId="275">
      <pivotArea dataOnly="0" labelOnly="1" outline="0" fieldPosition="0">
        <references count="4">
          <reference field="1" count="1" selected="0">
            <x v="3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74">
      <pivotArea dataOnly="0" labelOnly="1" outline="0" fieldPosition="0">
        <references count="4">
          <reference field="1" count="1" selected="0">
            <x v="4"/>
          </reference>
          <reference field="5" count="1">
            <x v="3"/>
          </reference>
          <reference field="12" count="1" selected="0">
            <x v="5"/>
          </reference>
          <reference field="13" count="1" selected="0">
            <x v="7"/>
          </reference>
        </references>
      </pivotArea>
    </format>
    <format dxfId="273">
      <pivotArea dataOnly="0" labelOnly="1" outline="0" fieldPosition="0">
        <references count="4">
          <reference field="1" count="1" selected="0">
            <x v="4"/>
          </reference>
          <reference field="5" count="1">
            <x v="12"/>
          </reference>
          <reference field="12" count="1" selected="0">
            <x v="13"/>
          </reference>
          <reference field="13" count="1" selected="0">
            <x v="24"/>
          </reference>
        </references>
      </pivotArea>
    </format>
    <format dxfId="272">
      <pivotArea dataOnly="0" labelOnly="1" outline="0" fieldPosition="0">
        <references count="4">
          <reference field="1" count="1" selected="0">
            <x v="4"/>
          </reference>
          <reference field="5" count="1">
            <x v="12"/>
          </reference>
          <reference field="12" count="1" selected="0">
            <x v="14"/>
          </reference>
          <reference field="13" count="1" selected="0">
            <x v="17"/>
          </reference>
        </references>
      </pivotArea>
    </format>
    <format dxfId="271">
      <pivotArea dataOnly="0" labelOnly="1" outline="0" fieldPosition="0">
        <references count="4">
          <reference field="1" count="1" selected="0">
            <x v="4"/>
          </reference>
          <reference field="5" count="1">
            <x v="12"/>
          </reference>
          <reference field="12" count="1" selected="0">
            <x v="15"/>
          </reference>
          <reference field="13" count="1" selected="0">
            <x v="16"/>
          </reference>
        </references>
      </pivotArea>
    </format>
    <format dxfId="270">
      <pivotArea dataOnly="0" labelOnly="1" outline="0" fieldPosition="0">
        <references count="4">
          <reference field="1" count="1" selected="0">
            <x v="4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69">
      <pivotArea dataOnly="0" labelOnly="1" outline="0" fieldPosition="0">
        <references count="4">
          <reference field="1" count="1" selected="0">
            <x v="5"/>
          </reference>
          <reference field="5" count="1">
            <x v="12"/>
          </reference>
          <reference field="12" count="1" selected="0">
            <x v="16"/>
          </reference>
          <reference field="13" count="1" selected="0">
            <x v="21"/>
          </reference>
        </references>
      </pivotArea>
    </format>
    <format dxfId="268">
      <pivotArea dataOnly="0" labelOnly="1" outline="0" fieldPosition="0">
        <references count="4">
          <reference field="1" count="1" selected="0">
            <x v="5"/>
          </reference>
          <reference field="5" count="1">
            <x v="12"/>
          </reference>
          <reference field="12" count="1" selected="0">
            <x v="17"/>
          </reference>
          <reference field="13" count="1" selected="0">
            <x v="14"/>
          </reference>
        </references>
      </pivotArea>
    </format>
    <format dxfId="267">
      <pivotArea dataOnly="0" labelOnly="1" outline="0" fieldPosition="0">
        <references count="4">
          <reference field="1" count="1" selected="0">
            <x v="5"/>
          </reference>
          <reference field="5" count="1">
            <x v="7"/>
          </reference>
          <reference field="12" count="1" selected="0">
            <x v="27"/>
          </reference>
          <reference field="13" count="1" selected="0">
            <x v="6"/>
          </reference>
        </references>
      </pivotArea>
    </format>
    <format dxfId="266">
      <pivotArea dataOnly="0" labelOnly="1" outline="0" fieldPosition="0">
        <references count="4">
          <reference field="1" count="1" selected="0">
            <x v="5"/>
          </reference>
          <reference field="5" count="1">
            <x v="12"/>
          </reference>
          <reference field="12" count="1" selected="0">
            <x v="29"/>
          </reference>
          <reference field="13" count="1" selected="0">
            <x v="23"/>
          </reference>
        </references>
      </pivotArea>
    </format>
    <format dxfId="265">
      <pivotArea dataOnly="0" labelOnly="1" outline="0" fieldPosition="0">
        <references count="4">
          <reference field="1" count="1" selected="0">
            <x v="5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64">
      <pivotArea dataOnly="0" labelOnly="1" outline="0" fieldPosition="0">
        <references count="4">
          <reference field="1" count="1" selected="0">
            <x v="6"/>
          </reference>
          <reference field="5" count="1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263">
      <pivotArea dataOnly="0" labelOnly="1" outline="0" fieldPosition="0">
        <references count="4">
          <reference field="1" count="1" selected="0">
            <x v="6"/>
          </reference>
          <reference field="5" count="1">
            <x v="3"/>
          </reference>
          <reference field="12" count="1" selected="0">
            <x v="18"/>
          </reference>
          <reference field="13" count="1" selected="0">
            <x v="11"/>
          </reference>
        </references>
      </pivotArea>
    </format>
    <format dxfId="262">
      <pivotArea dataOnly="0" labelOnly="1" outline="0" fieldPosition="0">
        <references count="4">
          <reference field="1" count="1" selected="0">
            <x v="6"/>
          </reference>
          <reference field="5" count="1">
            <x v="3"/>
          </reference>
          <reference field="12" count="1" selected="0">
            <x v="19"/>
          </reference>
          <reference field="13" count="1" selected="0">
            <x v="9"/>
          </reference>
        </references>
      </pivotArea>
    </format>
    <format dxfId="261">
      <pivotArea dataOnly="0" labelOnly="1" outline="0" fieldPosition="0">
        <references count="4">
          <reference field="1" count="1" selected="0">
            <x v="6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60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3"/>
          </reference>
          <reference field="13" count="1" selected="0">
            <x v="19"/>
          </reference>
        </references>
      </pivotArea>
    </format>
    <format dxfId="259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20"/>
          </reference>
          <reference field="13" count="1" selected="0">
            <x v="25"/>
          </reference>
        </references>
      </pivotArea>
    </format>
    <format dxfId="258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21"/>
          </reference>
          <reference field="13" count="1" selected="0">
            <x v="12"/>
          </reference>
        </references>
      </pivotArea>
    </format>
    <format dxfId="257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22"/>
          </reference>
          <reference field="13" count="1" selected="0">
            <x v="18"/>
          </reference>
        </references>
      </pivotArea>
    </format>
    <format dxfId="256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55">
      <pivotArea dataOnly="0" labelOnly="1" outline="0" fieldPosition="0">
        <references count="4">
          <reference field="1" count="1" selected="0">
            <x v="8"/>
          </reference>
          <reference field="5" count="1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254">
      <pivotArea dataOnly="0" labelOnly="1" outline="0" fieldPosition="0">
        <references count="4">
          <reference field="1" count="1" selected="0">
            <x v="9"/>
          </reference>
          <reference field="5" count="1">
            <x v="12"/>
          </reference>
          <reference field="12" count="1" selected="0">
            <x v="23"/>
          </reference>
          <reference field="13" count="1" selected="0">
            <x v="28"/>
          </reference>
        </references>
      </pivotArea>
    </format>
    <format dxfId="253">
      <pivotArea dataOnly="0" labelOnly="1" outline="0" fieldPosition="0">
        <references count="4">
          <reference field="1" count="1" selected="0">
            <x v="9"/>
          </reference>
          <reference field="5" count="1">
            <x v="12"/>
          </reference>
          <reference field="12" count="1" selected="0">
            <x v="24"/>
          </reference>
          <reference field="13" count="1" selected="0">
            <x v="26"/>
          </reference>
        </references>
      </pivotArea>
    </format>
    <format dxfId="252">
      <pivotArea dataOnly="0" labelOnly="1" outline="0" fieldPosition="0">
        <references count="4">
          <reference field="1" count="1" selected="0">
            <x v="10"/>
          </reference>
          <reference field="5" count="1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251">
      <pivotArea dataOnly="0" labelOnly="1" outline="0" fieldPosition="0">
        <references count="4">
          <reference field="1" count="1" selected="0">
            <x v="10"/>
          </reference>
          <reference field="5" count="1">
            <x v="3"/>
          </reference>
          <reference field="12" count="1" selected="0">
            <x v="25"/>
          </reference>
          <reference field="13" count="1" selected="0">
            <x v="10"/>
          </reference>
        </references>
      </pivotArea>
    </format>
    <format dxfId="250">
      <pivotArea dataOnly="0" labelOnly="1" outline="0" fieldPosition="0">
        <references count="4">
          <reference field="1" count="1" selected="0">
            <x v="10"/>
          </reference>
          <reference field="5" count="1">
            <x v="3"/>
          </reference>
          <reference field="12" count="1" selected="0">
            <x v="26"/>
          </reference>
          <reference field="13" count="1" selected="0">
            <x v="8"/>
          </reference>
        </references>
      </pivotArea>
    </format>
    <format dxfId="249">
      <pivotArea dataOnly="0" labelOnly="1" outline="0" fieldPosition="0">
        <references count="4">
          <reference field="1" count="1" selected="0">
            <x v="11"/>
          </reference>
          <reference field="5" count="1">
            <x v="12"/>
          </reference>
          <reference field="12" count="1" selected="0">
            <x v="12"/>
          </reference>
          <reference field="13" count="1" selected="0">
            <x v="15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11"/>
          </reference>
          <reference field="5" count="1">
            <x v="12"/>
          </reference>
          <reference field="12" count="1" selected="0">
            <x v="32"/>
          </reference>
          <reference field="13" count="1" selected="0">
            <x v="37"/>
          </reference>
        </references>
      </pivotArea>
    </format>
    <format dxfId="247">
      <pivotArea dataOnly="0" labelOnly="1" outline="0" fieldPosition="0">
        <references count="4">
          <reference field="1" count="1" selected="0">
            <x v="11"/>
          </reference>
          <reference field="5" count="1">
            <x v="12"/>
          </reference>
          <reference field="12" count="1" selected="0">
            <x v="33"/>
          </reference>
          <reference field="13" count="1" selected="0">
            <x v="38"/>
          </reference>
        </references>
      </pivotArea>
    </format>
    <format dxfId="246">
      <pivotArea dataOnly="0" labelOnly="1" outline="0" fieldPosition="0">
        <references count="4">
          <reference field="1" count="1" selected="0">
            <x v="12"/>
          </reference>
          <reference field="5" count="1">
            <x v="14"/>
          </reference>
          <reference field="12" count="1" selected="0">
            <x v="34"/>
          </reference>
          <reference field="13" count="1" selected="0">
            <x v="39"/>
          </reference>
        </references>
      </pivotArea>
    </format>
    <format dxfId="245">
      <pivotArea dataOnly="0" labelOnly="1" outline="0" fieldPosition="0">
        <references count="4">
          <reference field="1" count="1" selected="0">
            <x v="12"/>
          </reference>
          <reference field="5" count="1">
            <x v="13"/>
          </reference>
          <reference field="12" count="1" selected="0">
            <x v="35"/>
          </reference>
          <reference field="13" count="1" selected="0">
            <x v="40"/>
          </reference>
        </references>
      </pivotArea>
    </format>
    <format dxfId="244">
      <pivotArea dataOnly="0" labelOnly="1" outline="0" fieldPosition="0">
        <references count="4">
          <reference field="1" count="1" selected="0">
            <x v="12"/>
          </reference>
          <reference field="5" count="1">
            <x v="7"/>
          </reference>
          <reference field="12" count="1" selected="0">
            <x v="36"/>
          </reference>
          <reference field="13" count="1" selected="0">
            <x v="41"/>
          </reference>
        </references>
      </pivotArea>
    </format>
    <format dxfId="243">
      <pivotArea dataOnly="0" labelOnly="1" outline="0" fieldPosition="0">
        <references count="4">
          <reference field="1" count="1" selected="0">
            <x v="12"/>
          </reference>
          <reference field="5" count="1">
            <x v="10"/>
          </reference>
          <reference field="12" count="1" selected="0">
            <x v="37"/>
          </reference>
          <reference field="13" count="1" selected="0">
            <x v="42"/>
          </reference>
        </references>
      </pivotArea>
    </format>
    <format dxfId="242">
      <pivotArea dataOnly="0" labelOnly="1" outline="0" fieldPosition="0">
        <references count="4">
          <reference field="1" count="1" selected="0">
            <x v="12"/>
          </reference>
          <reference field="5" count="1">
            <x v="12"/>
          </reference>
          <reference field="12" count="1" selected="0">
            <x v="38"/>
          </reference>
          <reference field="13" count="1" selected="0">
            <x v="43"/>
          </reference>
        </references>
      </pivotArea>
    </format>
    <format dxfId="241">
      <pivotArea dataOnly="0" labelOnly="1" outline="0" fieldPosition="0">
        <references count="4">
          <reference field="1" count="1" selected="0">
            <x v="12"/>
          </reference>
          <reference field="5" count="1">
            <x v="8"/>
          </reference>
          <reference field="12" count="1" selected="0">
            <x v="39"/>
          </reference>
          <reference field="13" count="1" selected="0">
            <x v="44"/>
          </reference>
        </references>
      </pivotArea>
    </format>
    <format dxfId="240">
      <pivotArea dataOnly="0" labelOnly="1" outline="0" fieldPosition="0">
        <references count="4">
          <reference field="1" count="1" selected="0">
            <x v="13"/>
          </reference>
          <reference field="5" count="1">
            <x v="14"/>
          </reference>
          <reference field="12" count="1" selected="0">
            <x v="40"/>
          </reference>
          <reference field="13" count="1" selected="0">
            <x v="45"/>
          </reference>
        </references>
      </pivotArea>
    </format>
    <format dxfId="239">
      <pivotArea dataOnly="0" labelOnly="1" outline="0" fieldPosition="0">
        <references count="4">
          <reference field="1" count="1" selected="0">
            <x v="13"/>
          </reference>
          <reference field="5" count="1">
            <x v="7"/>
          </reference>
          <reference field="12" count="1" selected="0">
            <x v="41"/>
          </reference>
          <reference field="13" count="1" selected="0">
            <x v="46"/>
          </reference>
        </references>
      </pivotArea>
    </format>
    <format dxfId="238">
      <pivotArea dataOnly="0" labelOnly="1" outline="0" fieldPosition="0">
        <references count="4">
          <reference field="1" count="1" selected="0">
            <x v="13"/>
          </reference>
          <reference field="5" count="1">
            <x v="12"/>
          </reference>
          <reference field="12" count="1" selected="0">
            <x v="42"/>
          </reference>
          <reference field="13" count="1" selected="0">
            <x v="47"/>
          </reference>
        </references>
      </pivotArea>
    </format>
    <format dxfId="237">
      <pivotArea dataOnly="0" labelOnly="1" outline="0" fieldPosition="0">
        <references count="4">
          <reference field="1" count="1" selected="0">
            <x v="13"/>
          </reference>
          <reference field="5" count="1">
            <x v="8"/>
          </reference>
          <reference field="12" count="1" selected="0">
            <x v="43"/>
          </reference>
          <reference field="13" count="1" selected="0">
            <x v="48"/>
          </reference>
        </references>
      </pivotArea>
    </format>
    <format dxfId="236">
      <pivotArea dataOnly="0" labelOnly="1" outline="0" fieldPosition="0">
        <references count="4">
          <reference field="1" count="1" selected="0">
            <x v="13"/>
          </reference>
          <reference field="5" count="1">
            <x v="10"/>
          </reference>
          <reference field="12" count="1" selected="0">
            <x v="44"/>
          </reference>
          <reference field="13" count="1" selected="0">
            <x v="49"/>
          </reference>
        </references>
      </pivotArea>
    </format>
    <format dxfId="235">
      <pivotArea dataOnly="0" labelOnly="1" outline="0" fieldPosition="0">
        <references count="4">
          <reference field="1" count="1" selected="0">
            <x v="14"/>
          </reference>
          <reference field="5" count="1">
            <x v="13"/>
          </reference>
          <reference field="12" count="1" selected="0">
            <x v="35"/>
          </reference>
          <reference field="13" count="1" selected="0">
            <x v="40"/>
          </reference>
        </references>
      </pivotArea>
    </format>
    <format dxfId="234">
      <pivotArea dataOnly="0" labelOnly="1" outline="0" fieldPosition="0">
        <references count="4">
          <reference field="1" count="1" selected="0">
            <x v="14"/>
          </reference>
          <reference field="5" count="1">
            <x v="12"/>
          </reference>
          <reference field="12" count="1" selected="0">
            <x v="45"/>
          </reference>
          <reference field="13" count="1" selected="0">
            <x v="50"/>
          </reference>
        </references>
      </pivotArea>
    </format>
    <format dxfId="233">
      <pivotArea dataOnly="0" labelOnly="1" outline="0" fieldPosition="0">
        <references count="4">
          <reference field="1" count="1" selected="0">
            <x v="14"/>
          </reference>
          <reference field="5" count="1">
            <x v="14"/>
          </reference>
          <reference field="12" count="1" selected="0">
            <x v="46"/>
          </reference>
          <reference field="13" count="1" selected="0">
            <x v="51"/>
          </reference>
        </references>
      </pivotArea>
    </format>
    <format dxfId="232">
      <pivotArea dataOnly="0" labelOnly="1" outline="0" fieldPosition="0">
        <references count="4">
          <reference field="1" count="1" selected="0">
            <x v="14"/>
          </reference>
          <reference field="5" count="1">
            <x v="12"/>
          </reference>
          <reference field="12" count="1" selected="0">
            <x v="47"/>
          </reference>
          <reference field="13" count="1" selected="0">
            <x v="52"/>
          </reference>
        </references>
      </pivotArea>
    </format>
    <format dxfId="231">
      <pivotArea dataOnly="0" labelOnly="1" outline="0" fieldPosition="0">
        <references count="4">
          <reference field="1" count="1" selected="0">
            <x v="14"/>
          </reference>
          <reference field="5" count="1">
            <x v="12"/>
          </reference>
          <reference field="12" count="1" selected="0">
            <x v="48"/>
          </reference>
          <reference field="13" count="1" selected="0">
            <x v="53"/>
          </reference>
        </references>
      </pivotArea>
    </format>
    <format dxfId="230">
      <pivotArea dataOnly="0" labelOnly="1" outline="0" fieldPosition="0">
        <references count="4">
          <reference field="1" count="1" selected="0">
            <x v="14"/>
          </reference>
          <reference field="5" count="1">
            <x v="12"/>
          </reference>
          <reference field="12" count="1" selected="0">
            <x v="49"/>
          </reference>
          <reference field="13" count="1" selected="0">
            <x v="54"/>
          </reference>
        </references>
      </pivotArea>
    </format>
    <format dxfId="229">
      <pivotArea dataOnly="0" labelOnly="1" outline="0" fieldPosition="0">
        <references count="4">
          <reference field="1" count="1" selected="0">
            <x v="14"/>
          </reference>
          <reference field="5" count="1">
            <x v="9"/>
          </reference>
          <reference field="12" count="1" selected="0">
            <x v="50"/>
          </reference>
          <reference field="13" count="1" selected="0">
            <x v="55"/>
          </reference>
        </references>
      </pivotArea>
    </format>
    <format dxfId="228">
      <pivotArea dataOnly="0" labelOnly="1" outline="0" fieldPosition="0">
        <references count="4">
          <reference field="1" count="1" selected="0">
            <x v="14"/>
          </reference>
          <reference field="5" count="1">
            <x v="9"/>
          </reference>
          <reference field="12" count="1" selected="0">
            <x v="51"/>
          </reference>
          <reference field="13" count="1" selected="0">
            <x v="56"/>
          </reference>
        </references>
      </pivotArea>
    </format>
    <format dxfId="227">
      <pivotArea dataOnly="0" labelOnly="1" outline="0" fieldPosition="0">
        <references count="4">
          <reference field="1" count="1" selected="0">
            <x v="14"/>
          </reference>
          <reference field="5" count="1">
            <x v="8"/>
          </reference>
          <reference field="12" count="1" selected="0">
            <x v="52"/>
          </reference>
          <reference field="13" count="1" selected="0">
            <x v="57"/>
          </reference>
        </references>
      </pivotArea>
    </format>
    <format dxfId="226">
      <pivotArea dataOnly="0" labelOnly="1" outline="0" fieldPosition="0">
        <references count="4">
          <reference field="1" count="1" selected="0">
            <x v="14"/>
          </reference>
          <reference field="5" count="1">
            <x v="7"/>
          </reference>
          <reference field="12" count="1" selected="0">
            <x v="53"/>
          </reference>
          <reference field="13" count="1" selected="0">
            <x v="46"/>
          </reference>
        </references>
      </pivotArea>
    </format>
    <format dxfId="225">
      <pivotArea dataOnly="0" labelOnly="1" outline="0" fieldPosition="0">
        <references count="4">
          <reference field="1" count="1" selected="0">
            <x v="14"/>
          </reference>
          <reference field="5" count="1">
            <x v="10"/>
          </reference>
          <reference field="12" count="1" selected="0">
            <x v="54"/>
          </reference>
          <reference field="13" count="1" selected="0">
            <x v="58"/>
          </reference>
        </references>
      </pivotArea>
    </format>
    <format dxfId="224">
      <pivotArea dataOnly="0" labelOnly="1" outline="0" fieldPosition="0">
        <references count="4">
          <reference field="1" count="1" selected="0">
            <x v="15"/>
          </reference>
          <reference field="5" count="1">
            <x v="14"/>
          </reference>
          <reference field="12" count="1" selected="0">
            <x v="46"/>
          </reference>
          <reference field="13" count="1" selected="0">
            <x v="51"/>
          </reference>
        </references>
      </pivotArea>
    </format>
    <format dxfId="223">
      <pivotArea dataOnly="0" labelOnly="1" outline="0" fieldPosition="0">
        <references count="4">
          <reference field="1" count="1" selected="0">
            <x v="15"/>
          </reference>
          <reference field="5" count="1">
            <x v="7"/>
          </reference>
          <reference field="12" count="1" selected="0">
            <x v="53"/>
          </reference>
          <reference field="13" count="1" selected="0">
            <x v="46"/>
          </reference>
        </references>
      </pivotArea>
    </format>
    <format dxfId="222">
      <pivotArea dataOnly="0" labelOnly="1" outline="0" fieldPosition="0">
        <references count="4">
          <reference field="1" count="1" selected="0">
            <x v="15"/>
          </reference>
          <reference field="5" count="1">
            <x v="12"/>
          </reference>
          <reference field="12" count="1" selected="0">
            <x v="55"/>
          </reference>
          <reference field="13" count="1" selected="0">
            <x v="59"/>
          </reference>
        </references>
      </pivotArea>
    </format>
    <format dxfId="221">
      <pivotArea dataOnly="0" labelOnly="1" outline="0" fieldPosition="0">
        <references count="4">
          <reference field="1" count="1" selected="0">
            <x v="15"/>
          </reference>
          <reference field="5" count="1">
            <x v="16"/>
          </reference>
          <reference field="12" count="1" selected="0">
            <x v="56"/>
          </reference>
          <reference field="13" count="1" selected="0">
            <x v="60"/>
          </reference>
        </references>
      </pivotArea>
    </format>
    <format dxfId="220">
      <pivotArea dataOnly="0" labelOnly="1" outline="0" fieldPosition="0">
        <references count="4">
          <reference field="1" count="1" selected="0">
            <x v="15"/>
          </reference>
          <reference field="5" count="1">
            <x v="16"/>
          </reference>
          <reference field="12" count="1" selected="0">
            <x v="57"/>
          </reference>
          <reference field="13" count="1" selected="0">
            <x v="61"/>
          </reference>
        </references>
      </pivotArea>
    </format>
    <format dxfId="219">
      <pivotArea dataOnly="0" labelOnly="1" outline="0" fieldPosition="0">
        <references count="4">
          <reference field="1" count="1" selected="0">
            <x v="15"/>
          </reference>
          <reference field="5" count="1">
            <x v="16"/>
          </reference>
          <reference field="12" count="1" selected="0">
            <x v="58"/>
          </reference>
          <reference field="13" count="1" selected="0">
            <x v="62"/>
          </reference>
        </references>
      </pivotArea>
    </format>
    <format dxfId="218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217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45"/>
          </reference>
          <reference field="13" count="1" selected="0">
            <x v="50"/>
          </reference>
        </references>
      </pivotArea>
    </format>
    <format dxfId="216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59"/>
          </reference>
          <reference field="13" count="1" selected="0">
            <x v="63"/>
          </reference>
        </references>
      </pivotArea>
    </format>
    <format dxfId="215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60"/>
          </reference>
          <reference field="13" count="1" selected="0">
            <x v="64"/>
          </reference>
        </references>
      </pivotArea>
    </format>
    <format dxfId="214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61"/>
          </reference>
          <reference field="13" count="1" selected="0">
            <x v="65"/>
          </reference>
        </references>
      </pivotArea>
    </format>
    <format dxfId="213">
      <pivotArea dataOnly="0" labelOnly="1" outline="0" fieldPosition="0">
        <references count="4">
          <reference field="1" count="1" selected="0">
            <x v="16"/>
          </reference>
          <reference field="5" count="1">
            <x v="12"/>
          </reference>
          <reference field="12" count="1" selected="0">
            <x v="62"/>
          </reference>
          <reference field="13" count="1" selected="0">
            <x v="66"/>
          </reference>
        </references>
      </pivotArea>
    </format>
    <format dxfId="212">
      <pivotArea dataOnly="0" labelOnly="1" outline="0" fieldPosition="0">
        <references count="4">
          <reference field="1" count="1" selected="0">
            <x v="17"/>
          </reference>
          <reference field="5" count="1">
            <x v="16"/>
          </reference>
          <reference field="12" count="1" selected="0">
            <x v="46"/>
          </reference>
          <reference field="13" count="1" selected="0">
            <x v="51"/>
          </reference>
        </references>
      </pivotArea>
    </format>
    <format dxfId="211">
      <pivotArea dataOnly="0" labelOnly="1" outline="0" fieldPosition="0">
        <references count="4">
          <reference field="1" count="1" selected="0">
            <x v="17"/>
          </reference>
          <reference field="5" count="1">
            <x v="12"/>
          </reference>
          <reference field="12" count="1" selected="0">
            <x v="63"/>
          </reference>
          <reference field="13" count="1" selected="0">
            <x v="67"/>
          </reference>
        </references>
      </pivotArea>
    </format>
    <format dxfId="210">
      <pivotArea dataOnly="0" labelOnly="1" outline="0" fieldPosition="0">
        <references count="4">
          <reference field="1" count="1" selected="0">
            <x v="17"/>
          </reference>
          <reference field="5" count="1">
            <x v="16"/>
          </reference>
          <reference field="12" count="1" selected="0">
            <x v="64"/>
          </reference>
          <reference field="13" count="1" selected="0">
            <x v="68"/>
          </reference>
        </references>
      </pivotArea>
    </format>
    <format dxfId="209">
      <pivotArea dataOnly="0" labelOnly="1" outline="0" fieldPosition="0">
        <references count="4">
          <reference field="1" count="1" selected="0">
            <x v="17"/>
          </reference>
          <reference field="5" count="1">
            <x v="16"/>
          </reference>
          <reference field="12" count="1" selected="0">
            <x v="65"/>
          </reference>
          <reference field="13" count="1" selected="0">
            <x v="69"/>
          </reference>
        </references>
      </pivotArea>
    </format>
    <format dxfId="208">
      <pivotArea dataOnly="0" labelOnly="1" outline="0" fieldPosition="0">
        <references count="4">
          <reference field="1" count="1" selected="0">
            <x v="17"/>
          </reference>
          <reference field="5" count="1">
            <x v="16"/>
          </reference>
          <reference field="12" count="1" selected="0">
            <x v="66"/>
          </reference>
          <reference field="13" count="1" selected="0">
            <x v="70"/>
          </reference>
        </references>
      </pivotArea>
    </format>
    <format dxfId="207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67"/>
          </reference>
          <reference field="13" count="1" selected="0">
            <x v="71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68"/>
          </reference>
          <reference field="13" count="1" selected="0">
            <x v="72"/>
          </reference>
        </references>
      </pivotArea>
    </format>
    <format dxfId="205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69"/>
          </reference>
          <reference field="13" count="1" selected="0">
            <x v="73"/>
          </reference>
        </references>
      </pivotArea>
    </format>
    <format dxfId="204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70"/>
          </reference>
          <reference field="13" count="1" selected="0">
            <x v="74"/>
          </reference>
        </references>
      </pivotArea>
    </format>
    <format dxfId="203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71"/>
          </reference>
          <reference field="13" count="1" selected="0">
            <x v="71"/>
          </reference>
        </references>
      </pivotArea>
    </format>
    <format dxfId="202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72"/>
          </reference>
          <reference field="13" count="1" selected="0">
            <x v="72"/>
          </reference>
        </references>
      </pivotArea>
    </format>
    <format dxfId="201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73"/>
          </reference>
          <reference field="13" count="1" selected="0">
            <x v="75"/>
          </reference>
        </references>
      </pivotArea>
    </format>
    <format dxfId="200">
      <pivotArea dataOnly="0" labelOnly="1" outline="0" fieldPosition="0">
        <references count="4">
          <reference field="1" count="1" selected="0">
            <x v="18"/>
          </reference>
          <reference field="5" count="1">
            <x v="12"/>
          </reference>
          <reference field="12" count="1" selected="0">
            <x v="74"/>
          </reference>
          <reference field="13" count="1" selected="0">
            <x v="74"/>
          </reference>
        </references>
      </pivotArea>
    </format>
    <format dxfId="199">
      <pivotArea dataOnly="0" labelOnly="1" outline="0" fieldPosition="0">
        <references count="4">
          <reference field="1" count="1" selected="0">
            <x v="19"/>
          </reference>
          <reference field="5" count="1">
            <x v="12"/>
          </reference>
          <reference field="12" count="1" selected="0">
            <x v="30"/>
          </reference>
          <reference field="13" count="1" selected="0">
            <x v="29"/>
          </reference>
        </references>
      </pivotArea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7">
      <pivotArea outline="0" collapsedLevelsAreSubtotals="1" fieldPosition="0">
        <references count="4">
          <reference field="1" count="1" selected="0">
            <x v="0"/>
          </reference>
          <reference field="5" count="1" selected="0">
            <x v="15"/>
          </reference>
          <reference field="12" count="2" selected="0">
            <x v="6"/>
            <x v="7"/>
          </reference>
          <reference field="13" count="2" selected="0">
            <x v="31"/>
            <x v="32"/>
          </reference>
        </references>
      </pivotArea>
    </format>
    <format dxfId="196">
      <pivotArea dataOnly="0" labelOnly="1" outline="0" offset="IV2:IV3" fieldPosition="0">
        <references count="1">
          <reference field="1" count="1">
            <x v="0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0"/>
          </reference>
          <reference field="12" count="2">
            <x v="6"/>
            <x v="7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6"/>
          </reference>
          <reference field="13" count="1">
            <x v="31"/>
          </reference>
        </references>
      </pivotArea>
    </format>
    <format dxfId="193">
      <pivotArea dataOnly="0" labelOnly="1" outline="0" fieldPosition="0">
        <references count="3">
          <reference field="1" count="1" selected="0">
            <x v="0"/>
          </reference>
          <reference field="12" count="1" selected="0">
            <x v="7"/>
          </reference>
          <reference field="13" count="1">
            <x v="32"/>
          </reference>
        </references>
      </pivotArea>
    </format>
    <format dxfId="192">
      <pivotArea dataOnly="0" labelOnly="1" outline="0" fieldPosition="0">
        <references count="4">
          <reference field="1" count="1" selected="0">
            <x v="0"/>
          </reference>
          <reference field="5" count="1">
            <x v="15"/>
          </reference>
          <reference field="12" count="1" selected="0">
            <x v="6"/>
          </reference>
          <reference field="13" count="1" selected="0">
            <x v="31"/>
          </reference>
        </references>
      </pivotArea>
    </format>
    <format dxfId="191">
      <pivotArea dataOnly="0" labelOnly="1" outline="0" fieldPosition="0">
        <references count="4">
          <reference field="1" count="1" selected="0">
            <x v="0"/>
          </reference>
          <reference field="5" count="1">
            <x v="15"/>
          </reference>
          <reference field="12" count="1" selected="0">
            <x v="7"/>
          </reference>
          <reference field="13" count="1" selected="0">
            <x v="32"/>
          </reference>
        </references>
      </pivotArea>
    </format>
    <format dxfId="190">
      <pivotArea outline="0" collapsedLevelsAreSubtotals="1" fieldPosition="0">
        <references count="4">
          <reference field="1" count="1" selected="0">
            <x v="7"/>
          </reference>
          <reference field="5" count="1" selected="0">
            <x v="12"/>
          </reference>
          <reference field="12" count="1" selected="0">
            <x v="3"/>
          </reference>
          <reference field="13" count="1" selected="0">
            <x v="19"/>
          </reference>
        </references>
      </pivotArea>
    </format>
    <format dxfId="189">
      <pivotArea dataOnly="0" labelOnly="1" outline="0" offset="IV1" fieldPosition="0">
        <references count="1">
          <reference field="1" count="1">
            <x v="7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7"/>
          </reference>
          <reference field="12" count="1">
            <x v="3"/>
          </reference>
        </references>
      </pivotArea>
    </format>
    <format dxfId="187">
      <pivotArea dataOnly="0" labelOnly="1" outline="0" fieldPosition="0">
        <references count="3">
          <reference field="1" count="1" selected="0">
            <x v="7"/>
          </reference>
          <reference field="12" count="1" selected="0">
            <x v="3"/>
          </reference>
          <reference field="13" count="1">
            <x v="19"/>
          </reference>
        </references>
      </pivotArea>
    </format>
    <format dxfId="186">
      <pivotArea dataOnly="0" labelOnly="1" outline="0" fieldPosition="0">
        <references count="4">
          <reference field="1" count="1" selected="0">
            <x v="7"/>
          </reference>
          <reference field="5" count="1">
            <x v="12"/>
          </reference>
          <reference field="12" count="1" selected="0">
            <x v="3"/>
          </reference>
          <reference field="13" count="1" selected="0">
            <x v="19"/>
          </reference>
        </references>
      </pivotArea>
    </format>
    <format dxfId="185">
      <pivotArea outline="0" collapsedLevelsAreSubtotals="1" fieldPosition="0">
        <references count="4">
          <reference field="1" count="1" selected="0">
            <x v="9"/>
          </reference>
          <reference field="5" count="1" selected="0">
            <x v="12"/>
          </reference>
          <reference field="12" count="1" selected="0">
            <x v="24"/>
          </reference>
          <reference field="13" count="1" selected="0">
            <x v="26"/>
          </reference>
        </references>
      </pivotArea>
    </format>
    <format dxfId="184">
      <pivotArea outline="0" collapsedLevelsAreSubtotals="1" fieldPosition="0">
        <references count="1">
          <reference field="1" count="1" selected="0" defaultSubtotal="1">
            <x v="9"/>
          </reference>
        </references>
      </pivotArea>
    </format>
    <format dxfId="183">
      <pivotArea outline="0" collapsedLevelsAreSubtotals="1" fieldPosition="0">
        <references count="4">
          <reference field="1" count="1" selected="0">
            <x v="10"/>
          </reference>
          <reference field="5" count="1" selected="0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182">
      <pivotArea dataOnly="0" labelOnly="1" outline="0" offset="IV256" fieldPosition="0">
        <references count="1">
          <reference field="1" count="1">
            <x v="9"/>
          </reference>
        </references>
      </pivotArea>
    </format>
    <format dxfId="181">
      <pivotArea dataOnly="0" labelOnly="1" outline="0" fieldPosition="0">
        <references count="1">
          <reference field="1" count="1" defaultSubtotal="1">
            <x v="9"/>
          </reference>
        </references>
      </pivotArea>
    </format>
    <format dxfId="180">
      <pivotArea dataOnly="0" labelOnly="1" outline="0" offset="IV1" fieldPosition="0">
        <references count="1">
          <reference field="1" count="1">
            <x v="10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9"/>
          </reference>
          <reference field="12" count="1">
            <x v="24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10"/>
          </reference>
          <reference field="12" count="1">
            <x v="4"/>
          </reference>
        </references>
      </pivotArea>
    </format>
    <format dxfId="177">
      <pivotArea dataOnly="0" labelOnly="1" outline="0" fieldPosition="0">
        <references count="3">
          <reference field="1" count="1" selected="0">
            <x v="9"/>
          </reference>
          <reference field="12" count="1" selected="0">
            <x v="24"/>
          </reference>
          <reference field="13" count="1">
            <x v="26"/>
          </reference>
        </references>
      </pivotArea>
    </format>
    <format dxfId="176">
      <pivotArea dataOnly="0" labelOnly="1" outline="0" fieldPosition="0">
        <references count="3">
          <reference field="1" count="1" selected="0">
            <x v="10"/>
          </reference>
          <reference field="12" count="1" selected="0">
            <x v="4"/>
          </reference>
          <reference field="13" count="1">
            <x v="5"/>
          </reference>
        </references>
      </pivotArea>
    </format>
    <format dxfId="175">
      <pivotArea dataOnly="0" labelOnly="1" outline="0" fieldPosition="0">
        <references count="4">
          <reference field="1" count="1" selected="0">
            <x v="9"/>
          </reference>
          <reference field="5" count="1">
            <x v="12"/>
          </reference>
          <reference field="12" count="1" selected="0">
            <x v="24"/>
          </reference>
          <reference field="13" count="1" selected="0">
            <x v="26"/>
          </reference>
        </references>
      </pivotArea>
    </format>
    <format dxfId="174">
      <pivotArea dataOnly="0" labelOnly="1" outline="0" fieldPosition="0">
        <references count="4">
          <reference field="1" count="1" selected="0">
            <x v="10"/>
          </reference>
          <reference field="5" count="1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173">
      <pivotArea outline="0" collapsedLevelsAreSubtotals="1" fieldPosition="0">
        <references count="4">
          <reference field="1" count="1" selected="0">
            <x v="11"/>
          </reference>
          <reference field="5" count="1" selected="0">
            <x v="12"/>
          </reference>
          <reference field="12" count="1" selected="0">
            <x v="33"/>
          </reference>
          <reference field="13" count="1" selected="0">
            <x v="38"/>
          </reference>
        </references>
      </pivotArea>
    </format>
    <format dxfId="172">
      <pivotArea dataOnly="0" labelOnly="1" outline="0" offset="IV256" fieldPosition="0">
        <references count="1">
          <reference field="1" count="1">
            <x v="11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11"/>
          </reference>
          <reference field="12" count="1">
            <x v="33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11"/>
          </reference>
          <reference field="12" count="1" selected="0">
            <x v="33"/>
          </reference>
          <reference field="13" count="1">
            <x v="38"/>
          </reference>
        </references>
      </pivotArea>
    </format>
    <format dxfId="169">
      <pivotArea dataOnly="0" labelOnly="1" outline="0" fieldPosition="0">
        <references count="4">
          <reference field="1" count="1" selected="0">
            <x v="11"/>
          </reference>
          <reference field="5" count="1">
            <x v="12"/>
          </reference>
          <reference field="12" count="1" selected="0">
            <x v="33"/>
          </reference>
          <reference field="13" count="1" selected="0">
            <x v="38"/>
          </reference>
        </references>
      </pivotArea>
    </format>
    <format dxfId="168">
      <pivotArea outline="0" collapsedLevelsAreSubtotals="1" fieldPosition="0">
        <references count="4">
          <reference field="1" count="1" selected="0">
            <x v="12"/>
          </reference>
          <reference field="5" count="1" selected="0">
            <x v="7"/>
          </reference>
          <reference field="12" count="1" selected="0">
            <x v="36"/>
          </reference>
          <reference field="13" count="1" selected="0">
            <x v="41"/>
          </reference>
        </references>
      </pivotArea>
    </format>
    <format dxfId="167">
      <pivotArea dataOnly="0" labelOnly="1" outline="0" offset="IV3" fieldPosition="0">
        <references count="1">
          <reference field="1" count="1">
            <x v="12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12"/>
          </reference>
          <reference field="12" count="1">
            <x v="36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12"/>
          </reference>
          <reference field="12" count="1" selected="0">
            <x v="36"/>
          </reference>
          <reference field="13" count="1">
            <x v="41"/>
          </reference>
        </references>
      </pivotArea>
    </format>
    <format dxfId="164">
      <pivotArea dataOnly="0" labelOnly="1" outline="0" fieldPosition="0">
        <references count="4">
          <reference field="1" count="1" selected="0">
            <x v="12"/>
          </reference>
          <reference field="5" count="1">
            <x v="7"/>
          </reference>
          <reference field="12" count="1" selected="0">
            <x v="36"/>
          </reference>
          <reference field="13" count="1" selected="0">
            <x v="41"/>
          </reference>
        </references>
      </pivotArea>
    </format>
    <format dxfId="163">
      <pivotArea outline="0" collapsedLevelsAreSubtotals="1" fieldPosition="0">
        <references count="4">
          <reference field="1" count="1" selected="0">
            <x v="13"/>
          </reference>
          <reference field="5" count="1" selected="0">
            <x v="7"/>
          </reference>
          <reference field="12" count="1" selected="0">
            <x v="41"/>
          </reference>
          <reference field="13" count="1" selected="0">
            <x v="46"/>
          </reference>
        </references>
      </pivotArea>
    </format>
    <format dxfId="162">
      <pivotArea dataOnly="0" labelOnly="1" outline="0" offset="IV2" fieldPosition="0">
        <references count="1">
          <reference field="1" count="1">
            <x v="13"/>
          </reference>
        </references>
      </pivotArea>
    </format>
    <format dxfId="161">
      <pivotArea dataOnly="0" labelOnly="1" outline="0" fieldPosition="0">
        <references count="2">
          <reference field="1" count="1" selected="0">
            <x v="13"/>
          </reference>
          <reference field="12" count="1">
            <x v="41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13"/>
          </reference>
          <reference field="12" count="1" selected="0">
            <x v="41"/>
          </reference>
          <reference field="13" count="1">
            <x v="46"/>
          </reference>
        </references>
      </pivotArea>
    </format>
    <format dxfId="159">
      <pivotArea dataOnly="0" labelOnly="1" outline="0" fieldPosition="0">
        <references count="4">
          <reference field="1" count="1" selected="0">
            <x v="13"/>
          </reference>
          <reference field="5" count="1">
            <x v="7"/>
          </reference>
          <reference field="12" count="1" selected="0">
            <x v="41"/>
          </reference>
          <reference field="13" count="1" selected="0">
            <x v="46"/>
          </reference>
        </references>
      </pivotArea>
    </format>
    <format dxfId="158">
      <pivotArea outline="0" collapsedLevelsAreSubtotals="1" fieldPosition="0">
        <references count="4">
          <reference field="1" count="1" selected="0">
            <x v="15"/>
          </reference>
          <reference field="5" count="1" selected="0">
            <x v="16"/>
          </reference>
          <reference field="12" count="1" selected="0">
            <x v="56"/>
          </reference>
          <reference field="13" count="1" selected="0">
            <x v="60"/>
          </reference>
        </references>
      </pivotArea>
    </format>
    <format dxfId="157">
      <pivotArea dataOnly="0" labelOnly="1" outline="0" offset="IV4" fieldPosition="0">
        <references count="1">
          <reference field="1" count="1">
            <x v="15"/>
          </reference>
        </references>
      </pivotArea>
    </format>
    <format dxfId="156">
      <pivotArea dataOnly="0" labelOnly="1" outline="0" fieldPosition="0">
        <references count="2">
          <reference field="1" count="1" selected="0">
            <x v="15"/>
          </reference>
          <reference field="12" count="1">
            <x v="56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15"/>
          </reference>
          <reference field="12" count="1" selected="0">
            <x v="56"/>
          </reference>
          <reference field="13" count="1">
            <x v="60"/>
          </reference>
        </references>
      </pivotArea>
    </format>
    <format dxfId="154">
      <pivotArea dataOnly="0" labelOnly="1" outline="0" fieldPosition="0">
        <references count="4">
          <reference field="1" count="1" selected="0">
            <x v="15"/>
          </reference>
          <reference field="5" count="1">
            <x v="16"/>
          </reference>
          <reference field="12" count="1" selected="0">
            <x v="56"/>
          </reference>
          <reference field="13" count="1" selected="0">
            <x v="60"/>
          </reference>
        </references>
      </pivotArea>
    </format>
    <format dxfId="153">
      <pivotArea outline="0" collapsedLevelsAreSubtotals="1" fieldPosition="0">
        <references count="4">
          <reference field="1" count="1" selected="0">
            <x v="1"/>
          </reference>
          <reference field="5" count="1" selected="0">
            <x v="1"/>
          </reference>
          <reference field="12" count="1" selected="0">
            <x v="2"/>
          </reference>
          <reference field="13" count="1" selected="0">
            <x v="35"/>
          </reference>
        </references>
      </pivotArea>
    </format>
    <format dxfId="152">
      <pivotArea dataOnly="0" labelOnly="1" outline="0" fieldPosition="0">
        <references count="1">
          <reference field="1" count="1">
            <x v="1"/>
          </reference>
        </references>
      </pivotArea>
    </format>
    <format dxfId="151">
      <pivotArea dataOnly="0" labelOnly="1" outline="0" fieldPosition="0">
        <references count="2">
          <reference field="1" count="1" selected="0">
            <x v="1"/>
          </reference>
          <reference field="12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1"/>
          </reference>
          <reference field="12" count="1" selected="0">
            <x v="2"/>
          </reference>
          <reference field="13" count="1">
            <x v="35"/>
          </reference>
        </references>
      </pivotArea>
    </format>
    <format dxfId="149">
      <pivotArea dataOnly="0" labelOnly="1" outline="0" fieldPosition="0">
        <references count="4">
          <reference field="1" count="1" selected="0">
            <x v="1"/>
          </reference>
          <reference field="5" count="1">
            <x v="1"/>
          </reference>
          <reference field="12" count="1" selected="0">
            <x v="2"/>
          </reference>
          <reference field="13" count="1" selected="0">
            <x v="35"/>
          </reference>
        </references>
      </pivotArea>
    </format>
    <format dxfId="148">
      <pivotArea outline="0" collapsedLevelsAreSubtotals="1" fieldPosition="0">
        <references count="1">
          <reference field="1" count="0" selected="0" defaultSubtotal="1"/>
        </references>
      </pivotArea>
    </format>
    <format dxfId="147">
      <pivotArea outline="0" collapsedLevelsAreSubtotals="1" fieldPosition="0">
        <references count="1">
          <reference field="1" count="0" selected="0" defaultSubtotal="1"/>
        </references>
      </pivotArea>
    </format>
    <format dxfId="146">
      <pivotArea outline="0" collapsedLevelsAreSubtotals="1" fieldPosition="0">
        <references count="4">
          <reference field="1" count="1" selected="0">
            <x v="0"/>
          </reference>
          <reference field="5" count="2" selected="0">
            <x v="12"/>
            <x v="15"/>
          </reference>
          <reference field="12" count="5" selected="0">
            <x v="0"/>
            <x v="6"/>
            <x v="7"/>
            <x v="8"/>
            <x v="30"/>
          </reference>
          <reference field="13" count="5" selected="0">
            <x v="29"/>
            <x v="30"/>
            <x v="31"/>
            <x v="32"/>
            <x v="33"/>
          </reference>
        </references>
      </pivotArea>
    </format>
    <format dxfId="145">
      <pivotArea outline="0" collapsedLevelsAreSubtotals="1" fieldPosition="0">
        <references count="1">
          <reference field="1" count="1" selected="0" defaultSubtotal="1">
            <x v="12"/>
          </reference>
        </references>
      </pivotArea>
    </format>
    <format dxfId="144">
      <pivotArea outline="0" collapsedLevelsAreSubtotals="1" fieldPosition="0">
        <references count="4">
          <reference field="1" count="1" selected="0">
            <x v="13"/>
          </reference>
          <reference field="5" count="1" selected="0">
            <x v="14"/>
          </reference>
          <reference field="12" count="1" selected="0">
            <x v="40"/>
          </reference>
          <reference field="13" count="1" selected="0">
            <x v="45"/>
          </reference>
        </references>
      </pivotArea>
    </format>
    <format dxfId="143">
      <pivotArea outline="0" collapsedLevelsAreSubtotals="1" fieldPosition="0">
        <references count="4">
          <reference field="1" count="1" selected="0">
            <x v="15"/>
          </reference>
          <reference field="5" count="3" selected="0">
            <x v="7"/>
            <x v="12"/>
            <x v="14"/>
          </reference>
          <reference field="12" count="3" selected="0">
            <x v="46"/>
            <x v="53"/>
            <x v="55"/>
          </reference>
          <reference field="13" count="3" selected="0">
            <x v="46"/>
            <x v="51"/>
            <x v="59"/>
          </reference>
        </references>
      </pivotArea>
    </format>
    <format dxfId="142">
      <pivotArea outline="0" collapsedLevelsAreSubtotals="1" fieldPosition="0">
        <references count="4">
          <reference field="1" count="1" selected="0">
            <x v="15"/>
          </reference>
          <reference field="5" count="1" selected="0">
            <x v="16"/>
          </reference>
          <reference field="12" count="2" selected="0">
            <x v="57"/>
            <x v="58"/>
          </reference>
          <reference field="13" count="2" selected="0">
            <x v="61"/>
            <x v="62"/>
          </reference>
        </references>
      </pivotArea>
    </format>
    <format dxfId="141">
      <pivotArea outline="0" collapsedLevelsAreSubtotals="1" fieldPosition="0">
        <references count="1">
          <reference field="1" count="16" selected="0" defaultSubtotal="1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40">
      <pivotArea outline="0" collapsedLevelsAreSubtotals="1" fieldPosition="0">
        <references count="4">
          <reference field="1" count="1" selected="0">
            <x v="6"/>
          </reference>
          <reference field="5" count="1" selected="0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6"/>
          </reference>
          <reference field="12" count="1">
            <x v="4"/>
          </reference>
        </references>
      </pivotArea>
    </format>
    <format dxfId="138">
      <pivotArea dataOnly="0" labelOnly="1" outline="0" fieldPosition="0">
        <references count="3">
          <reference field="1" count="1" selected="0">
            <x v="6"/>
          </reference>
          <reference field="12" count="1" selected="0">
            <x v="4"/>
          </reference>
          <reference field="13" count="1">
            <x v="5"/>
          </reference>
        </references>
      </pivotArea>
    </format>
    <format dxfId="137">
      <pivotArea dataOnly="0" labelOnly="1" outline="0" fieldPosition="0">
        <references count="4">
          <reference field="1" count="1" selected="0">
            <x v="6"/>
          </reference>
          <reference field="5" count="1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  <format dxfId="136">
      <pivotArea outline="0" collapsedLevelsAreSubtotals="1" fieldPosition="0">
        <references count="4">
          <reference field="1" count="1" selected="0">
            <x v="6"/>
          </reference>
          <reference field="5" count="1" selected="0">
            <x v="3"/>
          </reference>
          <reference field="12" count="1" selected="0">
            <x v="4"/>
          </reference>
          <reference field="13" count="1" selected="0">
            <x v="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uľka1" displayName="Tabuľka1" ref="B2:H8" headerRowDxfId="18" dataDxfId="16" headerRowBorderDxfId="17" tableBorderDxfId="15" totalsRowBorderDxfId="14" headerRowCellStyle="Výstup" dataCellStyle="normálne_Prijímatelia OPZ_280610">
  <autoFilter ref="B2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" totalsRowLabel="Celková hodnota" dataDxfId="13" totalsRowDxfId="12" dataCellStyle="normálne_Prijímatelia OPZ_280610"/>
    <tableColumn id="2" name="Ukazovateľ výsledku programu" dataDxfId="11" totalsRowDxfId="10" dataCellStyle="normálne_Hárok1"/>
    <tableColumn id="3" name="Merná jednotka" dataDxfId="9" totalsRowDxfId="8" dataCellStyle="normálne_Hárok1"/>
    <tableColumn id="4" name="Čiastkový cieľ_x000a_2018" dataDxfId="7" totalsRowDxfId="6" dataCellStyle="normálne_Prijímatelia OPZ_280610"/>
    <tableColumn id="5" name="Zazmluvnená hodnota" dataDxfId="5" totalsRowDxfId="4" dataCellStyle="normálne_Prijímatelia OPZ_280610"/>
    <tableColumn id="6" name="Skutočný stav" dataDxfId="3" totalsRowDxfId="2" dataCellStyle="normálne_Prijímatelia OPZ_280610"/>
    <tableColumn id="7" name="Odhad plnenia k 31.12.2018" totalsRowFunction="sum" dataDxfId="1" totalsRowDxfId="0" dataCellStyle="normálne_Prijímatelia OPZ_280610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 filterMode="1"/>
  <dimension ref="A1:K214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3.140625" bestFit="1" customWidth="1"/>
    <col min="3" max="3" width="10" bestFit="1" customWidth="1"/>
    <col min="4" max="4" width="57.7109375" style="4" bestFit="1" customWidth="1"/>
    <col min="5" max="5" width="7.5703125" style="10" bestFit="1" customWidth="1"/>
    <col min="6" max="7" width="12.140625" customWidth="1"/>
    <col min="8" max="8" width="54.7109375" customWidth="1"/>
    <col min="9" max="9" width="13.7109375" style="11" customWidth="1"/>
    <col min="10" max="10" width="10.140625" style="11" customWidth="1"/>
    <col min="11" max="11" width="74.140625" customWidth="1"/>
  </cols>
  <sheetData>
    <row r="1" spans="1:11" ht="25.5" x14ac:dyDescent="0.25">
      <c r="A1" s="1" t="s">
        <v>0</v>
      </c>
      <c r="B1" s="1" t="s">
        <v>1</v>
      </c>
      <c r="C1" s="1" t="s">
        <v>6</v>
      </c>
      <c r="D1" s="1" t="s">
        <v>5</v>
      </c>
      <c r="E1" s="1" t="s">
        <v>462</v>
      </c>
      <c r="F1" s="1" t="s">
        <v>8</v>
      </c>
      <c r="G1" s="1" t="s">
        <v>9</v>
      </c>
      <c r="H1" s="1" t="s">
        <v>474</v>
      </c>
      <c r="I1" s="1" t="s">
        <v>475</v>
      </c>
      <c r="J1" s="1" t="s">
        <v>514</v>
      </c>
      <c r="K1" s="1" t="s">
        <v>488</v>
      </c>
    </row>
    <row r="2" spans="1:11" x14ac:dyDescent="0.25">
      <c r="A2" s="2">
        <v>1</v>
      </c>
      <c r="B2" s="13" t="s">
        <v>3</v>
      </c>
      <c r="C2" s="3" t="s">
        <v>7</v>
      </c>
      <c r="D2" s="8" t="s">
        <v>4</v>
      </c>
      <c r="E2" s="9" t="s">
        <v>463</v>
      </c>
      <c r="F2" s="7">
        <v>44.72</v>
      </c>
      <c r="G2" s="5">
        <v>60</v>
      </c>
      <c r="H2" s="8" t="s">
        <v>480</v>
      </c>
      <c r="I2" s="9" t="s">
        <v>479</v>
      </c>
      <c r="J2" s="9" t="s">
        <v>517</v>
      </c>
    </row>
    <row r="3" spans="1:11" ht="25.5" x14ac:dyDescent="0.25">
      <c r="A3" s="2">
        <v>1</v>
      </c>
      <c r="B3" s="13" t="s">
        <v>2</v>
      </c>
      <c r="C3" s="3" t="s">
        <v>12</v>
      </c>
      <c r="D3" s="8" t="s">
        <v>13</v>
      </c>
      <c r="E3" s="9" t="s">
        <v>470</v>
      </c>
      <c r="F3" s="5">
        <v>3301000</v>
      </c>
      <c r="G3" s="5">
        <v>3836296</v>
      </c>
      <c r="H3" s="8" t="s">
        <v>482</v>
      </c>
      <c r="I3" s="9" t="s">
        <v>479</v>
      </c>
      <c r="J3" s="9" t="s">
        <v>517</v>
      </c>
    </row>
    <row r="4" spans="1:11" x14ac:dyDescent="0.25">
      <c r="A4" s="2">
        <v>1</v>
      </c>
      <c r="B4" s="13" t="s">
        <v>10</v>
      </c>
      <c r="C4" s="3" t="s">
        <v>14</v>
      </c>
      <c r="D4" s="8" t="s">
        <v>15</v>
      </c>
      <c r="E4" s="9" t="s">
        <v>470</v>
      </c>
      <c r="F4" s="5">
        <v>4707000</v>
      </c>
      <c r="G4" s="5">
        <v>4709453</v>
      </c>
      <c r="H4" s="8" t="s">
        <v>483</v>
      </c>
      <c r="I4" s="9" t="s">
        <v>479</v>
      </c>
      <c r="J4" s="9" t="s">
        <v>517</v>
      </c>
    </row>
    <row r="5" spans="1:11" x14ac:dyDescent="0.25">
      <c r="A5" s="2">
        <v>1</v>
      </c>
      <c r="B5" s="13" t="s">
        <v>11</v>
      </c>
      <c r="C5" s="3" t="s">
        <v>16</v>
      </c>
      <c r="D5" s="8" t="s">
        <v>18</v>
      </c>
      <c r="E5" s="9" t="s">
        <v>463</v>
      </c>
      <c r="F5" s="7">
        <v>42.42</v>
      </c>
      <c r="G5" s="5">
        <v>100</v>
      </c>
      <c r="H5" s="8" t="s">
        <v>484</v>
      </c>
      <c r="I5" s="9" t="s">
        <v>479</v>
      </c>
      <c r="J5" s="9" t="s">
        <v>517</v>
      </c>
    </row>
    <row r="6" spans="1:11" ht="25.5" x14ac:dyDescent="0.25">
      <c r="A6" s="2">
        <v>1</v>
      </c>
      <c r="B6" s="13" t="s">
        <v>11</v>
      </c>
      <c r="C6" s="3" t="s">
        <v>17</v>
      </c>
      <c r="D6" s="8" t="s">
        <v>19</v>
      </c>
      <c r="E6" s="9" t="s">
        <v>463</v>
      </c>
      <c r="F6" s="7">
        <v>1.1399999999999999</v>
      </c>
      <c r="G6" s="5">
        <v>51</v>
      </c>
      <c r="H6" s="8" t="s">
        <v>485</v>
      </c>
      <c r="I6" s="9" t="s">
        <v>479</v>
      </c>
      <c r="J6" s="9" t="s">
        <v>517</v>
      </c>
    </row>
    <row r="7" spans="1:11" ht="38.25" x14ac:dyDescent="0.25">
      <c r="A7" s="2">
        <v>1</v>
      </c>
      <c r="B7" s="13" t="s">
        <v>20</v>
      </c>
      <c r="C7" s="3" t="s">
        <v>21</v>
      </c>
      <c r="D7" s="8" t="s">
        <v>23</v>
      </c>
      <c r="E7" s="9" t="s">
        <v>464</v>
      </c>
      <c r="F7" s="5">
        <v>102</v>
      </c>
      <c r="G7" s="5">
        <v>112</v>
      </c>
      <c r="H7" s="8" t="s">
        <v>476</v>
      </c>
      <c r="I7" s="9" t="s">
        <v>477</v>
      </c>
      <c r="J7" s="9" t="s">
        <v>517</v>
      </c>
    </row>
    <row r="8" spans="1:11" ht="38.25" x14ac:dyDescent="0.25">
      <c r="A8" s="2">
        <v>1</v>
      </c>
      <c r="B8" s="13" t="s">
        <v>20</v>
      </c>
      <c r="C8" s="3" t="s">
        <v>22</v>
      </c>
      <c r="D8" s="8" t="s">
        <v>24</v>
      </c>
      <c r="E8" s="9" t="s">
        <v>464</v>
      </c>
      <c r="F8" s="5">
        <v>69</v>
      </c>
      <c r="G8" s="5">
        <v>10</v>
      </c>
      <c r="H8" s="8" t="s">
        <v>476</v>
      </c>
      <c r="I8" s="9" t="s">
        <v>478</v>
      </c>
      <c r="J8" s="9" t="s">
        <v>517</v>
      </c>
    </row>
    <row r="9" spans="1:11" x14ac:dyDescent="0.25">
      <c r="A9" s="2">
        <v>1</v>
      </c>
      <c r="B9" s="13" t="s">
        <v>25</v>
      </c>
      <c r="C9" s="3" t="s">
        <v>26</v>
      </c>
      <c r="D9" s="8" t="s">
        <v>28</v>
      </c>
      <c r="E9" s="9" t="s">
        <v>467</v>
      </c>
      <c r="F9" s="5">
        <v>38640</v>
      </c>
      <c r="G9" s="5">
        <v>31680</v>
      </c>
      <c r="H9" s="8" t="s">
        <v>487</v>
      </c>
      <c r="I9" s="9" t="s">
        <v>479</v>
      </c>
      <c r="J9" s="9" t="s">
        <v>517</v>
      </c>
    </row>
    <row r="10" spans="1:11" ht="51" x14ac:dyDescent="0.25">
      <c r="A10" s="2">
        <v>1</v>
      </c>
      <c r="B10" s="13" t="s">
        <v>25</v>
      </c>
      <c r="C10" s="3" t="s">
        <v>27</v>
      </c>
      <c r="D10" s="8" t="s">
        <v>29</v>
      </c>
      <c r="E10" s="9" t="s">
        <v>467</v>
      </c>
      <c r="F10" s="5">
        <v>225879</v>
      </c>
      <c r="G10" s="5">
        <v>187796</v>
      </c>
      <c r="H10" s="8" t="s">
        <v>487</v>
      </c>
      <c r="I10" s="9" t="s">
        <v>479</v>
      </c>
      <c r="J10" s="9" t="s">
        <v>517</v>
      </c>
      <c r="K10" s="8" t="s">
        <v>489</v>
      </c>
    </row>
    <row r="11" spans="1:11" ht="25.5" x14ac:dyDescent="0.25">
      <c r="A11" s="2">
        <v>1</v>
      </c>
      <c r="B11" s="13" t="s">
        <v>31</v>
      </c>
      <c r="C11" s="3" t="s">
        <v>30</v>
      </c>
      <c r="D11" s="8" t="s">
        <v>32</v>
      </c>
      <c r="E11" s="9" t="s">
        <v>463</v>
      </c>
      <c r="F11" s="5">
        <v>44</v>
      </c>
      <c r="G11" s="5">
        <v>53</v>
      </c>
      <c r="H11" s="8" t="s">
        <v>490</v>
      </c>
      <c r="I11" s="9" t="s">
        <v>479</v>
      </c>
      <c r="J11" s="9" t="s">
        <v>517</v>
      </c>
    </row>
    <row r="12" spans="1:11" ht="51" x14ac:dyDescent="0.25">
      <c r="A12" s="2">
        <v>2</v>
      </c>
      <c r="B12" s="13" t="s">
        <v>33</v>
      </c>
      <c r="C12" s="3" t="s">
        <v>35</v>
      </c>
      <c r="D12" s="8" t="s">
        <v>37</v>
      </c>
      <c r="E12" s="9" t="s">
        <v>470</v>
      </c>
      <c r="F12" s="5">
        <v>124878</v>
      </c>
      <c r="G12" s="5">
        <v>110859</v>
      </c>
      <c r="H12" s="8" t="s">
        <v>505</v>
      </c>
      <c r="I12" s="9" t="s">
        <v>506</v>
      </c>
      <c r="J12" s="9" t="s">
        <v>517</v>
      </c>
    </row>
    <row r="13" spans="1:11" ht="38.25" x14ac:dyDescent="0.25">
      <c r="A13" s="2">
        <v>2</v>
      </c>
      <c r="B13" s="13" t="s">
        <v>34</v>
      </c>
      <c r="C13" s="3" t="s">
        <v>36</v>
      </c>
      <c r="D13" s="8" t="s">
        <v>38</v>
      </c>
      <c r="E13" s="9" t="s">
        <v>463</v>
      </c>
      <c r="F13" s="5">
        <v>12</v>
      </c>
      <c r="G13" s="5">
        <v>13</v>
      </c>
      <c r="H13" s="8" t="s">
        <v>507</v>
      </c>
      <c r="I13" s="9" t="s">
        <v>479</v>
      </c>
      <c r="J13" s="9" t="s">
        <v>517</v>
      </c>
    </row>
    <row r="14" spans="1:11" ht="38.25" hidden="1" x14ac:dyDescent="0.25">
      <c r="A14" s="2">
        <v>3</v>
      </c>
      <c r="B14" s="3" t="s">
        <v>45</v>
      </c>
      <c r="C14" s="3" t="s">
        <v>39</v>
      </c>
      <c r="D14" s="8" t="s">
        <v>42</v>
      </c>
      <c r="E14" s="9" t="s">
        <v>463</v>
      </c>
      <c r="F14" s="7">
        <v>36.659999999999997</v>
      </c>
      <c r="G14" s="5">
        <v>80</v>
      </c>
      <c r="H14" s="8" t="s">
        <v>509</v>
      </c>
      <c r="I14" s="9" t="s">
        <v>479</v>
      </c>
      <c r="J14" s="9" t="s">
        <v>503</v>
      </c>
    </row>
    <row r="15" spans="1:11" ht="25.5" x14ac:dyDescent="0.25">
      <c r="A15" s="2">
        <v>3</v>
      </c>
      <c r="B15" s="13" t="s">
        <v>48</v>
      </c>
      <c r="C15" s="3" t="s">
        <v>40</v>
      </c>
      <c r="D15" s="8" t="s">
        <v>43</v>
      </c>
      <c r="E15" s="9" t="s">
        <v>463</v>
      </c>
      <c r="F15" s="6">
        <v>3.5</v>
      </c>
      <c r="G15" s="6">
        <v>8.5</v>
      </c>
      <c r="H15" s="8" t="s">
        <v>510</v>
      </c>
      <c r="I15" s="9" t="s">
        <v>479</v>
      </c>
      <c r="J15" s="9" t="s">
        <v>503</v>
      </c>
    </row>
    <row r="16" spans="1:11" hidden="1" x14ac:dyDescent="0.25">
      <c r="A16" s="2">
        <v>3</v>
      </c>
      <c r="B16" s="3" t="s">
        <v>49</v>
      </c>
      <c r="C16" s="3" t="s">
        <v>41</v>
      </c>
      <c r="D16" s="8" t="s">
        <v>44</v>
      </c>
      <c r="E16" s="9" t="s">
        <v>511</v>
      </c>
      <c r="F16" s="5">
        <v>108</v>
      </c>
      <c r="G16" s="5">
        <v>87</v>
      </c>
      <c r="H16" s="8" t="s">
        <v>512</v>
      </c>
      <c r="I16" s="9" t="s">
        <v>479</v>
      </c>
      <c r="J16" s="9" t="s">
        <v>503</v>
      </c>
    </row>
    <row r="17" spans="1:10" hidden="1" x14ac:dyDescent="0.25">
      <c r="A17" s="2">
        <v>4</v>
      </c>
      <c r="B17" s="3" t="s">
        <v>46</v>
      </c>
      <c r="C17" s="3" t="s">
        <v>50</v>
      </c>
      <c r="D17" s="8" t="s">
        <v>61</v>
      </c>
      <c r="E17" s="9" t="s">
        <v>463</v>
      </c>
      <c r="F17" s="6">
        <v>10.4</v>
      </c>
      <c r="G17" s="6">
        <v>15.5</v>
      </c>
      <c r="H17" s="8" t="s">
        <v>513</v>
      </c>
      <c r="I17" s="9" t="s">
        <v>479</v>
      </c>
      <c r="J17" s="9" t="s">
        <v>503</v>
      </c>
    </row>
    <row r="18" spans="1:10" hidden="1" x14ac:dyDescent="0.25">
      <c r="A18" s="2">
        <v>4</v>
      </c>
      <c r="B18" s="3" t="s">
        <v>56</v>
      </c>
      <c r="C18" s="3" t="s">
        <v>51</v>
      </c>
      <c r="D18" s="8" t="s">
        <v>62</v>
      </c>
      <c r="E18" s="9" t="s">
        <v>491</v>
      </c>
      <c r="F18" s="6">
        <v>0.1</v>
      </c>
      <c r="G18" s="5">
        <v>1</v>
      </c>
      <c r="H18" s="8" t="s">
        <v>513</v>
      </c>
      <c r="I18" s="9" t="s">
        <v>479</v>
      </c>
      <c r="J18" s="9" t="s">
        <v>504</v>
      </c>
    </row>
    <row r="19" spans="1:10" ht="25.5" hidden="1" x14ac:dyDescent="0.25">
      <c r="A19" s="2">
        <v>4</v>
      </c>
      <c r="B19" s="3" t="s">
        <v>57</v>
      </c>
      <c r="C19" s="3" t="s">
        <v>52</v>
      </c>
      <c r="D19" s="8" t="s">
        <v>63</v>
      </c>
      <c r="E19" s="9" t="s">
        <v>519</v>
      </c>
      <c r="F19" s="5">
        <v>2132</v>
      </c>
      <c r="G19" s="5">
        <v>1600</v>
      </c>
      <c r="H19" s="8" t="s">
        <v>518</v>
      </c>
      <c r="I19" s="9" t="s">
        <v>479</v>
      </c>
      <c r="J19" s="9" t="s">
        <v>503</v>
      </c>
    </row>
    <row r="20" spans="1:10" ht="27.75" hidden="1" x14ac:dyDescent="0.25">
      <c r="A20" s="2">
        <v>4</v>
      </c>
      <c r="B20" s="3" t="s">
        <v>58</v>
      </c>
      <c r="C20" s="3" t="s">
        <v>53</v>
      </c>
      <c r="D20" s="8" t="s">
        <v>64</v>
      </c>
      <c r="E20" s="9" t="s">
        <v>523</v>
      </c>
      <c r="F20" s="5">
        <v>190</v>
      </c>
      <c r="G20" s="5">
        <v>58</v>
      </c>
      <c r="H20" s="8" t="s">
        <v>524</v>
      </c>
      <c r="I20" s="9" t="s">
        <v>525</v>
      </c>
      <c r="J20" s="9" t="s">
        <v>503</v>
      </c>
    </row>
    <row r="21" spans="1:10" ht="38.25" hidden="1" x14ac:dyDescent="0.25">
      <c r="A21" s="2">
        <v>4</v>
      </c>
      <c r="B21" s="3" t="s">
        <v>59</v>
      </c>
      <c r="C21" s="3" t="s">
        <v>54</v>
      </c>
      <c r="D21" s="8" t="s">
        <v>65</v>
      </c>
      <c r="E21" s="9" t="s">
        <v>463</v>
      </c>
      <c r="F21" s="5">
        <v>8</v>
      </c>
      <c r="G21" s="5">
        <v>84</v>
      </c>
      <c r="H21" s="8" t="s">
        <v>528</v>
      </c>
      <c r="I21" s="9" t="s">
        <v>529</v>
      </c>
      <c r="J21" s="9" t="s">
        <v>503</v>
      </c>
    </row>
    <row r="22" spans="1:10" ht="25.5" hidden="1" x14ac:dyDescent="0.25">
      <c r="A22" s="2">
        <v>4</v>
      </c>
      <c r="B22" s="3" t="s">
        <v>60</v>
      </c>
      <c r="C22" s="3" t="s">
        <v>55</v>
      </c>
      <c r="D22" s="8" t="s">
        <v>66</v>
      </c>
      <c r="E22" s="9" t="s">
        <v>463</v>
      </c>
      <c r="F22" s="5">
        <v>30</v>
      </c>
      <c r="G22" s="5">
        <v>40</v>
      </c>
      <c r="H22" s="8" t="s">
        <v>524</v>
      </c>
      <c r="I22" s="9" t="s">
        <v>525</v>
      </c>
      <c r="J22" s="9" t="s">
        <v>503</v>
      </c>
    </row>
    <row r="23" spans="1:10" hidden="1" x14ac:dyDescent="0.25">
      <c r="A23" s="2">
        <v>5</v>
      </c>
      <c r="B23" s="3" t="s">
        <v>47</v>
      </c>
      <c r="C23" s="3" t="s">
        <v>67</v>
      </c>
      <c r="D23" s="8" t="s">
        <v>68</v>
      </c>
      <c r="E23" s="9" t="s">
        <v>463</v>
      </c>
      <c r="F23" s="7">
        <v>29.61</v>
      </c>
      <c r="G23" s="5">
        <v>85</v>
      </c>
      <c r="H23" s="8" t="s">
        <v>530</v>
      </c>
      <c r="I23" s="9" t="s">
        <v>479</v>
      </c>
      <c r="J23" s="9" t="s">
        <v>517</v>
      </c>
    </row>
    <row r="24" spans="1:10" hidden="1" x14ac:dyDescent="0.25">
      <c r="A24" s="2">
        <v>5</v>
      </c>
      <c r="B24" s="3" t="s">
        <v>47</v>
      </c>
      <c r="C24" s="3" t="s">
        <v>69</v>
      </c>
      <c r="D24" s="8" t="s">
        <v>70</v>
      </c>
      <c r="E24" s="9" t="s">
        <v>463</v>
      </c>
      <c r="F24" s="7">
        <v>17.57</v>
      </c>
      <c r="G24" s="5">
        <v>13</v>
      </c>
      <c r="H24" s="8" t="s">
        <v>531</v>
      </c>
      <c r="I24" s="9" t="s">
        <v>479</v>
      </c>
      <c r="J24" s="9" t="s">
        <v>517</v>
      </c>
    </row>
    <row r="25" spans="1:10" ht="38.25" hidden="1" x14ac:dyDescent="0.25">
      <c r="A25" s="2">
        <v>5</v>
      </c>
      <c r="B25" s="3" t="s">
        <v>75</v>
      </c>
      <c r="C25" s="3" t="s">
        <v>71</v>
      </c>
      <c r="D25" s="8" t="s">
        <v>72</v>
      </c>
      <c r="E25" s="9" t="s">
        <v>463</v>
      </c>
      <c r="F25" s="12">
        <v>0</v>
      </c>
      <c r="G25" s="12">
        <v>0</v>
      </c>
      <c r="H25" s="8" t="s">
        <v>532</v>
      </c>
      <c r="I25" s="9" t="s">
        <v>529</v>
      </c>
      <c r="J25" s="9" t="s">
        <v>517</v>
      </c>
    </row>
    <row r="26" spans="1:10" hidden="1" x14ac:dyDescent="0.25">
      <c r="A26" s="2">
        <v>5</v>
      </c>
      <c r="B26" s="3" t="s">
        <v>75</v>
      </c>
      <c r="C26" s="3" t="s">
        <v>73</v>
      </c>
      <c r="D26" s="8" t="s">
        <v>74</v>
      </c>
      <c r="E26" s="9" t="s">
        <v>463</v>
      </c>
      <c r="F26" s="7">
        <v>91.43</v>
      </c>
      <c r="G26" s="5">
        <v>95</v>
      </c>
      <c r="H26" s="8" t="s">
        <v>530</v>
      </c>
      <c r="I26" s="9" t="s">
        <v>479</v>
      </c>
      <c r="J26" s="9" t="s">
        <v>517</v>
      </c>
    </row>
    <row r="2147" spans="5:5" ht="60" x14ac:dyDescent="0.25">
      <c r="E2147" s="10" t="s">
        <v>508</v>
      </c>
    </row>
  </sheetData>
  <autoFilter ref="A1:K26">
    <filterColumn colId="1">
      <colorFilter dxfId="406"/>
    </filterColumn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workbookViewId="0">
      <pane xSplit="4" ySplit="4" topLeftCell="BA5" activePane="bottomRight" state="frozen"/>
      <selection pane="topRight" activeCell="E1" sqref="E1"/>
      <selection pane="bottomLeft" activeCell="A5" sqref="A5"/>
      <selection pane="bottomRight" activeCell="BO4" sqref="BO4"/>
    </sheetView>
  </sheetViews>
  <sheetFormatPr defaultRowHeight="15" x14ac:dyDescent="0.25"/>
  <cols>
    <col min="1" max="1" width="10.85546875" bestFit="1" customWidth="1"/>
    <col min="2" max="2" width="22.140625" bestFit="1" customWidth="1"/>
    <col min="3" max="3" width="22" bestFit="1" customWidth="1"/>
    <col min="4" max="4" width="36.42578125" bestFit="1" customWidth="1"/>
    <col min="5" max="5" width="4.28515625" bestFit="1" customWidth="1"/>
    <col min="6" max="6" width="16.42578125" customWidth="1"/>
    <col min="7" max="7" width="12.85546875" customWidth="1"/>
    <col min="8" max="66" width="11.42578125" customWidth="1"/>
  </cols>
  <sheetData>
    <row r="1" spans="1:67" ht="82.5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199" t="s">
        <v>112</v>
      </c>
      <c r="I1" s="1200"/>
      <c r="J1" s="102"/>
      <c r="K1" s="1199" t="s">
        <v>110</v>
      </c>
      <c r="L1" s="1200"/>
      <c r="M1" s="102"/>
      <c r="N1" s="1199" t="s">
        <v>282</v>
      </c>
      <c r="O1" s="1200"/>
      <c r="P1" s="102"/>
      <c r="Q1" s="1199" t="s">
        <v>284</v>
      </c>
      <c r="R1" s="1200"/>
      <c r="S1" s="102"/>
      <c r="T1" s="1199" t="s">
        <v>286</v>
      </c>
      <c r="U1" s="1200"/>
      <c r="V1" s="102"/>
      <c r="W1" s="1199" t="s">
        <v>288</v>
      </c>
      <c r="X1" s="1200"/>
      <c r="Y1" s="102"/>
      <c r="Z1" s="1199" t="s">
        <v>210</v>
      </c>
      <c r="AA1" s="1200"/>
      <c r="AB1" s="102"/>
      <c r="AC1" s="1199" t="s">
        <v>290</v>
      </c>
      <c r="AD1" s="1200"/>
      <c r="AE1" s="102"/>
      <c r="AF1" s="1199" t="s">
        <v>292</v>
      </c>
      <c r="AG1" s="1200"/>
      <c r="AH1" s="102"/>
      <c r="AI1" s="1199" t="s">
        <v>294</v>
      </c>
      <c r="AJ1" s="1200"/>
      <c r="AK1" s="102"/>
      <c r="AL1" s="1199" t="s">
        <v>114</v>
      </c>
      <c r="AM1" s="1200"/>
      <c r="AN1" s="102"/>
      <c r="AO1" s="1199" t="s">
        <v>297</v>
      </c>
      <c r="AP1" s="1200"/>
      <c r="AQ1" s="102"/>
      <c r="AR1" s="1199" t="s">
        <v>299</v>
      </c>
      <c r="AS1" s="1200"/>
      <c r="AT1" s="102"/>
      <c r="AU1" s="1199" t="s">
        <v>216</v>
      </c>
      <c r="AV1" s="1200"/>
      <c r="AW1" s="102"/>
      <c r="AX1" s="1199" t="s">
        <v>301</v>
      </c>
      <c r="AY1" s="1200"/>
      <c r="AZ1" s="102"/>
      <c r="BA1" s="1199" t="s">
        <v>303</v>
      </c>
      <c r="BB1" s="1200"/>
      <c r="BC1" s="102"/>
      <c r="BD1" s="1199" t="s">
        <v>305</v>
      </c>
      <c r="BE1" s="1200"/>
      <c r="BF1" s="102"/>
      <c r="BG1" s="1199" t="s">
        <v>307</v>
      </c>
      <c r="BH1" s="1200"/>
      <c r="BI1" s="102"/>
      <c r="BJ1" s="1199" t="s">
        <v>309</v>
      </c>
      <c r="BK1" s="1200"/>
      <c r="BL1" s="102"/>
      <c r="BM1" s="1199" t="s">
        <v>311</v>
      </c>
      <c r="BN1" s="1200"/>
    </row>
    <row r="2" spans="1:67" x14ac:dyDescent="0.25">
      <c r="A2" s="1203"/>
      <c r="B2" s="1203"/>
      <c r="C2" s="1203"/>
      <c r="D2" s="1203"/>
      <c r="E2" s="1203"/>
      <c r="F2" s="1203"/>
      <c r="G2" s="1201"/>
      <c r="H2" s="1197" t="s">
        <v>279</v>
      </c>
      <c r="I2" s="1198"/>
      <c r="J2" s="103"/>
      <c r="K2" s="1197" t="s">
        <v>280</v>
      </c>
      <c r="L2" s="1198"/>
      <c r="M2" s="103"/>
      <c r="N2" s="1197" t="s">
        <v>281</v>
      </c>
      <c r="O2" s="1198"/>
      <c r="P2" s="103"/>
      <c r="Q2" s="1197" t="s">
        <v>283</v>
      </c>
      <c r="R2" s="1198"/>
      <c r="S2" s="103"/>
      <c r="T2" s="1197" t="s">
        <v>285</v>
      </c>
      <c r="U2" s="1198"/>
      <c r="V2" s="103"/>
      <c r="W2" s="1197" t="s">
        <v>287</v>
      </c>
      <c r="X2" s="1198"/>
      <c r="Y2" s="103"/>
      <c r="Z2" s="1197" t="s">
        <v>209</v>
      </c>
      <c r="AA2" s="1198"/>
      <c r="AB2" s="103"/>
      <c r="AC2" s="1197" t="s">
        <v>289</v>
      </c>
      <c r="AD2" s="1198"/>
      <c r="AE2" s="103"/>
      <c r="AF2" s="1197" t="s">
        <v>291</v>
      </c>
      <c r="AG2" s="1198"/>
      <c r="AH2" s="103"/>
      <c r="AI2" s="1197" t="s">
        <v>293</v>
      </c>
      <c r="AJ2" s="1198"/>
      <c r="AK2" s="103"/>
      <c r="AL2" s="1197" t="s">
        <v>295</v>
      </c>
      <c r="AM2" s="1198"/>
      <c r="AN2" s="103"/>
      <c r="AO2" s="1197" t="s">
        <v>296</v>
      </c>
      <c r="AP2" s="1198"/>
      <c r="AQ2" s="103"/>
      <c r="AR2" s="1197" t="s">
        <v>298</v>
      </c>
      <c r="AS2" s="1198"/>
      <c r="AT2" s="103"/>
      <c r="AU2" s="1197" t="s">
        <v>215</v>
      </c>
      <c r="AV2" s="1198"/>
      <c r="AW2" s="103"/>
      <c r="AX2" s="1197" t="s">
        <v>300</v>
      </c>
      <c r="AY2" s="1198"/>
      <c r="AZ2" s="103"/>
      <c r="BA2" s="1197" t="s">
        <v>302</v>
      </c>
      <c r="BB2" s="1198"/>
      <c r="BC2" s="103"/>
      <c r="BD2" s="1197" t="s">
        <v>304</v>
      </c>
      <c r="BE2" s="1198"/>
      <c r="BF2" s="103"/>
      <c r="BG2" s="1197" t="s">
        <v>306</v>
      </c>
      <c r="BH2" s="1198"/>
      <c r="BI2" s="103"/>
      <c r="BJ2" s="1197" t="s">
        <v>308</v>
      </c>
      <c r="BK2" s="1198"/>
      <c r="BL2" s="103"/>
      <c r="BM2" s="1197" t="s">
        <v>310</v>
      </c>
      <c r="BN2" s="1198"/>
    </row>
    <row r="3" spans="1:67" x14ac:dyDescent="0.25">
      <c r="A3" s="1203"/>
      <c r="B3" s="1203"/>
      <c r="C3" s="1203"/>
      <c r="D3" s="1203"/>
      <c r="E3" s="1203"/>
      <c r="F3" s="1203"/>
      <c r="G3" s="1201"/>
      <c r="H3" s="1197" t="s">
        <v>552</v>
      </c>
      <c r="I3" s="1198"/>
      <c r="J3" s="103"/>
      <c r="K3" s="1197" t="s">
        <v>544</v>
      </c>
      <c r="L3" s="1198"/>
      <c r="M3" s="103"/>
      <c r="N3" s="1197" t="s">
        <v>552</v>
      </c>
      <c r="O3" s="1198"/>
      <c r="P3" s="103"/>
      <c r="Q3" s="1197" t="s">
        <v>544</v>
      </c>
      <c r="R3" s="1198"/>
      <c r="S3" s="103"/>
      <c r="T3" s="1197" t="s">
        <v>544</v>
      </c>
      <c r="U3" s="1198"/>
      <c r="V3" s="103"/>
      <c r="W3" s="1197" t="s">
        <v>544</v>
      </c>
      <c r="X3" s="1198"/>
      <c r="Y3" s="103"/>
      <c r="Z3" s="1197" t="s">
        <v>547</v>
      </c>
      <c r="AA3" s="1198"/>
      <c r="AB3" s="103"/>
      <c r="AC3" s="1197" t="s">
        <v>544</v>
      </c>
      <c r="AD3" s="1198"/>
      <c r="AE3" s="103"/>
      <c r="AF3" s="1197" t="s">
        <v>544</v>
      </c>
      <c r="AG3" s="1198"/>
      <c r="AH3" s="103"/>
      <c r="AI3" s="1197" t="s">
        <v>552</v>
      </c>
      <c r="AJ3" s="1198"/>
      <c r="AK3" s="103"/>
      <c r="AL3" s="1197" t="s">
        <v>552</v>
      </c>
      <c r="AM3" s="1198"/>
      <c r="AN3" s="103"/>
      <c r="AO3" s="1197" t="s">
        <v>544</v>
      </c>
      <c r="AP3" s="1198"/>
      <c r="AQ3" s="103"/>
      <c r="AR3" s="1197" t="s">
        <v>544</v>
      </c>
      <c r="AS3" s="1198"/>
      <c r="AT3" s="103"/>
      <c r="AU3" s="1197" t="s">
        <v>547</v>
      </c>
      <c r="AV3" s="1198"/>
      <c r="AW3" s="103"/>
      <c r="AX3" s="1197" t="s">
        <v>552</v>
      </c>
      <c r="AY3" s="1198"/>
      <c r="AZ3" s="103"/>
      <c r="BA3" s="1197" t="s">
        <v>552</v>
      </c>
      <c r="BB3" s="1198"/>
      <c r="BC3" s="103"/>
      <c r="BD3" s="1197" t="s">
        <v>552</v>
      </c>
      <c r="BE3" s="1198"/>
      <c r="BF3" s="103"/>
      <c r="BG3" s="1197" t="s">
        <v>552</v>
      </c>
      <c r="BH3" s="1198"/>
      <c r="BI3" s="103"/>
      <c r="BJ3" s="1197" t="s">
        <v>552</v>
      </c>
      <c r="BK3" s="1198"/>
      <c r="BL3" s="103"/>
      <c r="BM3" s="1197" t="s">
        <v>552</v>
      </c>
      <c r="BN3" s="1198"/>
      <c r="BO3" s="103"/>
    </row>
    <row r="4" spans="1:67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  <c r="BG4" s="16" t="s">
        <v>603</v>
      </c>
      <c r="BH4" s="16" t="s">
        <v>604</v>
      </c>
      <c r="BI4" s="104">
        <v>43465</v>
      </c>
      <c r="BJ4" s="16" t="s">
        <v>603</v>
      </c>
      <c r="BK4" s="16" t="s">
        <v>604</v>
      </c>
      <c r="BL4" s="104">
        <v>43465</v>
      </c>
      <c r="BM4" s="16" t="s">
        <v>603</v>
      </c>
      <c r="BN4" s="16" t="s">
        <v>604</v>
      </c>
      <c r="BO4" s="104">
        <v>43465</v>
      </c>
    </row>
    <row r="5" spans="1:67" x14ac:dyDescent="0.25">
      <c r="A5" s="15" t="s">
        <v>653</v>
      </c>
      <c r="B5" s="2" t="str">
        <f>VLOOKUP($A5,[2]Projekty!$A$2:$AR$1147,4,0)</f>
        <v>OPKZP-PO1-SC141-2015-7</v>
      </c>
      <c r="C5" s="2" t="str">
        <f>VLOOKUP($A5,[2]Projekty!$A$2:$AR$1147,6,0)</f>
        <v>U. S. Steel Košice, s.r.o.</v>
      </c>
      <c r="D5" s="2" t="str">
        <f>VLOOKUP($A5,[2]Projekty!$A$2:$AR$1147,7,0)</f>
        <v>Odprášenie MPO v OC1</v>
      </c>
      <c r="E5" s="2" t="str">
        <f>VLOOKUP($A5,[2]Projekty!$A$2:$AR$1147,9,0)</f>
        <v>KE</v>
      </c>
      <c r="F5" s="2" t="str">
        <f>VLOOKUP($A5,[2]Projekty!$A$2:$AR$1147,14,0)</f>
        <v>Realizácia</v>
      </c>
      <c r="G5" s="61">
        <v>43373</v>
      </c>
      <c r="H5" s="20"/>
      <c r="I5" s="18"/>
      <c r="J5" s="18" t="str">
        <f>IF(H5="","",IF($F5="riadne ukončený",I5,IF($G5&lt;=J$4,H5,0)))</f>
        <v/>
      </c>
      <c r="K5" s="18"/>
      <c r="L5" s="18"/>
      <c r="M5" s="18" t="str">
        <f>IF(K5="","",IF($F5="riadne ukončený",L5,IF($G5&lt;=M$4,K5,0)))</f>
        <v/>
      </c>
      <c r="N5" s="18"/>
      <c r="O5" s="18"/>
      <c r="P5" s="18" t="str">
        <f>IF(N5="","",IF($F5="riadne ukončený",O5,IF($G5&lt;=P$4,N5,0)))</f>
        <v/>
      </c>
      <c r="Q5" s="18"/>
      <c r="R5" s="18"/>
      <c r="S5" s="18" t="str">
        <f>IF(Q5="","",IF($F5="riadne ukončený",R5,IF($G5&lt;=S$4,Q5,0)))</f>
        <v/>
      </c>
      <c r="T5" s="18"/>
      <c r="U5" s="18"/>
      <c r="V5" s="18" t="str">
        <f>IF(T5="","",IF($F5="riadne ukončený",U5,IF($G5&lt;=V$4,T5,0)))</f>
        <v/>
      </c>
      <c r="W5" s="18"/>
      <c r="X5" s="18"/>
      <c r="Y5" s="18" t="str">
        <f>IF(W5="","",IF($F5="riadne ukončený",X5,IF($G5&lt;=Y$4,W5,0)))</f>
        <v/>
      </c>
      <c r="Z5" s="18"/>
      <c r="AA5" s="18"/>
      <c r="AB5" s="18" t="str">
        <f>IF(Z5="","",IF($F5="riadne ukončený",AA5,IF($G5&lt;=AB$4,Z5,0)))</f>
        <v/>
      </c>
      <c r="AC5" s="18"/>
      <c r="AD5" s="18"/>
      <c r="AE5" s="18" t="str">
        <f>IF(AC5="","",IF($F5="riadne ukončený",AD5,IF($G5&lt;=AE$4,AC5,0)))</f>
        <v/>
      </c>
      <c r="AF5" s="18"/>
      <c r="AG5" s="18"/>
      <c r="AH5" s="18" t="str">
        <f>IF(AF5="","",IF($F5="riadne ukončený",AG5,IF($G5&lt;=AH$4,AF5,0)))</f>
        <v/>
      </c>
      <c r="AI5" s="20"/>
      <c r="AJ5" s="18"/>
      <c r="AK5" s="18" t="str">
        <f>IF(AI5="","",IF($F5="riadne ukončený",AJ5,IF($G5&lt;=AK$4,AI5,0)))</f>
        <v/>
      </c>
      <c r="AL5" s="18">
        <v>1</v>
      </c>
      <c r="AM5" s="18"/>
      <c r="AN5" s="18">
        <f>IF(AL5="","",IF($F5="riadne ukončený",AM5,IF($G5&lt;=AN$4,AL5,0)))</f>
        <v>1</v>
      </c>
      <c r="AO5" s="18"/>
      <c r="AP5" s="18"/>
      <c r="AQ5" s="18" t="str">
        <f>IF(AO5="","",IF($F5="riadne ukončený",AP5,IF($G5&lt;=AQ$4,AO5,0)))</f>
        <v/>
      </c>
      <c r="AR5" s="18"/>
      <c r="AS5" s="18"/>
      <c r="AT5" s="18" t="str">
        <f>IF(AR5="","",IF($F5="riadne ukončený",AS5,IF($G5&lt;=AT$4,AR5,0)))</f>
        <v/>
      </c>
      <c r="AU5" s="18"/>
      <c r="AV5" s="18"/>
      <c r="AW5" s="18" t="str">
        <f>IF(AU5="","",IF($F5="riadne ukončený",AV5,IF($G5&lt;=AW$4,AU5,0)))</f>
        <v/>
      </c>
      <c r="AX5" s="18"/>
      <c r="AY5" s="18"/>
      <c r="AZ5" s="18" t="str">
        <f>IF(AX5="","",IF($F5="riadne ukončený",AY5,IF($G5&lt;=AZ$4,AX5,0)))</f>
        <v/>
      </c>
      <c r="BA5" s="18"/>
      <c r="BB5" s="18"/>
      <c r="BC5" s="18" t="str">
        <f>IF(BA5="","",IF($F5="riadne ukončený",BB5,IF($G5&lt;=BC$4,BA5,0)))</f>
        <v/>
      </c>
      <c r="BD5" s="18">
        <v>5137</v>
      </c>
      <c r="BE5" s="18"/>
      <c r="BF5" s="18">
        <f>IF(BD5="","",IF($F5="riadne ukončený",BE5,IF($G5&lt;=BF$4,BD5,0)))</f>
        <v>5137</v>
      </c>
      <c r="BG5" s="18">
        <v>4824</v>
      </c>
      <c r="BH5" s="18"/>
      <c r="BI5" s="18">
        <f>IF(BG5="","",IF($F5="riadne ukončený",BH5,IF($G5&lt;=BI$4,BG5,0)))</f>
        <v>4824</v>
      </c>
      <c r="BJ5" s="18"/>
      <c r="BK5" s="18"/>
      <c r="BL5" s="18" t="str">
        <f>IF(BJ5="","",IF($F5="riadne ukončený",BK5,IF($G5&lt;=BL$4,BJ5,0)))</f>
        <v/>
      </c>
      <c r="BM5" s="18"/>
      <c r="BN5" s="18"/>
      <c r="BO5" s="18" t="str">
        <f>IF(BM5="","",IF($F5="riadne ukončený",BN5,IF($G5&lt;=BO$4,BM5,0)))</f>
        <v/>
      </c>
    </row>
    <row r="6" spans="1:67" x14ac:dyDescent="0.25">
      <c r="A6" s="15" t="s">
        <v>654</v>
      </c>
      <c r="B6" s="2" t="str">
        <f>VLOOKUP($A6,[2]Projekty!$A$2:$AR$1147,4,0)</f>
        <v>OPKZP-PO1-SC141-2015-7</v>
      </c>
      <c r="C6" s="2" t="str">
        <f>VLOOKUP($A6,[2]Projekty!$A$2:$AR$1147,6,0)</f>
        <v>U. S. Steel Košice, s.r.o.</v>
      </c>
      <c r="D6" s="2" t="str">
        <f>VLOOKUP($A6,[2]Projekty!$A$2:$AR$1147,7,0)</f>
        <v>Odprášenie OC2 - mimopecné odsírenie</v>
      </c>
      <c r="E6" s="2" t="str">
        <f>VLOOKUP($A6,[2]Projekty!$A$2:$AR$1147,9,0)</f>
        <v>KE</v>
      </c>
      <c r="F6" s="2" t="str">
        <f>VLOOKUP($A6,[2]Projekty!$A$2:$AR$1147,14,0)</f>
        <v>Realizácia</v>
      </c>
      <c r="G6" s="61">
        <f>VLOOKUP($A6,'[2]Dĺžka realizácie'!$A$2:$AR$1148,8,0)</f>
        <v>43404</v>
      </c>
      <c r="H6" s="20"/>
      <c r="I6" s="18"/>
      <c r="J6" s="18" t="str">
        <f t="shared" ref="J6:J22" si="0">IF(H6="","",IF($F6="riadne ukončený",I6,IF($G6&lt;=J$4,H6,0)))</f>
        <v/>
      </c>
      <c r="K6" s="18"/>
      <c r="L6" s="18"/>
      <c r="M6" s="18" t="str">
        <f t="shared" ref="M6:M22" si="1">IF(K6="","",IF($F6="riadne ukončený",L6,IF($G6&lt;=M$4,K6,0)))</f>
        <v/>
      </c>
      <c r="N6" s="18"/>
      <c r="O6" s="18"/>
      <c r="P6" s="18" t="str">
        <f t="shared" ref="P6:P22" si="2">IF(N6="","",IF($F6="riadne ukončený",O6,IF($G6&lt;=P$4,N6,0)))</f>
        <v/>
      </c>
      <c r="Q6" s="18"/>
      <c r="R6" s="18"/>
      <c r="S6" s="18" t="str">
        <f t="shared" ref="S6:S22" si="3">IF(Q6="","",IF($F6="riadne ukončený",R6,IF($G6&lt;=S$4,Q6,0)))</f>
        <v/>
      </c>
      <c r="T6" s="18"/>
      <c r="U6" s="18"/>
      <c r="V6" s="18" t="str">
        <f t="shared" ref="V6:V22" si="4">IF(T6="","",IF($F6="riadne ukončený",U6,IF($G6&lt;=V$4,T6,0)))</f>
        <v/>
      </c>
      <c r="W6" s="18"/>
      <c r="X6" s="18"/>
      <c r="Y6" s="18" t="str">
        <f t="shared" ref="Y6:Y22" si="5">IF(W6="","",IF($F6="riadne ukončený",X6,IF($G6&lt;=Y$4,W6,0)))</f>
        <v/>
      </c>
      <c r="Z6" s="18"/>
      <c r="AA6" s="18"/>
      <c r="AB6" s="18" t="str">
        <f t="shared" ref="AB6:AB22" si="6">IF(Z6="","",IF($F6="riadne ukončený",AA6,IF($G6&lt;=AB$4,Z6,0)))</f>
        <v/>
      </c>
      <c r="AC6" s="18"/>
      <c r="AD6" s="18"/>
      <c r="AE6" s="18" t="str">
        <f t="shared" ref="AE6:AE22" si="7">IF(AC6="","",IF($F6="riadne ukončený",AD6,IF($G6&lt;=AE$4,AC6,0)))</f>
        <v/>
      </c>
      <c r="AF6" s="18"/>
      <c r="AG6" s="18"/>
      <c r="AH6" s="18" t="str">
        <f t="shared" ref="AH6:AH22" si="8">IF(AF6="","",IF($F6="riadne ukončený",AG6,IF($G6&lt;=AH$4,AF6,0)))</f>
        <v/>
      </c>
      <c r="AI6" s="20"/>
      <c r="AJ6" s="18"/>
      <c r="AK6" s="18" t="str">
        <f t="shared" ref="AK6:AK22" si="9">IF(AI6="","",IF($F6="riadne ukončený",AJ6,IF($G6&lt;=AK$4,AI6,0)))</f>
        <v/>
      </c>
      <c r="AL6" s="18">
        <v>1</v>
      </c>
      <c r="AM6" s="18"/>
      <c r="AN6" s="18">
        <f t="shared" ref="AN6:AN22" si="10">IF(AL6="","",IF($F6="riadne ukončený",AM6,IF($G6&lt;=AN$4,AL6,0)))</f>
        <v>1</v>
      </c>
      <c r="AO6" s="18"/>
      <c r="AP6" s="18"/>
      <c r="AQ6" s="18" t="str">
        <f t="shared" ref="AQ6:AQ22" si="11">IF(AO6="","",IF($F6="riadne ukončený",AP6,IF($G6&lt;=AQ$4,AO6,0)))</f>
        <v/>
      </c>
      <c r="AR6" s="18"/>
      <c r="AS6" s="18"/>
      <c r="AT6" s="18" t="str">
        <f t="shared" ref="AT6:AT22" si="12">IF(AR6="","",IF($F6="riadne ukončený",AS6,IF($G6&lt;=AT$4,AR6,0)))</f>
        <v/>
      </c>
      <c r="AU6" s="18"/>
      <c r="AV6" s="18"/>
      <c r="AW6" s="18" t="str">
        <f t="shared" ref="AW6:AW22" si="13">IF(AU6="","",IF($F6="riadne ukončený",AV6,IF($G6&lt;=AW$4,AU6,0)))</f>
        <v/>
      </c>
      <c r="AX6" s="18"/>
      <c r="AY6" s="18"/>
      <c r="AZ6" s="18" t="str">
        <f t="shared" ref="AZ6:AZ22" si="14">IF(AX6="","",IF($F6="riadne ukončený",AY6,IF($G6&lt;=AZ$4,AX6,0)))</f>
        <v/>
      </c>
      <c r="BA6" s="18"/>
      <c r="BB6" s="18"/>
      <c r="BC6" s="18" t="str">
        <f t="shared" ref="BC6:BC22" si="15">IF(BA6="","",IF($F6="riadne ukončený",BB6,IF($G6&lt;=BC$4,BA6,0)))</f>
        <v/>
      </c>
      <c r="BD6" s="18">
        <v>6172</v>
      </c>
      <c r="BE6" s="18"/>
      <c r="BF6" s="18">
        <f t="shared" ref="BF6:BF22" si="16">IF(BD6="","",IF($F6="riadne ukončený",BE6,IF($G6&lt;=BF$4,BD6,0)))</f>
        <v>6172</v>
      </c>
      <c r="BG6" s="18">
        <v>5748</v>
      </c>
      <c r="BH6" s="18"/>
      <c r="BI6" s="18">
        <f t="shared" ref="BI6:BI22" si="17">IF(BG6="","",IF($F6="riadne ukončený",BH6,IF($G6&lt;=BI$4,BG6,0)))</f>
        <v>5748</v>
      </c>
      <c r="BJ6" s="18"/>
      <c r="BK6" s="18"/>
      <c r="BL6" s="18" t="str">
        <f t="shared" ref="BL6:BL22" si="18">IF(BJ6="","",IF($F6="riadne ukončený",BK6,IF($G6&lt;=BL$4,BJ6,0)))</f>
        <v/>
      </c>
      <c r="BM6" s="18"/>
      <c r="BN6" s="18"/>
      <c r="BO6" s="18" t="str">
        <f t="shared" ref="BO6:BO22" si="19">IF(BM6="","",IF($F6="riadne ukončený",BN6,IF($G6&lt;=BO$4,BM6,0)))</f>
        <v/>
      </c>
    </row>
    <row r="7" spans="1:67" x14ac:dyDescent="0.25">
      <c r="A7" s="15" t="s">
        <v>655</v>
      </c>
      <c r="B7" s="2" t="str">
        <f>VLOOKUP($A7,[2]Projekty!$A$2:$AR$1147,4,0)</f>
        <v>OPKZP-PO1-SC141-2015-7</v>
      </c>
      <c r="C7" s="2" t="str">
        <f>VLOOKUP($A7,[2]Projekty!$A$2:$AR$1147,6,0)</f>
        <v>U. S. Steel Košice, s.r.o.</v>
      </c>
      <c r="D7" s="2" t="str">
        <f>VLOOKUP($A7,[2]Projekty!$A$2:$AR$1147,7,0)</f>
        <v>Kontrola emisií pre rudné mosty VP1</v>
      </c>
      <c r="E7" s="2" t="str">
        <f>VLOOKUP($A7,[2]Projekty!$A$2:$AR$1147,9,0)</f>
        <v>KE</v>
      </c>
      <c r="F7" s="2" t="str">
        <f>VLOOKUP($A7,[2]Projekty!$A$2:$AR$1147,14,0)</f>
        <v>Realizácia</v>
      </c>
      <c r="G7" s="61">
        <f>VLOOKUP($A7,'[2]Dĺžka realizácie'!$A$2:$AR$1148,8,0)</f>
        <v>43646</v>
      </c>
      <c r="H7" s="20"/>
      <c r="I7" s="18"/>
      <c r="J7" s="18" t="str">
        <f t="shared" si="0"/>
        <v/>
      </c>
      <c r="K7" s="18"/>
      <c r="L7" s="18"/>
      <c r="M7" s="18" t="str">
        <f t="shared" si="1"/>
        <v/>
      </c>
      <c r="N7" s="18"/>
      <c r="O7" s="18"/>
      <c r="P7" s="18" t="str">
        <f t="shared" si="2"/>
        <v/>
      </c>
      <c r="Q7" s="18"/>
      <c r="R7" s="18"/>
      <c r="S7" s="18" t="str">
        <f t="shared" si="3"/>
        <v/>
      </c>
      <c r="T7" s="18"/>
      <c r="U7" s="18"/>
      <c r="V7" s="18" t="str">
        <f t="shared" si="4"/>
        <v/>
      </c>
      <c r="W7" s="18"/>
      <c r="X7" s="18"/>
      <c r="Y7" s="18" t="str">
        <f t="shared" si="5"/>
        <v/>
      </c>
      <c r="Z7" s="18"/>
      <c r="AA7" s="18"/>
      <c r="AB7" s="18" t="str">
        <f t="shared" si="6"/>
        <v/>
      </c>
      <c r="AC7" s="18"/>
      <c r="AD7" s="18"/>
      <c r="AE7" s="18" t="str">
        <f t="shared" si="7"/>
        <v/>
      </c>
      <c r="AF7" s="18"/>
      <c r="AG7" s="18"/>
      <c r="AH7" s="18" t="str">
        <f t="shared" si="8"/>
        <v/>
      </c>
      <c r="AI7" s="20"/>
      <c r="AJ7" s="18"/>
      <c r="AK7" s="18" t="str">
        <f t="shared" si="9"/>
        <v/>
      </c>
      <c r="AL7" s="18">
        <v>3</v>
      </c>
      <c r="AM7" s="18"/>
      <c r="AN7" s="18">
        <f t="shared" si="10"/>
        <v>0</v>
      </c>
      <c r="AO7" s="18"/>
      <c r="AP7" s="18"/>
      <c r="AQ7" s="18" t="str">
        <f t="shared" si="11"/>
        <v/>
      </c>
      <c r="AR7" s="18"/>
      <c r="AS7" s="18"/>
      <c r="AT7" s="18" t="str">
        <f t="shared" si="12"/>
        <v/>
      </c>
      <c r="AU7" s="18"/>
      <c r="AV7" s="18"/>
      <c r="AW7" s="18" t="str">
        <f t="shared" si="13"/>
        <v/>
      </c>
      <c r="AX7" s="18"/>
      <c r="AY7" s="18"/>
      <c r="AZ7" s="18" t="str">
        <f t="shared" si="14"/>
        <v/>
      </c>
      <c r="BA7" s="18"/>
      <c r="BB7" s="18"/>
      <c r="BC7" s="18" t="str">
        <f t="shared" si="15"/>
        <v/>
      </c>
      <c r="BD7" s="18">
        <v>32913</v>
      </c>
      <c r="BE7" s="18"/>
      <c r="BF7" s="18">
        <f t="shared" si="16"/>
        <v>0</v>
      </c>
      <c r="BG7" s="18">
        <v>18077</v>
      </c>
      <c r="BH7" s="18"/>
      <c r="BI7" s="18">
        <f t="shared" si="17"/>
        <v>0</v>
      </c>
      <c r="BJ7" s="18"/>
      <c r="BK7" s="18"/>
      <c r="BL7" s="18" t="str">
        <f t="shared" si="18"/>
        <v/>
      </c>
      <c r="BM7" s="18"/>
      <c r="BN7" s="18"/>
      <c r="BO7" s="18" t="str">
        <f t="shared" si="19"/>
        <v/>
      </c>
    </row>
    <row r="8" spans="1:67" ht="38.25" x14ac:dyDescent="0.25">
      <c r="A8" s="15" t="s">
        <v>656</v>
      </c>
      <c r="B8" s="2" t="str">
        <f>VLOOKUP($A8,[2]Projekty!$A$2:$AR$1147,4,0)</f>
        <v>OPKZP-PO1-SC141-2015-7</v>
      </c>
      <c r="C8" s="2" t="str">
        <f>VLOOKUP($A8,[2]Projekty!$A$2:$AR$1147,6,0)</f>
        <v>Žilinská teplárenská, a.s.</v>
      </c>
      <c r="D8" s="2" t="str">
        <f>VLOOKUP($A8,[2]Projekty!$A$2:$AR$1147,7,0)</f>
        <v>Modernizácia technológie odlučovacieho zariadenia pre zníženie emisií tuhých znečisťujúcich látok v ŽT, a.s.</v>
      </c>
      <c r="E8" s="2" t="str">
        <f>VLOOKUP($A8,[2]Projekty!$A$2:$AR$1147,9,0)</f>
        <v>ZA</v>
      </c>
      <c r="F8" s="2" t="str">
        <f>VLOOKUP($A8,[2]Projekty!$A$2:$AR$1147,14,0)</f>
        <v>Aktivity nezačaté</v>
      </c>
      <c r="G8" s="61">
        <f>VLOOKUP($A8,'[2]Dĺžka realizácie'!$A$2:$AR$1148,8,0)</f>
        <v>43861</v>
      </c>
      <c r="H8" s="20"/>
      <c r="I8" s="18"/>
      <c r="J8" s="18" t="str">
        <f t="shared" si="0"/>
        <v/>
      </c>
      <c r="K8" s="18"/>
      <c r="L8" s="18"/>
      <c r="M8" s="18" t="str">
        <f t="shared" si="1"/>
        <v/>
      </c>
      <c r="N8" s="18"/>
      <c r="O8" s="18"/>
      <c r="P8" s="18" t="str">
        <f t="shared" si="2"/>
        <v/>
      </c>
      <c r="Q8" s="18"/>
      <c r="R8" s="18"/>
      <c r="S8" s="18" t="str">
        <f t="shared" si="3"/>
        <v/>
      </c>
      <c r="T8" s="18"/>
      <c r="U8" s="18"/>
      <c r="V8" s="18" t="str">
        <f t="shared" si="4"/>
        <v/>
      </c>
      <c r="W8" s="18"/>
      <c r="X8" s="18"/>
      <c r="Y8" s="18" t="str">
        <f t="shared" si="5"/>
        <v/>
      </c>
      <c r="Z8" s="18"/>
      <c r="AA8" s="18"/>
      <c r="AB8" s="18" t="str">
        <f t="shared" si="6"/>
        <v/>
      </c>
      <c r="AC8" s="18"/>
      <c r="AD8" s="18"/>
      <c r="AE8" s="18" t="str">
        <f t="shared" si="7"/>
        <v/>
      </c>
      <c r="AF8" s="18"/>
      <c r="AG8" s="18"/>
      <c r="AH8" s="18" t="str">
        <f t="shared" si="8"/>
        <v/>
      </c>
      <c r="AI8" s="20"/>
      <c r="AJ8" s="18"/>
      <c r="AK8" s="18" t="str">
        <f t="shared" si="9"/>
        <v/>
      </c>
      <c r="AL8" s="18">
        <v>1</v>
      </c>
      <c r="AM8" s="18"/>
      <c r="AN8" s="18">
        <f t="shared" si="10"/>
        <v>0</v>
      </c>
      <c r="AO8" s="18"/>
      <c r="AP8" s="18"/>
      <c r="AQ8" s="18" t="str">
        <f t="shared" si="11"/>
        <v/>
      </c>
      <c r="AR8" s="18"/>
      <c r="AS8" s="18"/>
      <c r="AT8" s="18" t="str">
        <f t="shared" si="12"/>
        <v/>
      </c>
      <c r="AU8" s="18"/>
      <c r="AV8" s="18"/>
      <c r="AW8" s="18" t="str">
        <f t="shared" si="13"/>
        <v/>
      </c>
      <c r="AX8" s="18"/>
      <c r="AY8" s="18"/>
      <c r="AZ8" s="18" t="str">
        <f t="shared" si="14"/>
        <v/>
      </c>
      <c r="BA8" s="18"/>
      <c r="BB8" s="18"/>
      <c r="BC8" s="18" t="str">
        <f t="shared" si="15"/>
        <v/>
      </c>
      <c r="BD8" s="18">
        <v>5980</v>
      </c>
      <c r="BE8" s="18"/>
      <c r="BF8" s="18">
        <f t="shared" si="16"/>
        <v>0</v>
      </c>
      <c r="BG8" s="18">
        <v>3870</v>
      </c>
      <c r="BH8" s="18"/>
      <c r="BI8" s="18">
        <f t="shared" si="17"/>
        <v>0</v>
      </c>
      <c r="BJ8" s="18"/>
      <c r="BK8" s="18"/>
      <c r="BL8" s="18" t="str">
        <f t="shared" si="18"/>
        <v/>
      </c>
      <c r="BM8" s="18"/>
      <c r="BN8" s="18"/>
      <c r="BO8" s="18" t="str">
        <f t="shared" si="19"/>
        <v/>
      </c>
    </row>
    <row r="9" spans="1:67" x14ac:dyDescent="0.25">
      <c r="A9" s="2" t="s">
        <v>660</v>
      </c>
      <c r="B9" s="2" t="str">
        <f>VLOOKUP($A9,[2]Projekty!$A$2:$AR$1147,4,0)</f>
        <v>OPKZP-PO1-SC141-2016-14</v>
      </c>
      <c r="C9" s="2" t="str">
        <f>VLOOKUP($A9,[2]Projekty!$A$2:$AR$1147,6,0)</f>
        <v>U. S. Steel Košice, s.r.o.</v>
      </c>
      <c r="D9" s="2" t="str">
        <f>VLOOKUP($A9,[2]Projekty!$A$2:$AR$1147,7,0)</f>
        <v>Odprašovanie aglomerácie – pás č. 1</v>
      </c>
      <c r="E9" s="2" t="str">
        <f>VLOOKUP($A9,[2]Projekty!$A$2:$AR$1147,9,0)</f>
        <v>KE</v>
      </c>
      <c r="F9" s="2" t="str">
        <f>VLOOKUP($A9,[2]Projekty!$A$2:$AR$1147,14,0)</f>
        <v>Aktivity nezačaté</v>
      </c>
      <c r="G9" s="61">
        <f>VLOOKUP($A9,'[2]Dĺžka realizácie'!$A$2:$AR$1148,8,0)</f>
        <v>43769</v>
      </c>
      <c r="H9" s="20"/>
      <c r="I9" s="18"/>
      <c r="J9" s="18" t="str">
        <f t="shared" si="0"/>
        <v/>
      </c>
      <c r="K9" s="18"/>
      <c r="L9" s="18"/>
      <c r="M9" s="18" t="str">
        <f t="shared" si="1"/>
        <v/>
      </c>
      <c r="N9" s="18"/>
      <c r="O9" s="18"/>
      <c r="P9" s="18" t="str">
        <f t="shared" si="2"/>
        <v/>
      </c>
      <c r="Q9" s="18"/>
      <c r="R9" s="18"/>
      <c r="S9" s="18" t="str">
        <f t="shared" si="3"/>
        <v/>
      </c>
      <c r="T9" s="18"/>
      <c r="U9" s="18"/>
      <c r="V9" s="18" t="str">
        <f t="shared" si="4"/>
        <v/>
      </c>
      <c r="W9" s="18"/>
      <c r="X9" s="18"/>
      <c r="Y9" s="18" t="str">
        <f t="shared" si="5"/>
        <v/>
      </c>
      <c r="Z9" s="18"/>
      <c r="AA9" s="18"/>
      <c r="AB9" s="18" t="str">
        <f t="shared" si="6"/>
        <v/>
      </c>
      <c r="AC9" s="18"/>
      <c r="AD9" s="18"/>
      <c r="AE9" s="18" t="str">
        <f t="shared" si="7"/>
        <v/>
      </c>
      <c r="AF9" s="18"/>
      <c r="AG9" s="18"/>
      <c r="AH9" s="18" t="str">
        <f t="shared" si="8"/>
        <v/>
      </c>
      <c r="AI9" s="20"/>
      <c r="AJ9" s="18"/>
      <c r="AK9" s="18" t="str">
        <f t="shared" si="9"/>
        <v/>
      </c>
      <c r="AL9" s="18">
        <v>1</v>
      </c>
      <c r="AM9" s="18"/>
      <c r="AN9" s="18">
        <f t="shared" si="10"/>
        <v>0</v>
      </c>
      <c r="AO9" s="18"/>
      <c r="AP9" s="18"/>
      <c r="AQ9" s="18" t="str">
        <f t="shared" si="11"/>
        <v/>
      </c>
      <c r="AR9" s="18"/>
      <c r="AS9" s="18"/>
      <c r="AT9" s="18" t="str">
        <f t="shared" si="12"/>
        <v/>
      </c>
      <c r="AU9" s="18"/>
      <c r="AV9" s="18"/>
      <c r="AW9" s="18" t="str">
        <f t="shared" si="13"/>
        <v/>
      </c>
      <c r="AX9" s="18"/>
      <c r="AY9" s="18"/>
      <c r="AZ9" s="18" t="str">
        <f t="shared" si="14"/>
        <v/>
      </c>
      <c r="BA9" s="18"/>
      <c r="BB9" s="18"/>
      <c r="BC9" s="18" t="str">
        <f t="shared" si="15"/>
        <v/>
      </c>
      <c r="BD9" s="18">
        <v>388733.91</v>
      </c>
      <c r="BE9" s="18"/>
      <c r="BF9" s="18">
        <f t="shared" si="16"/>
        <v>0</v>
      </c>
      <c r="BG9" s="18">
        <v>249612.22</v>
      </c>
      <c r="BH9" s="18"/>
      <c r="BI9" s="18">
        <f t="shared" si="17"/>
        <v>0</v>
      </c>
      <c r="BJ9" s="18"/>
      <c r="BK9" s="18"/>
      <c r="BL9" s="18" t="str">
        <f t="shared" si="18"/>
        <v/>
      </c>
      <c r="BM9" s="18"/>
      <c r="BN9" s="18"/>
      <c r="BO9" s="18" t="str">
        <f t="shared" si="19"/>
        <v/>
      </c>
    </row>
    <row r="10" spans="1:67" x14ac:dyDescent="0.25">
      <c r="A10" s="2" t="s">
        <v>661</v>
      </c>
      <c r="B10" s="2" t="str">
        <f>VLOOKUP($A10,[2]Projekty!$A$2:$AR$1147,4,0)</f>
        <v>OPKZP-PO1-SC141-2016-14</v>
      </c>
      <c r="C10" s="2" t="str">
        <f>VLOOKUP($A10,[2]Projekty!$A$2:$AR$1147,6,0)</f>
        <v>U. S. Steel Košice, s.r.o.</v>
      </c>
      <c r="D10" s="2" t="str">
        <f>VLOOKUP($A10,[2]Projekty!$A$2:$AR$1147,7,0)</f>
        <v>Odprašovanie aglomerácie – pás č. 2</v>
      </c>
      <c r="E10" s="2" t="str">
        <f>VLOOKUP($A10,[2]Projekty!$A$2:$AR$1147,9,0)</f>
        <v>KE</v>
      </c>
      <c r="F10" s="2" t="str">
        <f>VLOOKUP($A10,[2]Projekty!$A$2:$AR$1147,14,0)</f>
        <v>Aktivity nezačaté</v>
      </c>
      <c r="G10" s="61">
        <f>VLOOKUP($A10,'[2]Dĺžka realizácie'!$A$2:$AR$1148,8,0)</f>
        <v>43677</v>
      </c>
      <c r="H10" s="20"/>
      <c r="I10" s="18"/>
      <c r="J10" s="18" t="str">
        <f t="shared" si="0"/>
        <v/>
      </c>
      <c r="K10" s="18"/>
      <c r="L10" s="18"/>
      <c r="M10" s="18" t="str">
        <f t="shared" si="1"/>
        <v/>
      </c>
      <c r="N10" s="18"/>
      <c r="O10" s="18"/>
      <c r="P10" s="18" t="str">
        <f t="shared" si="2"/>
        <v/>
      </c>
      <c r="Q10" s="18"/>
      <c r="R10" s="18"/>
      <c r="S10" s="18" t="str">
        <f t="shared" si="3"/>
        <v/>
      </c>
      <c r="T10" s="18"/>
      <c r="U10" s="18"/>
      <c r="V10" s="18" t="str">
        <f t="shared" si="4"/>
        <v/>
      </c>
      <c r="W10" s="18"/>
      <c r="X10" s="18"/>
      <c r="Y10" s="18" t="str">
        <f t="shared" si="5"/>
        <v/>
      </c>
      <c r="Z10" s="18"/>
      <c r="AA10" s="18"/>
      <c r="AB10" s="18" t="str">
        <f t="shared" si="6"/>
        <v/>
      </c>
      <c r="AC10" s="18"/>
      <c r="AD10" s="18"/>
      <c r="AE10" s="18" t="str">
        <f t="shared" si="7"/>
        <v/>
      </c>
      <c r="AF10" s="18"/>
      <c r="AG10" s="18"/>
      <c r="AH10" s="18" t="str">
        <f t="shared" si="8"/>
        <v/>
      </c>
      <c r="AI10" s="20"/>
      <c r="AJ10" s="18"/>
      <c r="AK10" s="18" t="str">
        <f t="shared" si="9"/>
        <v/>
      </c>
      <c r="AL10" s="18">
        <v>1</v>
      </c>
      <c r="AM10" s="18"/>
      <c r="AN10" s="18">
        <f t="shared" si="10"/>
        <v>0</v>
      </c>
      <c r="AO10" s="18"/>
      <c r="AP10" s="18"/>
      <c r="AQ10" s="18" t="str">
        <f t="shared" si="11"/>
        <v/>
      </c>
      <c r="AR10" s="18"/>
      <c r="AS10" s="18"/>
      <c r="AT10" s="18" t="str">
        <f t="shared" si="12"/>
        <v/>
      </c>
      <c r="AU10" s="18"/>
      <c r="AV10" s="18"/>
      <c r="AW10" s="18" t="str">
        <f t="shared" si="13"/>
        <v/>
      </c>
      <c r="AX10" s="18"/>
      <c r="AY10" s="18"/>
      <c r="AZ10" s="18" t="str">
        <f t="shared" si="14"/>
        <v/>
      </c>
      <c r="BA10" s="18"/>
      <c r="BB10" s="18"/>
      <c r="BC10" s="18" t="str">
        <f t="shared" si="15"/>
        <v/>
      </c>
      <c r="BD10" s="18">
        <v>346777.61</v>
      </c>
      <c r="BE10" s="18"/>
      <c r="BF10" s="18">
        <f t="shared" si="16"/>
        <v>0</v>
      </c>
      <c r="BG10" s="18">
        <v>222464.02</v>
      </c>
      <c r="BH10" s="18"/>
      <c r="BI10" s="18">
        <f t="shared" si="17"/>
        <v>0</v>
      </c>
      <c r="BJ10" s="18"/>
      <c r="BK10" s="18"/>
      <c r="BL10" s="18" t="str">
        <f t="shared" si="18"/>
        <v/>
      </c>
      <c r="BM10" s="18"/>
      <c r="BN10" s="18"/>
      <c r="BO10" s="18" t="str">
        <f t="shared" si="19"/>
        <v/>
      </c>
    </row>
    <row r="11" spans="1:67" x14ac:dyDescent="0.25">
      <c r="A11" s="2" t="s">
        <v>662</v>
      </c>
      <c r="B11" s="2" t="str">
        <f>VLOOKUP($A11,[2]Projekty!$A$2:$AR$1147,4,0)</f>
        <v>OPKZP-PO1-SC141-2016-14</v>
      </c>
      <c r="C11" s="2" t="str">
        <f>VLOOKUP($A11,[2]Projekty!$A$2:$AR$1147,6,0)</f>
        <v>U. S. Steel Košice, s.r.o.</v>
      </c>
      <c r="D11" s="2" t="str">
        <f>VLOOKUP($A11,[2]Projekty!$A$2:$AR$1147,7,0)</f>
        <v>Odprašovanie aglomerácie – pás č.3</v>
      </c>
      <c r="E11" s="2" t="str">
        <f>VLOOKUP($A11,[2]Projekty!$A$2:$AR$1147,9,0)</f>
        <v>KE</v>
      </c>
      <c r="F11" s="2" t="str">
        <f>VLOOKUP($A11,[2]Projekty!$A$2:$AR$1147,14,0)</f>
        <v>Aktivity nezačaté</v>
      </c>
      <c r="G11" s="61">
        <f>VLOOKUP($A11,'[2]Dĺžka realizácie'!$A$2:$AR$1148,8,0)</f>
        <v>43585</v>
      </c>
      <c r="H11" s="20"/>
      <c r="I11" s="18"/>
      <c r="J11" s="18" t="str">
        <f t="shared" si="0"/>
        <v/>
      </c>
      <c r="K11" s="18"/>
      <c r="L11" s="18"/>
      <c r="M11" s="18" t="str">
        <f t="shared" si="1"/>
        <v/>
      </c>
      <c r="N11" s="18"/>
      <c r="O11" s="18"/>
      <c r="P11" s="18" t="str">
        <f t="shared" si="2"/>
        <v/>
      </c>
      <c r="Q11" s="18"/>
      <c r="R11" s="18"/>
      <c r="S11" s="18" t="str">
        <f t="shared" si="3"/>
        <v/>
      </c>
      <c r="T11" s="18"/>
      <c r="U11" s="18"/>
      <c r="V11" s="18" t="str">
        <f t="shared" si="4"/>
        <v/>
      </c>
      <c r="W11" s="18"/>
      <c r="X11" s="18"/>
      <c r="Y11" s="18" t="str">
        <f t="shared" si="5"/>
        <v/>
      </c>
      <c r="Z11" s="18"/>
      <c r="AA11" s="18"/>
      <c r="AB11" s="18" t="str">
        <f t="shared" si="6"/>
        <v/>
      </c>
      <c r="AC11" s="18"/>
      <c r="AD11" s="18"/>
      <c r="AE11" s="18" t="str">
        <f t="shared" si="7"/>
        <v/>
      </c>
      <c r="AF11" s="18"/>
      <c r="AG11" s="18"/>
      <c r="AH11" s="18" t="str">
        <f t="shared" si="8"/>
        <v/>
      </c>
      <c r="AI11" s="20"/>
      <c r="AJ11" s="18"/>
      <c r="AK11" s="18" t="str">
        <f t="shared" si="9"/>
        <v/>
      </c>
      <c r="AL11" s="18">
        <v>1</v>
      </c>
      <c r="AM11" s="18"/>
      <c r="AN11" s="18">
        <f t="shared" si="10"/>
        <v>0</v>
      </c>
      <c r="AO11" s="18"/>
      <c r="AP11" s="18"/>
      <c r="AQ11" s="18" t="str">
        <f t="shared" si="11"/>
        <v/>
      </c>
      <c r="AR11" s="18"/>
      <c r="AS11" s="18"/>
      <c r="AT11" s="18" t="str">
        <f t="shared" si="12"/>
        <v/>
      </c>
      <c r="AU11" s="18"/>
      <c r="AV11" s="18"/>
      <c r="AW11" s="18" t="str">
        <f t="shared" si="13"/>
        <v/>
      </c>
      <c r="AX11" s="18"/>
      <c r="AY11" s="18"/>
      <c r="AZ11" s="18" t="str">
        <f t="shared" si="14"/>
        <v/>
      </c>
      <c r="BA11" s="18"/>
      <c r="BB11" s="18"/>
      <c r="BC11" s="18" t="str">
        <f t="shared" si="15"/>
        <v/>
      </c>
      <c r="BD11" s="18">
        <v>304419.23</v>
      </c>
      <c r="BE11" s="18"/>
      <c r="BF11" s="18">
        <f t="shared" si="16"/>
        <v>0</v>
      </c>
      <c r="BG11" s="18">
        <v>195055.66</v>
      </c>
      <c r="BH11" s="18"/>
      <c r="BI11" s="18">
        <f t="shared" si="17"/>
        <v>0</v>
      </c>
      <c r="BJ11" s="18"/>
      <c r="BK11" s="18"/>
      <c r="BL11" s="18" t="str">
        <f t="shared" si="18"/>
        <v/>
      </c>
      <c r="BM11" s="18"/>
      <c r="BN11" s="18"/>
      <c r="BO11" s="18" t="str">
        <f t="shared" si="19"/>
        <v/>
      </c>
    </row>
    <row r="12" spans="1:67" x14ac:dyDescent="0.25">
      <c r="A12" s="2" t="s">
        <v>663</v>
      </c>
      <c r="B12" s="2" t="str">
        <f>VLOOKUP($A12,[2]Projekty!$A$2:$AR$1147,4,0)</f>
        <v>OPKZP-PO1-SC141-2016-14</v>
      </c>
      <c r="C12" s="2" t="str">
        <f>VLOOKUP($A12,[2]Projekty!$A$2:$AR$1147,6,0)</f>
        <v>U. S. Steel Košice, s.r.o.</v>
      </c>
      <c r="D12" s="2" t="str">
        <f>VLOOKUP($A12,[2]Projekty!$A$2:$AR$1147,7,0)</f>
        <v>Odprašovanie aglomerácie – pás č.4</v>
      </c>
      <c r="E12" s="2" t="str">
        <f>VLOOKUP($A12,[2]Projekty!$A$2:$AR$1147,9,0)</f>
        <v>KE</v>
      </c>
      <c r="F12" s="2" t="str">
        <f>VLOOKUP($A12,[2]Projekty!$A$2:$AR$1147,14,0)</f>
        <v>Aktivity nezačaté</v>
      </c>
      <c r="G12" s="61">
        <f>VLOOKUP($A12,'[2]Dĺžka realizácie'!$A$2:$AR$1148,8,0)</f>
        <v>43496</v>
      </c>
      <c r="H12" s="20"/>
      <c r="I12" s="18"/>
      <c r="J12" s="18" t="str">
        <f t="shared" si="0"/>
        <v/>
      </c>
      <c r="K12" s="18"/>
      <c r="L12" s="18"/>
      <c r="M12" s="18" t="str">
        <f t="shared" si="1"/>
        <v/>
      </c>
      <c r="N12" s="18"/>
      <c r="O12" s="18"/>
      <c r="P12" s="18" t="str">
        <f t="shared" si="2"/>
        <v/>
      </c>
      <c r="Q12" s="18"/>
      <c r="R12" s="18"/>
      <c r="S12" s="18" t="str">
        <f t="shared" si="3"/>
        <v/>
      </c>
      <c r="T12" s="18"/>
      <c r="U12" s="18"/>
      <c r="V12" s="18" t="str">
        <f t="shared" si="4"/>
        <v/>
      </c>
      <c r="W12" s="18"/>
      <c r="X12" s="18"/>
      <c r="Y12" s="18" t="str">
        <f t="shared" si="5"/>
        <v/>
      </c>
      <c r="Z12" s="18"/>
      <c r="AA12" s="18"/>
      <c r="AB12" s="18" t="str">
        <f t="shared" si="6"/>
        <v/>
      </c>
      <c r="AC12" s="18"/>
      <c r="AD12" s="18"/>
      <c r="AE12" s="18" t="str">
        <f t="shared" si="7"/>
        <v/>
      </c>
      <c r="AF12" s="18"/>
      <c r="AG12" s="18"/>
      <c r="AH12" s="18" t="str">
        <f t="shared" si="8"/>
        <v/>
      </c>
      <c r="AI12" s="20"/>
      <c r="AJ12" s="18"/>
      <c r="AK12" s="18" t="str">
        <f t="shared" si="9"/>
        <v/>
      </c>
      <c r="AL12" s="18">
        <v>1</v>
      </c>
      <c r="AM12" s="18"/>
      <c r="AN12" s="18">
        <f t="shared" si="10"/>
        <v>0</v>
      </c>
      <c r="AO12" s="18"/>
      <c r="AP12" s="18"/>
      <c r="AQ12" s="18" t="str">
        <f t="shared" si="11"/>
        <v/>
      </c>
      <c r="AR12" s="18"/>
      <c r="AS12" s="18"/>
      <c r="AT12" s="18" t="str">
        <f t="shared" si="12"/>
        <v/>
      </c>
      <c r="AU12" s="18"/>
      <c r="AV12" s="18"/>
      <c r="AW12" s="18" t="str">
        <f t="shared" si="13"/>
        <v/>
      </c>
      <c r="AX12" s="18"/>
      <c r="AY12" s="18"/>
      <c r="AZ12" s="18" t="str">
        <f t="shared" si="14"/>
        <v/>
      </c>
      <c r="BA12" s="18"/>
      <c r="BB12" s="18"/>
      <c r="BC12" s="18" t="str">
        <f t="shared" si="15"/>
        <v/>
      </c>
      <c r="BD12" s="18">
        <v>220182.26</v>
      </c>
      <c r="BE12" s="18"/>
      <c r="BF12" s="18">
        <f t="shared" si="16"/>
        <v>0</v>
      </c>
      <c r="BG12" s="18">
        <v>140549.39000000001</v>
      </c>
      <c r="BH12" s="18"/>
      <c r="BI12" s="18">
        <f t="shared" si="17"/>
        <v>0</v>
      </c>
      <c r="BJ12" s="18"/>
      <c r="BK12" s="18"/>
      <c r="BL12" s="18" t="str">
        <f t="shared" si="18"/>
        <v/>
      </c>
      <c r="BM12" s="18"/>
      <c r="BN12" s="18"/>
      <c r="BO12" s="18" t="str">
        <f t="shared" si="19"/>
        <v/>
      </c>
    </row>
    <row r="13" spans="1:67" x14ac:dyDescent="0.25">
      <c r="A13" s="2" t="s">
        <v>664</v>
      </c>
      <c r="B13" s="2" t="str">
        <f>VLOOKUP($A13,[2]Projekty!$A$2:$AR$1147,4,0)</f>
        <v>OPKZP-PO1-SC141-2016-14</v>
      </c>
      <c r="C13" s="2" t="str">
        <f>VLOOKUP($A13,[2]Projekty!$A$2:$AR$1147,6,0)</f>
        <v>U. S. Steel Košice, s.r.o.</v>
      </c>
      <c r="D13" s="2" t="str">
        <f>VLOOKUP($A13,[2]Projekty!$A$2:$AR$1147,7,0)</f>
        <v>Odprášenie koncov spekacích pásov 1 a 2</v>
      </c>
      <c r="E13" s="2" t="str">
        <f>VLOOKUP($A13,[2]Projekty!$A$2:$AR$1147,9,0)</f>
        <v>KE</v>
      </c>
      <c r="F13" s="2" t="str">
        <f>VLOOKUP($A13,[2]Projekty!$A$2:$AR$1147,14,0)</f>
        <v>Realizácia</v>
      </c>
      <c r="G13" s="61">
        <f>VLOOKUP($A13,'[2]Dĺžka realizácie'!$A$2:$AR$1148,8,0)</f>
        <v>43677</v>
      </c>
      <c r="H13" s="20"/>
      <c r="I13" s="18"/>
      <c r="J13" s="18" t="str">
        <f t="shared" si="0"/>
        <v/>
      </c>
      <c r="K13" s="18"/>
      <c r="L13" s="18"/>
      <c r="M13" s="18" t="str">
        <f t="shared" si="1"/>
        <v/>
      </c>
      <c r="N13" s="18"/>
      <c r="O13" s="18"/>
      <c r="P13" s="18" t="str">
        <f t="shared" si="2"/>
        <v/>
      </c>
      <c r="Q13" s="18"/>
      <c r="R13" s="18"/>
      <c r="S13" s="18" t="str">
        <f t="shared" si="3"/>
        <v/>
      </c>
      <c r="T13" s="18"/>
      <c r="U13" s="18"/>
      <c r="V13" s="18" t="str">
        <f t="shared" si="4"/>
        <v/>
      </c>
      <c r="W13" s="18"/>
      <c r="X13" s="18"/>
      <c r="Y13" s="18" t="str">
        <f t="shared" si="5"/>
        <v/>
      </c>
      <c r="Z13" s="18"/>
      <c r="AA13" s="18"/>
      <c r="AB13" s="18" t="str">
        <f t="shared" si="6"/>
        <v/>
      </c>
      <c r="AC13" s="18"/>
      <c r="AD13" s="18"/>
      <c r="AE13" s="18" t="str">
        <f t="shared" si="7"/>
        <v/>
      </c>
      <c r="AF13" s="18"/>
      <c r="AG13" s="18"/>
      <c r="AH13" s="18" t="str">
        <f t="shared" si="8"/>
        <v/>
      </c>
      <c r="AI13" s="20"/>
      <c r="AJ13" s="18"/>
      <c r="AK13" s="18" t="str">
        <f t="shared" si="9"/>
        <v/>
      </c>
      <c r="AL13" s="18">
        <v>1</v>
      </c>
      <c r="AM13" s="18"/>
      <c r="AN13" s="18">
        <f t="shared" si="10"/>
        <v>0</v>
      </c>
      <c r="AO13" s="18"/>
      <c r="AP13" s="18"/>
      <c r="AQ13" s="18" t="str">
        <f t="shared" si="11"/>
        <v/>
      </c>
      <c r="AR13" s="18"/>
      <c r="AS13" s="18"/>
      <c r="AT13" s="18" t="str">
        <f t="shared" si="12"/>
        <v/>
      </c>
      <c r="AU13" s="18"/>
      <c r="AV13" s="18"/>
      <c r="AW13" s="18" t="str">
        <f t="shared" si="13"/>
        <v/>
      </c>
      <c r="AX13" s="18"/>
      <c r="AY13" s="18"/>
      <c r="AZ13" s="18" t="str">
        <f t="shared" si="14"/>
        <v/>
      </c>
      <c r="BA13" s="18"/>
      <c r="BB13" s="18"/>
      <c r="BC13" s="18" t="str">
        <f t="shared" si="15"/>
        <v/>
      </c>
      <c r="BD13" s="18">
        <v>43363.14</v>
      </c>
      <c r="BE13" s="18"/>
      <c r="BF13" s="18">
        <f t="shared" si="16"/>
        <v>0</v>
      </c>
      <c r="BG13" s="18">
        <v>4224.8100000000004</v>
      </c>
      <c r="BH13" s="18"/>
      <c r="BI13" s="18">
        <f t="shared" si="17"/>
        <v>0</v>
      </c>
      <c r="BJ13" s="18"/>
      <c r="BK13" s="18"/>
      <c r="BL13" s="18" t="str">
        <f t="shared" si="18"/>
        <v/>
      </c>
      <c r="BM13" s="18"/>
      <c r="BN13" s="18"/>
      <c r="BO13" s="18" t="str">
        <f t="shared" si="19"/>
        <v/>
      </c>
    </row>
    <row r="14" spans="1:67" x14ac:dyDescent="0.25">
      <c r="A14" s="2" t="s">
        <v>665</v>
      </c>
      <c r="B14" s="2" t="str">
        <f>VLOOKUP($A14,[2]Projekty!$A$2:$AR$1147,4,0)</f>
        <v>OPKZP-PO1-SC141-2016-14</v>
      </c>
      <c r="C14" s="2" t="str">
        <f>VLOOKUP($A14,[2]Projekty!$A$2:$AR$1147,6,0)</f>
        <v>U. S. Steel Košice, s.r.o.</v>
      </c>
      <c r="D14" s="2" t="str">
        <f>VLOOKUP($A14,[2]Projekty!$A$2:$AR$1147,7,0)</f>
        <v>Odprášenie koncov spekacích pásov 3 a 4</v>
      </c>
      <c r="E14" s="2" t="str">
        <f>VLOOKUP($A14,[2]Projekty!$A$2:$AR$1147,9,0)</f>
        <v>KE</v>
      </c>
      <c r="F14" s="2" t="str">
        <f>VLOOKUP($A14,[2]Projekty!$A$2:$AR$1147,14,0)</f>
        <v>Realizácia</v>
      </c>
      <c r="G14" s="61">
        <f>VLOOKUP($A14,'[2]Dĺžka realizácie'!$A$2:$AR$1148,8,0)</f>
        <v>43646</v>
      </c>
      <c r="H14" s="20"/>
      <c r="I14" s="18"/>
      <c r="J14" s="18" t="str">
        <f t="shared" si="0"/>
        <v/>
      </c>
      <c r="K14" s="18"/>
      <c r="L14" s="18"/>
      <c r="M14" s="18" t="str">
        <f t="shared" si="1"/>
        <v/>
      </c>
      <c r="N14" s="18"/>
      <c r="O14" s="18"/>
      <c r="P14" s="18" t="str">
        <f t="shared" si="2"/>
        <v/>
      </c>
      <c r="Q14" s="18"/>
      <c r="R14" s="18"/>
      <c r="S14" s="18" t="str">
        <f t="shared" si="3"/>
        <v/>
      </c>
      <c r="T14" s="18"/>
      <c r="U14" s="18"/>
      <c r="V14" s="18" t="str">
        <f t="shared" si="4"/>
        <v/>
      </c>
      <c r="W14" s="18"/>
      <c r="X14" s="18"/>
      <c r="Y14" s="18" t="str">
        <f t="shared" si="5"/>
        <v/>
      </c>
      <c r="Z14" s="18"/>
      <c r="AA14" s="18"/>
      <c r="AB14" s="18" t="str">
        <f t="shared" si="6"/>
        <v/>
      </c>
      <c r="AC14" s="18"/>
      <c r="AD14" s="18"/>
      <c r="AE14" s="18" t="str">
        <f t="shared" si="7"/>
        <v/>
      </c>
      <c r="AF14" s="18"/>
      <c r="AG14" s="18"/>
      <c r="AH14" s="18" t="str">
        <f t="shared" si="8"/>
        <v/>
      </c>
      <c r="AI14" s="20"/>
      <c r="AJ14" s="18"/>
      <c r="AK14" s="18" t="str">
        <f t="shared" si="9"/>
        <v/>
      </c>
      <c r="AL14" s="18">
        <v>1</v>
      </c>
      <c r="AM14" s="18"/>
      <c r="AN14" s="18">
        <f t="shared" si="10"/>
        <v>0</v>
      </c>
      <c r="AO14" s="18"/>
      <c r="AP14" s="18"/>
      <c r="AQ14" s="18" t="str">
        <f t="shared" si="11"/>
        <v/>
      </c>
      <c r="AR14" s="18"/>
      <c r="AS14" s="18"/>
      <c r="AT14" s="18" t="str">
        <f t="shared" si="12"/>
        <v/>
      </c>
      <c r="AU14" s="18"/>
      <c r="AV14" s="18"/>
      <c r="AW14" s="18" t="str">
        <f t="shared" si="13"/>
        <v/>
      </c>
      <c r="AX14" s="18"/>
      <c r="AY14" s="18"/>
      <c r="AZ14" s="18" t="str">
        <f t="shared" si="14"/>
        <v/>
      </c>
      <c r="BA14" s="18"/>
      <c r="BB14" s="18"/>
      <c r="BC14" s="18" t="str">
        <f t="shared" si="15"/>
        <v/>
      </c>
      <c r="BD14" s="18">
        <v>88354.43</v>
      </c>
      <c r="BE14" s="18"/>
      <c r="BF14" s="18">
        <f t="shared" si="16"/>
        <v>0</v>
      </c>
      <c r="BG14" s="18">
        <v>44182.53</v>
      </c>
      <c r="BH14" s="18"/>
      <c r="BI14" s="18">
        <f t="shared" si="17"/>
        <v>0</v>
      </c>
      <c r="BJ14" s="18"/>
      <c r="BK14" s="18"/>
      <c r="BL14" s="18" t="str">
        <f t="shared" si="18"/>
        <v/>
      </c>
      <c r="BM14" s="18"/>
      <c r="BN14" s="18"/>
      <c r="BO14" s="18" t="str">
        <f t="shared" si="19"/>
        <v/>
      </c>
    </row>
    <row r="15" spans="1:67" ht="38.25" x14ac:dyDescent="0.25">
      <c r="A15" s="15" t="s">
        <v>658</v>
      </c>
      <c r="B15" s="2" t="str">
        <f>VLOOKUP($A15,[2]Projekty!$A$2:$AR$1147,4,0)</f>
        <v>OPKZP-PO1-SC141-2015-7</v>
      </c>
      <c r="C15" s="2" t="str">
        <f>VLOOKUP($A15,[2]Projekty!$A$2:$AR$1147,6,0)</f>
        <v>Schüle Slovakia, s.r.o.</v>
      </c>
      <c r="D15" s="2" t="str">
        <f>VLOOKUP($A15,[2]Projekty!$A$2:$AR$1147,7,0)</f>
        <v>Znižovanie emisií zo stacionárnych zdrojov znečisťovania ovzdušia v spoločnosti Schüle Slovakia, s.r.o.</v>
      </c>
      <c r="E15" s="2" t="str">
        <f>VLOOKUP($A15,[2]Projekty!$A$2:$AR$1147,9,0)</f>
        <v>PO</v>
      </c>
      <c r="F15" s="2" t="str">
        <f>VLOOKUP($A15,[2]Projekty!$A$2:$AR$1147,14,0)</f>
        <v>Realizácia</v>
      </c>
      <c r="G15" s="61">
        <f>VLOOKUP($A15,'[2]Dĺžka realizácie'!$A$2:$AR$1148,8,0)</f>
        <v>43555</v>
      </c>
      <c r="H15" s="20"/>
      <c r="I15" s="18"/>
      <c r="J15" s="18" t="str">
        <f t="shared" si="0"/>
        <v/>
      </c>
      <c r="K15" s="18"/>
      <c r="L15" s="18"/>
      <c r="M15" s="18" t="str">
        <f t="shared" si="1"/>
        <v/>
      </c>
      <c r="N15" s="18"/>
      <c r="O15" s="18"/>
      <c r="P15" s="18" t="str">
        <f t="shared" si="2"/>
        <v/>
      </c>
      <c r="Q15" s="18"/>
      <c r="R15" s="18"/>
      <c r="S15" s="18" t="str">
        <f t="shared" si="3"/>
        <v/>
      </c>
      <c r="T15" s="18"/>
      <c r="U15" s="18"/>
      <c r="V15" s="18" t="str">
        <f t="shared" si="4"/>
        <v/>
      </c>
      <c r="W15" s="18"/>
      <c r="X15" s="18"/>
      <c r="Y15" s="18" t="str">
        <f t="shared" si="5"/>
        <v/>
      </c>
      <c r="Z15" s="18"/>
      <c r="AA15" s="18"/>
      <c r="AB15" s="18" t="str">
        <f t="shared" si="6"/>
        <v/>
      </c>
      <c r="AC15" s="18"/>
      <c r="AD15" s="18"/>
      <c r="AE15" s="18" t="str">
        <f t="shared" si="7"/>
        <v/>
      </c>
      <c r="AF15" s="18"/>
      <c r="AG15" s="18"/>
      <c r="AH15" s="18" t="str">
        <f t="shared" si="8"/>
        <v/>
      </c>
      <c r="AI15" s="20"/>
      <c r="AJ15" s="18"/>
      <c r="AK15" s="18" t="str">
        <f t="shared" si="9"/>
        <v/>
      </c>
      <c r="AL15" s="18">
        <v>1</v>
      </c>
      <c r="AM15" s="18"/>
      <c r="AN15" s="18">
        <f t="shared" si="10"/>
        <v>0</v>
      </c>
      <c r="AO15" s="18"/>
      <c r="AP15" s="18"/>
      <c r="AQ15" s="18" t="str">
        <f t="shared" si="11"/>
        <v/>
      </c>
      <c r="AR15" s="18"/>
      <c r="AS15" s="18"/>
      <c r="AT15" s="18" t="str">
        <f t="shared" si="12"/>
        <v/>
      </c>
      <c r="AU15" s="18"/>
      <c r="AV15" s="18"/>
      <c r="AW15" s="18" t="str">
        <f t="shared" si="13"/>
        <v/>
      </c>
      <c r="AX15" s="18"/>
      <c r="AY15" s="18"/>
      <c r="AZ15" s="18" t="str">
        <f t="shared" si="14"/>
        <v/>
      </c>
      <c r="BA15" s="18"/>
      <c r="BB15" s="18"/>
      <c r="BC15" s="18" t="str">
        <f t="shared" si="15"/>
        <v/>
      </c>
      <c r="BD15" s="18">
        <v>883.30600000000004</v>
      </c>
      <c r="BE15" s="18"/>
      <c r="BF15" s="18">
        <f t="shared" si="16"/>
        <v>0</v>
      </c>
      <c r="BG15" s="18">
        <v>787.29399999999998</v>
      </c>
      <c r="BH15" s="18"/>
      <c r="BI15" s="18">
        <f t="shared" si="17"/>
        <v>0</v>
      </c>
      <c r="BJ15" s="18"/>
      <c r="BK15" s="18"/>
      <c r="BL15" s="18" t="str">
        <f t="shared" si="18"/>
        <v/>
      </c>
      <c r="BM15" s="18"/>
      <c r="BN15" s="18"/>
      <c r="BO15" s="18" t="str">
        <f t="shared" si="19"/>
        <v/>
      </c>
    </row>
    <row r="16" spans="1:67" ht="25.5" x14ac:dyDescent="0.25">
      <c r="A16" s="2" t="s">
        <v>667</v>
      </c>
      <c r="B16" s="2" t="str">
        <f>VLOOKUP($A16,[2]Projekty!$A$2:$AR$1147,4,0)</f>
        <v>OPKZP-PO1-SC141-2016-14</v>
      </c>
      <c r="C16" s="2" t="str">
        <f>VLOOKUP($A16,[2]Projekty!$A$2:$AR$1147,6,0)</f>
        <v>KOSIT a.s.</v>
      </c>
      <c r="D16" s="2" t="str">
        <f>VLOOKUP($A16,[2]Projekty!$A$2:$AR$1147,7,0)</f>
        <v>Zníženie emisií znečisťujúcich látok zo Spaľovne odpadov – Termovalorizátora linky kotla K1</v>
      </c>
      <c r="E16" s="2" t="str">
        <f>VLOOKUP($A16,[2]Projekty!$A$2:$AR$1147,9,0)</f>
        <v>KE</v>
      </c>
      <c r="F16" s="2" t="str">
        <f>VLOOKUP($A16,[2]Projekty!$A$2:$AR$1147,14,0)</f>
        <v>Realizácia</v>
      </c>
      <c r="G16" s="61">
        <f>VLOOKUP($A16,'[2]Dĺžka realizácie'!$A$2:$AR$1148,8,0)</f>
        <v>43465</v>
      </c>
      <c r="H16" s="20"/>
      <c r="I16" s="18"/>
      <c r="J16" s="18" t="str">
        <f t="shared" si="0"/>
        <v/>
      </c>
      <c r="K16" s="18"/>
      <c r="L16" s="18"/>
      <c r="M16" s="18" t="str">
        <f t="shared" si="1"/>
        <v/>
      </c>
      <c r="N16" s="18"/>
      <c r="O16" s="18"/>
      <c r="P16" s="18" t="str">
        <f t="shared" si="2"/>
        <v/>
      </c>
      <c r="Q16" s="18"/>
      <c r="R16" s="18"/>
      <c r="S16" s="18" t="str">
        <f t="shared" si="3"/>
        <v/>
      </c>
      <c r="T16" s="18"/>
      <c r="U16" s="18"/>
      <c r="V16" s="18" t="str">
        <f t="shared" si="4"/>
        <v/>
      </c>
      <c r="W16" s="18"/>
      <c r="X16" s="18"/>
      <c r="Y16" s="18" t="str">
        <f t="shared" si="5"/>
        <v/>
      </c>
      <c r="Z16" s="18"/>
      <c r="AA16" s="18"/>
      <c r="AB16" s="18" t="str">
        <f t="shared" si="6"/>
        <v/>
      </c>
      <c r="AC16" s="18"/>
      <c r="AD16" s="18"/>
      <c r="AE16" s="18" t="str">
        <f t="shared" si="7"/>
        <v/>
      </c>
      <c r="AF16" s="18"/>
      <c r="AG16" s="18"/>
      <c r="AH16" s="18" t="str">
        <f t="shared" si="8"/>
        <v/>
      </c>
      <c r="AI16" s="20"/>
      <c r="AJ16" s="18"/>
      <c r="AK16" s="18" t="str">
        <f t="shared" si="9"/>
        <v/>
      </c>
      <c r="AL16" s="18">
        <v>1</v>
      </c>
      <c r="AM16" s="18">
        <v>1</v>
      </c>
      <c r="AN16" s="18">
        <f t="shared" si="10"/>
        <v>1</v>
      </c>
      <c r="AO16" s="18"/>
      <c r="AP16" s="18"/>
      <c r="AQ16" s="18" t="str">
        <f t="shared" si="11"/>
        <v/>
      </c>
      <c r="AR16" s="18"/>
      <c r="AS16" s="18"/>
      <c r="AT16" s="18" t="str">
        <f t="shared" si="12"/>
        <v/>
      </c>
      <c r="AU16" s="18"/>
      <c r="AV16" s="18"/>
      <c r="AW16" s="18" t="str">
        <f t="shared" si="13"/>
        <v/>
      </c>
      <c r="AX16" s="18"/>
      <c r="AY16" s="18"/>
      <c r="AZ16" s="18" t="str">
        <f t="shared" si="14"/>
        <v/>
      </c>
      <c r="BA16" s="18">
        <v>32889.666700000002</v>
      </c>
      <c r="BB16" s="18"/>
      <c r="BC16" s="18">
        <f t="shared" si="15"/>
        <v>32889.666700000002</v>
      </c>
      <c r="BD16" s="18">
        <v>16.0367</v>
      </c>
      <c r="BE16" s="18"/>
      <c r="BF16" s="18">
        <f t="shared" si="16"/>
        <v>16.0367</v>
      </c>
      <c r="BG16" s="18">
        <v>1.1319999999999999</v>
      </c>
      <c r="BH16" s="18"/>
      <c r="BI16" s="18">
        <f t="shared" si="17"/>
        <v>1.1319999999999999</v>
      </c>
      <c r="BJ16" s="18">
        <v>238.16669999999999</v>
      </c>
      <c r="BK16" s="18"/>
      <c r="BL16" s="18">
        <f t="shared" si="18"/>
        <v>238.16669999999999</v>
      </c>
      <c r="BM16" s="18"/>
      <c r="BN16" s="18"/>
      <c r="BO16" s="18" t="str">
        <f t="shared" si="19"/>
        <v/>
      </c>
    </row>
    <row r="17" spans="1:67" ht="25.5" x14ac:dyDescent="0.25">
      <c r="A17" s="15" t="s">
        <v>666</v>
      </c>
      <c r="B17" s="2" t="str">
        <f>VLOOKUP($A17,[2]Projekty!$A$2:$AR$1147,4,0)</f>
        <v>OPKZP-PO1-SC141-2016-14</v>
      </c>
      <c r="C17" s="2" t="str">
        <f>VLOOKUP($A17,[2]Projekty!$A$2:$AR$1147,6,0)</f>
        <v>U. S. Steel Košice, s.r.o.</v>
      </c>
      <c r="D17" s="2" t="str">
        <f>VLOOKUP($A17,[2]Projekty!$A$2:$AR$1147,7,0)</f>
        <v>Kontrola emisií pre rudné mosty VP3 – Prestavba EO34</v>
      </c>
      <c r="E17" s="2" t="str">
        <f>VLOOKUP($A17,[2]Projekty!$A$2:$AR$1147,9,0)</f>
        <v>KE</v>
      </c>
      <c r="F17" s="2" t="str">
        <f>VLOOKUP($A17,[2]Projekty!$A$2:$AR$1147,14,0)</f>
        <v>Realizácia</v>
      </c>
      <c r="G17" s="61">
        <f>VLOOKUP($A17,'[2]Dĺžka realizácie'!$A$2:$AR$1148,8,0)</f>
        <v>43677</v>
      </c>
      <c r="H17" s="20"/>
      <c r="I17" s="18"/>
      <c r="J17" s="18" t="str">
        <f t="shared" si="0"/>
        <v/>
      </c>
      <c r="K17" s="18"/>
      <c r="L17" s="18"/>
      <c r="M17" s="18" t="str">
        <f t="shared" si="1"/>
        <v/>
      </c>
      <c r="N17" s="18"/>
      <c r="O17" s="18"/>
      <c r="P17" s="18" t="str">
        <f t="shared" si="2"/>
        <v/>
      </c>
      <c r="Q17" s="18"/>
      <c r="R17" s="18"/>
      <c r="S17" s="18" t="str">
        <f t="shared" si="3"/>
        <v/>
      </c>
      <c r="T17" s="18"/>
      <c r="U17" s="18"/>
      <c r="V17" s="18" t="str">
        <f t="shared" si="4"/>
        <v/>
      </c>
      <c r="W17" s="18"/>
      <c r="X17" s="18"/>
      <c r="Y17" s="18" t="str">
        <f t="shared" si="5"/>
        <v/>
      </c>
      <c r="Z17" s="18"/>
      <c r="AA17" s="18"/>
      <c r="AB17" s="18" t="str">
        <f t="shared" si="6"/>
        <v/>
      </c>
      <c r="AC17" s="18"/>
      <c r="AD17" s="18"/>
      <c r="AE17" s="18" t="str">
        <f t="shared" si="7"/>
        <v/>
      </c>
      <c r="AF17" s="18"/>
      <c r="AG17" s="18"/>
      <c r="AH17" s="18" t="str">
        <f t="shared" si="8"/>
        <v/>
      </c>
      <c r="AI17" s="20"/>
      <c r="AJ17" s="18"/>
      <c r="AK17" s="18" t="str">
        <f t="shared" si="9"/>
        <v/>
      </c>
      <c r="AL17" s="18">
        <v>1</v>
      </c>
      <c r="AM17" s="18"/>
      <c r="AN17" s="18">
        <f t="shared" si="10"/>
        <v>0</v>
      </c>
      <c r="AO17" s="18"/>
      <c r="AP17" s="18"/>
      <c r="AQ17" s="18" t="str">
        <f t="shared" si="11"/>
        <v/>
      </c>
      <c r="AR17" s="18"/>
      <c r="AS17" s="18"/>
      <c r="AT17" s="18" t="str">
        <f t="shared" si="12"/>
        <v/>
      </c>
      <c r="AU17" s="18"/>
      <c r="AV17" s="18"/>
      <c r="AW17" s="18" t="str">
        <f t="shared" si="13"/>
        <v/>
      </c>
      <c r="AX17" s="18"/>
      <c r="AY17" s="18"/>
      <c r="AZ17" s="18" t="str">
        <f t="shared" si="14"/>
        <v/>
      </c>
      <c r="BA17" s="18"/>
      <c r="BB17" s="18"/>
      <c r="BC17" s="18" t="str">
        <f t="shared" si="15"/>
        <v/>
      </c>
      <c r="BD17" s="18">
        <v>15898.07</v>
      </c>
      <c r="BE17" s="18"/>
      <c r="BF17" s="18">
        <f t="shared" si="16"/>
        <v>0</v>
      </c>
      <c r="BG17" s="18">
        <v>7381.45</v>
      </c>
      <c r="BH17" s="18"/>
      <c r="BI17" s="18">
        <f t="shared" si="17"/>
        <v>0</v>
      </c>
      <c r="BJ17" s="18"/>
      <c r="BK17" s="18"/>
      <c r="BL17" s="18" t="str">
        <f t="shared" si="18"/>
        <v/>
      </c>
      <c r="BM17" s="18"/>
      <c r="BN17" s="18"/>
      <c r="BO17" s="18" t="str">
        <f t="shared" si="19"/>
        <v/>
      </c>
    </row>
    <row r="18" spans="1:67" x14ac:dyDescent="0.25">
      <c r="A18" s="2" t="s">
        <v>994</v>
      </c>
      <c r="B18" s="2" t="str">
        <f>VLOOKUP($A18,[2]Projekty!$A$2:$AR$1147,4,0)</f>
        <v>OPKZP-PO1-SC141-2015-7</v>
      </c>
      <c r="C18" s="2" t="str">
        <f>VLOOKUP($A18,[2]Projekty!$A$2:$AR$1147,6,0)</f>
        <v>U. S. Steel Košice, s.r.o.</v>
      </c>
      <c r="D18" s="2" t="str">
        <f>VLOOKUP($A18,[2]Projekty!$A$2:$AR$1147,7,0)</f>
        <v>Kontrola emisií pre rudné mosty VP2</v>
      </c>
      <c r="E18" s="2" t="str">
        <f>VLOOKUP($A18,[2]Projekty!$A$2:$AR$1147,9,0)</f>
        <v>KE</v>
      </c>
      <c r="F18" s="2" t="str">
        <f>VLOOKUP($A18,[2]Projekty!$A$2:$AR$1147,14,0)</f>
        <v>Realizácia</v>
      </c>
      <c r="G18" s="61">
        <f>VLOOKUP($A18,'[2]Dĺžka realizácie'!$A$2:$AR$1148,8,0)</f>
        <v>43738</v>
      </c>
      <c r="H18" s="20"/>
      <c r="I18" s="18"/>
      <c r="J18" s="18" t="str">
        <f t="shared" si="0"/>
        <v/>
      </c>
      <c r="K18" s="18"/>
      <c r="L18" s="18"/>
      <c r="M18" s="18" t="str">
        <f t="shared" si="1"/>
        <v/>
      </c>
      <c r="N18" s="18"/>
      <c r="O18" s="18"/>
      <c r="P18" s="18" t="str">
        <f t="shared" si="2"/>
        <v/>
      </c>
      <c r="Q18" s="18"/>
      <c r="R18" s="18"/>
      <c r="S18" s="18" t="str">
        <f t="shared" si="3"/>
        <v/>
      </c>
      <c r="T18" s="18"/>
      <c r="U18" s="18"/>
      <c r="V18" s="18" t="str">
        <f t="shared" si="4"/>
        <v/>
      </c>
      <c r="W18" s="18"/>
      <c r="X18" s="18"/>
      <c r="Y18" s="18" t="str">
        <f t="shared" si="5"/>
        <v/>
      </c>
      <c r="Z18" s="18"/>
      <c r="AA18" s="18"/>
      <c r="AB18" s="18" t="str">
        <f t="shared" si="6"/>
        <v/>
      </c>
      <c r="AC18" s="18"/>
      <c r="AD18" s="18"/>
      <c r="AE18" s="18" t="str">
        <f t="shared" si="7"/>
        <v/>
      </c>
      <c r="AF18" s="18"/>
      <c r="AG18" s="18"/>
      <c r="AH18" s="18" t="str">
        <f t="shared" si="8"/>
        <v/>
      </c>
      <c r="AI18" s="20"/>
      <c r="AJ18" s="18"/>
      <c r="AK18" s="18" t="str">
        <f t="shared" si="9"/>
        <v/>
      </c>
      <c r="AL18" s="18">
        <v>2</v>
      </c>
      <c r="AM18" s="18"/>
      <c r="AN18" s="18">
        <f t="shared" si="10"/>
        <v>0</v>
      </c>
      <c r="AO18" s="18"/>
      <c r="AP18" s="18"/>
      <c r="AQ18" s="18" t="str">
        <f t="shared" si="11"/>
        <v/>
      </c>
      <c r="AR18" s="18"/>
      <c r="AS18" s="18"/>
      <c r="AT18" s="18" t="str">
        <f t="shared" si="12"/>
        <v/>
      </c>
      <c r="AU18" s="18"/>
      <c r="AV18" s="18"/>
      <c r="AW18" s="18" t="str">
        <f t="shared" si="13"/>
        <v/>
      </c>
      <c r="AX18" s="18"/>
      <c r="AY18" s="18"/>
      <c r="AZ18" s="18" t="str">
        <f t="shared" si="14"/>
        <v/>
      </c>
      <c r="BA18" s="20"/>
      <c r="BB18" s="18"/>
      <c r="BC18" s="18" t="str">
        <f t="shared" si="15"/>
        <v/>
      </c>
      <c r="BD18" s="18">
        <v>28865.08</v>
      </c>
      <c r="BE18" s="18"/>
      <c r="BF18" s="18">
        <f t="shared" si="16"/>
        <v>0</v>
      </c>
      <c r="BG18" s="18">
        <v>16397.490000000002</v>
      </c>
      <c r="BH18" s="18"/>
      <c r="BI18" s="18">
        <f t="shared" si="17"/>
        <v>0</v>
      </c>
      <c r="BJ18" s="18"/>
      <c r="BK18" s="18"/>
      <c r="BL18" s="18" t="str">
        <f t="shared" si="18"/>
        <v/>
      </c>
      <c r="BM18" s="18"/>
      <c r="BN18" s="18"/>
      <c r="BO18" s="18" t="str">
        <f t="shared" si="19"/>
        <v/>
      </c>
    </row>
    <row r="19" spans="1:67" x14ac:dyDescent="0.25">
      <c r="A19" s="2" t="s">
        <v>995</v>
      </c>
      <c r="B19" s="2" t="str">
        <f>VLOOKUP($A19,[2]Projekty!$A$2:$AR$1147,4,0)</f>
        <v>OPKZP-PO1-SC141-2015-7</v>
      </c>
      <c r="C19" s="2" t="str">
        <f>VLOOKUP($A19,[2]Projekty!$A$2:$AR$1147,6,0)</f>
        <v>U. S. Steel Košice, s.r.o.</v>
      </c>
      <c r="D19" s="2" t="str">
        <f>VLOOKUP($A19,[2]Projekty!$A$2:$AR$1147,7,0)</f>
        <v>Odprášenie koksovej služby VKB1</v>
      </c>
      <c r="E19" s="2" t="str">
        <f>VLOOKUP($A19,[2]Projekty!$A$2:$AR$1147,9,0)</f>
        <v>KE</v>
      </c>
      <c r="F19" s="2" t="str">
        <f>VLOOKUP($A19,[2]Projekty!$A$2:$AR$1147,14,0)</f>
        <v>Aktivity nezačaté</v>
      </c>
      <c r="G19" s="61">
        <f>VLOOKUP($A19,'[2]Dĺžka realizácie'!$A$2:$AR$1148,8,0)</f>
        <v>44135</v>
      </c>
      <c r="H19" s="20"/>
      <c r="I19" s="18"/>
      <c r="J19" s="18" t="str">
        <f t="shared" si="0"/>
        <v/>
      </c>
      <c r="K19" s="18"/>
      <c r="L19" s="18"/>
      <c r="M19" s="18" t="str">
        <f t="shared" si="1"/>
        <v/>
      </c>
      <c r="N19" s="18"/>
      <c r="O19" s="18"/>
      <c r="P19" s="18" t="str">
        <f t="shared" si="2"/>
        <v/>
      </c>
      <c r="Q19" s="18"/>
      <c r="R19" s="18"/>
      <c r="S19" s="18" t="str">
        <f t="shared" si="3"/>
        <v/>
      </c>
      <c r="T19" s="18"/>
      <c r="U19" s="18"/>
      <c r="V19" s="18" t="str">
        <f t="shared" si="4"/>
        <v/>
      </c>
      <c r="W19" s="18"/>
      <c r="X19" s="18"/>
      <c r="Y19" s="18" t="str">
        <f t="shared" si="5"/>
        <v/>
      </c>
      <c r="Z19" s="18"/>
      <c r="AA19" s="18"/>
      <c r="AB19" s="18" t="str">
        <f t="shared" si="6"/>
        <v/>
      </c>
      <c r="AC19" s="18"/>
      <c r="AD19" s="18"/>
      <c r="AE19" s="18" t="str">
        <f t="shared" si="7"/>
        <v/>
      </c>
      <c r="AF19" s="18"/>
      <c r="AG19" s="18"/>
      <c r="AH19" s="18" t="str">
        <f t="shared" si="8"/>
        <v/>
      </c>
      <c r="AI19" s="20"/>
      <c r="AJ19" s="18"/>
      <c r="AK19" s="18" t="str">
        <f t="shared" si="9"/>
        <v/>
      </c>
      <c r="AL19" s="18">
        <v>2</v>
      </c>
      <c r="AM19" s="18"/>
      <c r="AN19" s="18">
        <f t="shared" si="10"/>
        <v>0</v>
      </c>
      <c r="AO19" s="18"/>
      <c r="AP19" s="18"/>
      <c r="AQ19" s="18" t="str">
        <f t="shared" si="11"/>
        <v/>
      </c>
      <c r="AR19" s="18"/>
      <c r="AS19" s="18"/>
      <c r="AT19" s="18" t="str">
        <f t="shared" si="12"/>
        <v/>
      </c>
      <c r="AU19" s="18"/>
      <c r="AV19" s="18"/>
      <c r="AW19" s="18" t="str">
        <f t="shared" si="13"/>
        <v/>
      </c>
      <c r="AX19" s="18"/>
      <c r="AY19" s="18"/>
      <c r="AZ19" s="18" t="str">
        <f t="shared" si="14"/>
        <v/>
      </c>
      <c r="BA19" s="20"/>
      <c r="BB19" s="18"/>
      <c r="BC19" s="18" t="str">
        <f t="shared" si="15"/>
        <v/>
      </c>
      <c r="BD19" s="18">
        <v>3275.11</v>
      </c>
      <c r="BE19" s="18"/>
      <c r="BF19" s="18">
        <f t="shared" si="16"/>
        <v>0</v>
      </c>
      <c r="BG19" s="18">
        <v>128.94</v>
      </c>
      <c r="BH19" s="18"/>
      <c r="BI19" s="18">
        <f t="shared" si="17"/>
        <v>0</v>
      </c>
      <c r="BJ19" s="18"/>
      <c r="BK19" s="18"/>
      <c r="BL19" s="18" t="str">
        <f t="shared" si="18"/>
        <v/>
      </c>
      <c r="BM19" s="18"/>
      <c r="BN19" s="18"/>
      <c r="BO19" s="18" t="str">
        <f t="shared" si="19"/>
        <v/>
      </c>
    </row>
    <row r="20" spans="1:67" x14ac:dyDescent="0.25">
      <c r="A20" s="2" t="s">
        <v>996</v>
      </c>
      <c r="B20" s="2" t="str">
        <f>VLOOKUP($A20,[2]Projekty!$A$2:$AR$1147,4,0)</f>
        <v>OPKZP-PO1-SC141-2015-7</v>
      </c>
      <c r="C20" s="2" t="str">
        <f>VLOOKUP($A20,[2]Projekty!$A$2:$AR$1147,6,0)</f>
        <v>U. S. Steel Košice, s.r.o.</v>
      </c>
      <c r="D20" s="2" t="str">
        <f>VLOOKUP($A20,[2]Projekty!$A$2:$AR$1147,7,0)</f>
        <v>Odprášenie koksovej služby VKB3</v>
      </c>
      <c r="E20" s="2" t="str">
        <f>VLOOKUP($A20,[2]Projekty!$A$2:$AR$1147,9,0)</f>
        <v>KE</v>
      </c>
      <c r="F20" s="2" t="str">
        <f>VLOOKUP($A20,[2]Projekty!$A$2:$AR$1147,14,0)</f>
        <v>Aktivity nezačaté</v>
      </c>
      <c r="G20" s="61">
        <f>VLOOKUP($A20,'[2]Dĺžka realizácie'!$A$2:$AR$1148,8,0)</f>
        <v>44135</v>
      </c>
      <c r="H20" s="20"/>
      <c r="I20" s="18"/>
      <c r="J20" s="18" t="str">
        <f t="shared" si="0"/>
        <v/>
      </c>
      <c r="K20" s="18"/>
      <c r="L20" s="18"/>
      <c r="M20" s="18" t="str">
        <f t="shared" si="1"/>
        <v/>
      </c>
      <c r="N20" s="18"/>
      <c r="O20" s="18"/>
      <c r="P20" s="18" t="str">
        <f t="shared" si="2"/>
        <v/>
      </c>
      <c r="Q20" s="18"/>
      <c r="R20" s="18"/>
      <c r="S20" s="18" t="str">
        <f t="shared" si="3"/>
        <v/>
      </c>
      <c r="T20" s="18"/>
      <c r="U20" s="18"/>
      <c r="V20" s="18" t="str">
        <f t="shared" si="4"/>
        <v/>
      </c>
      <c r="W20" s="18"/>
      <c r="X20" s="18"/>
      <c r="Y20" s="18" t="str">
        <f t="shared" si="5"/>
        <v/>
      </c>
      <c r="Z20" s="18"/>
      <c r="AA20" s="18"/>
      <c r="AB20" s="18" t="str">
        <f t="shared" si="6"/>
        <v/>
      </c>
      <c r="AC20" s="18"/>
      <c r="AD20" s="18"/>
      <c r="AE20" s="18" t="str">
        <f t="shared" si="7"/>
        <v/>
      </c>
      <c r="AF20" s="18"/>
      <c r="AG20" s="18"/>
      <c r="AH20" s="18" t="str">
        <f t="shared" si="8"/>
        <v/>
      </c>
      <c r="AI20" s="20"/>
      <c r="AJ20" s="18"/>
      <c r="AK20" s="18" t="str">
        <f t="shared" si="9"/>
        <v/>
      </c>
      <c r="AL20" s="18">
        <v>1</v>
      </c>
      <c r="AM20" s="18"/>
      <c r="AN20" s="18">
        <f t="shared" si="10"/>
        <v>0</v>
      </c>
      <c r="AO20" s="18"/>
      <c r="AP20" s="18"/>
      <c r="AQ20" s="18" t="str">
        <f t="shared" si="11"/>
        <v/>
      </c>
      <c r="AR20" s="18"/>
      <c r="AS20" s="18"/>
      <c r="AT20" s="18" t="str">
        <f t="shared" si="12"/>
        <v/>
      </c>
      <c r="AU20" s="18"/>
      <c r="AV20" s="18"/>
      <c r="AW20" s="18" t="str">
        <f t="shared" si="13"/>
        <v/>
      </c>
      <c r="AX20" s="18"/>
      <c r="AY20" s="18"/>
      <c r="AZ20" s="18" t="str">
        <f t="shared" si="14"/>
        <v/>
      </c>
      <c r="BA20" s="20"/>
      <c r="BB20" s="18"/>
      <c r="BC20" s="18" t="str">
        <f t="shared" si="15"/>
        <v/>
      </c>
      <c r="BD20" s="18">
        <v>5151.24</v>
      </c>
      <c r="BE20" s="18"/>
      <c r="BF20" s="18">
        <f t="shared" si="16"/>
        <v>0</v>
      </c>
      <c r="BG20" s="18">
        <v>151.30000000000001</v>
      </c>
      <c r="BH20" s="18"/>
      <c r="BI20" s="18">
        <f t="shared" si="17"/>
        <v>0</v>
      </c>
      <c r="BJ20" s="18"/>
      <c r="BK20" s="18"/>
      <c r="BL20" s="18" t="str">
        <f t="shared" si="18"/>
        <v/>
      </c>
      <c r="BM20" s="18"/>
      <c r="BN20" s="18"/>
      <c r="BO20" s="18" t="str">
        <f t="shared" si="19"/>
        <v/>
      </c>
    </row>
    <row r="21" spans="1:67" x14ac:dyDescent="0.25">
      <c r="A21" s="2" t="s">
        <v>997</v>
      </c>
      <c r="B21" s="2" t="str">
        <f>VLOOKUP($A21,[2]Projekty!$A$2:$AR$1147,4,0)</f>
        <v>OPKZP-PO1-SC141-2015-7</v>
      </c>
      <c r="C21" s="2" t="str">
        <f>VLOOKUP($A21,[2]Projekty!$A$2:$AR$1147,6,0)</f>
        <v>U. S. Steel Košice, s.r.o.</v>
      </c>
      <c r="D21" s="2" t="str">
        <f>VLOOKUP($A21,[2]Projekty!$A$2:$AR$1147,7,0)</f>
        <v>Odprášenie Úpravne uhlia</v>
      </c>
      <c r="E21" s="2" t="str">
        <f>VLOOKUP($A21,[2]Projekty!$A$2:$AR$1147,9,0)</f>
        <v>KE</v>
      </c>
      <c r="F21" s="2" t="str">
        <f>VLOOKUP($A21,[2]Projekty!$A$2:$AR$1147,14,0)</f>
        <v>Aktivity nezačaté</v>
      </c>
      <c r="G21" s="61">
        <f>VLOOKUP($A21,'[2]Dĺžka realizácie'!$A$2:$AR$1148,8,0)</f>
        <v>43677</v>
      </c>
      <c r="H21" s="20"/>
      <c r="I21" s="18"/>
      <c r="J21" s="18" t="str">
        <f t="shared" si="0"/>
        <v/>
      </c>
      <c r="K21" s="18"/>
      <c r="L21" s="18"/>
      <c r="M21" s="18" t="str">
        <f t="shared" si="1"/>
        <v/>
      </c>
      <c r="N21" s="18"/>
      <c r="O21" s="18"/>
      <c r="P21" s="18" t="str">
        <f t="shared" si="2"/>
        <v/>
      </c>
      <c r="Q21" s="18"/>
      <c r="R21" s="18"/>
      <c r="S21" s="18" t="str">
        <f t="shared" si="3"/>
        <v/>
      </c>
      <c r="T21" s="18"/>
      <c r="U21" s="18"/>
      <c r="V21" s="18" t="str">
        <f t="shared" si="4"/>
        <v/>
      </c>
      <c r="W21" s="18"/>
      <c r="X21" s="18"/>
      <c r="Y21" s="18" t="str">
        <f t="shared" si="5"/>
        <v/>
      </c>
      <c r="Z21" s="18"/>
      <c r="AA21" s="18"/>
      <c r="AB21" s="18" t="str">
        <f t="shared" si="6"/>
        <v/>
      </c>
      <c r="AC21" s="18"/>
      <c r="AD21" s="18"/>
      <c r="AE21" s="18" t="str">
        <f t="shared" si="7"/>
        <v/>
      </c>
      <c r="AF21" s="18"/>
      <c r="AG21" s="18"/>
      <c r="AH21" s="18" t="str">
        <f t="shared" si="8"/>
        <v/>
      </c>
      <c r="AI21" s="20"/>
      <c r="AJ21" s="18"/>
      <c r="AK21" s="18" t="str">
        <f t="shared" si="9"/>
        <v/>
      </c>
      <c r="AL21" s="18">
        <v>1</v>
      </c>
      <c r="AM21" s="18"/>
      <c r="AN21" s="18">
        <f t="shared" si="10"/>
        <v>0</v>
      </c>
      <c r="AO21" s="18"/>
      <c r="AP21" s="18"/>
      <c r="AQ21" s="18" t="str">
        <f t="shared" si="11"/>
        <v/>
      </c>
      <c r="AR21" s="18"/>
      <c r="AS21" s="18"/>
      <c r="AT21" s="18" t="str">
        <f t="shared" si="12"/>
        <v/>
      </c>
      <c r="AU21" s="18"/>
      <c r="AV21" s="18"/>
      <c r="AW21" s="18" t="str">
        <f t="shared" si="13"/>
        <v/>
      </c>
      <c r="AX21" s="18"/>
      <c r="AY21" s="18"/>
      <c r="AZ21" s="18" t="str">
        <f t="shared" si="14"/>
        <v/>
      </c>
      <c r="BA21" s="20"/>
      <c r="BB21" s="18"/>
      <c r="BC21" s="18" t="str">
        <f t="shared" si="15"/>
        <v/>
      </c>
      <c r="BD21" s="18">
        <v>1606.83</v>
      </c>
      <c r="BE21" s="18"/>
      <c r="BF21" s="18">
        <f t="shared" si="16"/>
        <v>0</v>
      </c>
      <c r="BG21" s="18">
        <v>16.239999999999998</v>
      </c>
      <c r="BH21" s="18"/>
      <c r="BI21" s="18">
        <f t="shared" si="17"/>
        <v>0</v>
      </c>
      <c r="BJ21" s="18"/>
      <c r="BK21" s="18"/>
      <c r="BL21" s="18" t="str">
        <f t="shared" si="18"/>
        <v/>
      </c>
      <c r="BM21" s="18"/>
      <c r="BN21" s="18"/>
      <c r="BO21" s="18" t="str">
        <f t="shared" si="19"/>
        <v/>
      </c>
    </row>
    <row r="22" spans="1:67" x14ac:dyDescent="0.25">
      <c r="A22" s="15" t="s">
        <v>998</v>
      </c>
      <c r="B22" s="2" t="str">
        <f>VLOOKUP($A22,[2]Projekty!$A$2:$AR$1147,4,0)</f>
        <v>OPKZP-PO1-SC141-2015-7</v>
      </c>
      <c r="C22" s="2" t="str">
        <f>VLOOKUP($A22,[2]Projekty!$A$2:$AR$1147,6,0)</f>
        <v>U. S. Steel Košice, s.r.o.</v>
      </c>
      <c r="D22" s="2" t="str">
        <f>VLOOKUP($A22,[2]Projekty!$A$2:$AR$1147,7,0)</f>
        <v>Odprášenie OC2 – Odsírenie SUZE</v>
      </c>
      <c r="E22" s="2" t="str">
        <f>VLOOKUP($A22,[2]Projekty!$A$2:$AR$1147,9,0)</f>
        <v>KE</v>
      </c>
      <c r="F22" s="2" t="str">
        <f>VLOOKUP($A22,[2]Projekty!$A$2:$AR$1147,14,0)</f>
        <v>Aktivity nezačaté</v>
      </c>
      <c r="G22" s="61">
        <f>VLOOKUP($A22,'[2]Dĺžka realizácie'!$A$2:$AR$1148,8,0)</f>
        <v>43769</v>
      </c>
      <c r="H22" s="20"/>
      <c r="I22" s="18"/>
      <c r="J22" s="18" t="str">
        <f t="shared" si="0"/>
        <v/>
      </c>
      <c r="K22" s="18"/>
      <c r="L22" s="18"/>
      <c r="M22" s="18" t="str">
        <f t="shared" si="1"/>
        <v/>
      </c>
      <c r="N22" s="18"/>
      <c r="O22" s="18"/>
      <c r="P22" s="18" t="str">
        <f t="shared" si="2"/>
        <v/>
      </c>
      <c r="Q22" s="18"/>
      <c r="R22" s="18"/>
      <c r="S22" s="18" t="str">
        <f t="shared" si="3"/>
        <v/>
      </c>
      <c r="T22" s="18"/>
      <c r="U22" s="18"/>
      <c r="V22" s="18" t="str">
        <f t="shared" si="4"/>
        <v/>
      </c>
      <c r="W22" s="18"/>
      <c r="X22" s="18"/>
      <c r="Y22" s="18" t="str">
        <f t="shared" si="5"/>
        <v/>
      </c>
      <c r="Z22" s="18"/>
      <c r="AA22" s="18"/>
      <c r="AB22" s="18" t="str">
        <f t="shared" si="6"/>
        <v/>
      </c>
      <c r="AC22" s="18"/>
      <c r="AD22" s="18"/>
      <c r="AE22" s="18" t="str">
        <f t="shared" si="7"/>
        <v/>
      </c>
      <c r="AF22" s="18"/>
      <c r="AG22" s="18"/>
      <c r="AH22" s="18" t="str">
        <f t="shared" si="8"/>
        <v/>
      </c>
      <c r="AI22" s="20"/>
      <c r="AJ22" s="18"/>
      <c r="AK22" s="18" t="str">
        <f t="shared" si="9"/>
        <v/>
      </c>
      <c r="AL22" s="18">
        <v>1</v>
      </c>
      <c r="AM22" s="18"/>
      <c r="AN22" s="18">
        <f t="shared" si="10"/>
        <v>0</v>
      </c>
      <c r="AO22" s="18"/>
      <c r="AP22" s="18"/>
      <c r="AQ22" s="18" t="str">
        <f t="shared" si="11"/>
        <v/>
      </c>
      <c r="AR22" s="18"/>
      <c r="AS22" s="18"/>
      <c r="AT22" s="18" t="str">
        <f t="shared" si="12"/>
        <v/>
      </c>
      <c r="AU22" s="18"/>
      <c r="AV22" s="18"/>
      <c r="AW22" s="18" t="str">
        <f t="shared" si="13"/>
        <v/>
      </c>
      <c r="AX22" s="18"/>
      <c r="AY22" s="18"/>
      <c r="AZ22" s="18" t="str">
        <f t="shared" si="14"/>
        <v/>
      </c>
      <c r="BA22" s="18"/>
      <c r="BB22" s="18"/>
      <c r="BC22" s="18" t="str">
        <f t="shared" si="15"/>
        <v/>
      </c>
      <c r="BD22" s="18">
        <v>12665.48</v>
      </c>
      <c r="BE22" s="18"/>
      <c r="BF22" s="18">
        <f t="shared" si="16"/>
        <v>0</v>
      </c>
      <c r="BG22" s="18">
        <v>11072.42</v>
      </c>
      <c r="BH22" s="18"/>
      <c r="BI22" s="18">
        <f t="shared" si="17"/>
        <v>0</v>
      </c>
      <c r="BJ22" s="18"/>
      <c r="BK22" s="18"/>
      <c r="BL22" s="18" t="str">
        <f t="shared" si="18"/>
        <v/>
      </c>
      <c r="BM22" s="18"/>
      <c r="BN22" s="18"/>
      <c r="BO22" s="18" t="str">
        <f t="shared" si="19"/>
        <v/>
      </c>
    </row>
    <row r="23" spans="1:67" x14ac:dyDescent="0.25">
      <c r="H23" s="18">
        <f t="shared" ref="H23:BN23" si="20">SUM(H5:H22)</f>
        <v>0</v>
      </c>
      <c r="I23" s="18">
        <f t="shared" si="20"/>
        <v>0</v>
      </c>
      <c r="J23" s="18">
        <f t="shared" si="20"/>
        <v>0</v>
      </c>
      <c r="K23" s="18">
        <f t="shared" si="20"/>
        <v>0</v>
      </c>
      <c r="L23" s="18">
        <f t="shared" si="20"/>
        <v>0</v>
      </c>
      <c r="M23" s="18">
        <f t="shared" si="20"/>
        <v>0</v>
      </c>
      <c r="N23" s="18">
        <f t="shared" si="20"/>
        <v>0</v>
      </c>
      <c r="O23" s="18">
        <f t="shared" si="20"/>
        <v>0</v>
      </c>
      <c r="P23" s="18">
        <f t="shared" si="20"/>
        <v>0</v>
      </c>
      <c r="Q23" s="18">
        <f t="shared" si="20"/>
        <v>0</v>
      </c>
      <c r="R23" s="18">
        <f t="shared" si="20"/>
        <v>0</v>
      </c>
      <c r="S23" s="18">
        <f t="shared" si="20"/>
        <v>0</v>
      </c>
      <c r="T23" s="18">
        <f t="shared" si="20"/>
        <v>0</v>
      </c>
      <c r="U23" s="18">
        <f t="shared" si="20"/>
        <v>0</v>
      </c>
      <c r="V23" s="18">
        <f t="shared" si="20"/>
        <v>0</v>
      </c>
      <c r="W23" s="18">
        <f t="shared" si="20"/>
        <v>0</v>
      </c>
      <c r="X23" s="18">
        <f t="shared" si="20"/>
        <v>0</v>
      </c>
      <c r="Y23" s="18">
        <f t="shared" si="20"/>
        <v>0</v>
      </c>
      <c r="Z23" s="18">
        <f t="shared" si="20"/>
        <v>0</v>
      </c>
      <c r="AA23" s="18">
        <f t="shared" si="20"/>
        <v>0</v>
      </c>
      <c r="AB23" s="18">
        <f t="shared" si="20"/>
        <v>0</v>
      </c>
      <c r="AC23" s="18">
        <f t="shared" si="20"/>
        <v>0</v>
      </c>
      <c r="AD23" s="18">
        <f t="shared" si="20"/>
        <v>0</v>
      </c>
      <c r="AE23" s="18">
        <f t="shared" si="20"/>
        <v>0</v>
      </c>
      <c r="AF23" s="18">
        <f t="shared" si="20"/>
        <v>0</v>
      </c>
      <c r="AG23" s="18">
        <f t="shared" si="20"/>
        <v>0</v>
      </c>
      <c r="AH23" s="18">
        <f t="shared" si="20"/>
        <v>0</v>
      </c>
      <c r="AI23" s="18">
        <f t="shared" si="20"/>
        <v>0</v>
      </c>
      <c r="AJ23" s="18">
        <f t="shared" si="20"/>
        <v>0</v>
      </c>
      <c r="AK23" s="18">
        <f t="shared" si="20"/>
        <v>0</v>
      </c>
      <c r="AL23" s="18">
        <f t="shared" si="20"/>
        <v>22</v>
      </c>
      <c r="AM23" s="18">
        <f t="shared" si="20"/>
        <v>1</v>
      </c>
      <c r="AN23" s="18">
        <f t="shared" si="20"/>
        <v>3</v>
      </c>
      <c r="AO23" s="18">
        <f t="shared" si="20"/>
        <v>0</v>
      </c>
      <c r="AP23" s="18">
        <f t="shared" si="20"/>
        <v>0</v>
      </c>
      <c r="AQ23" s="18">
        <f t="shared" si="20"/>
        <v>0</v>
      </c>
      <c r="AR23" s="18">
        <f t="shared" si="20"/>
        <v>0</v>
      </c>
      <c r="AS23" s="18">
        <f t="shared" si="20"/>
        <v>0</v>
      </c>
      <c r="AT23" s="18">
        <f t="shared" si="20"/>
        <v>0</v>
      </c>
      <c r="AU23" s="18">
        <f t="shared" si="20"/>
        <v>0</v>
      </c>
      <c r="AV23" s="18">
        <f t="shared" si="20"/>
        <v>0</v>
      </c>
      <c r="AW23" s="18">
        <f t="shared" si="20"/>
        <v>0</v>
      </c>
      <c r="AX23" s="18">
        <f t="shared" si="20"/>
        <v>0</v>
      </c>
      <c r="AY23" s="18">
        <f t="shared" si="20"/>
        <v>0</v>
      </c>
      <c r="AZ23" s="18">
        <f t="shared" si="20"/>
        <v>0</v>
      </c>
      <c r="BA23" s="18">
        <f t="shared" si="20"/>
        <v>32889.666700000002</v>
      </c>
      <c r="BB23" s="18">
        <f t="shared" si="20"/>
        <v>0</v>
      </c>
      <c r="BC23" s="18">
        <f t="shared" si="20"/>
        <v>32889.666700000002</v>
      </c>
      <c r="BD23" s="18">
        <f t="shared" si="20"/>
        <v>1510393.7327000003</v>
      </c>
      <c r="BE23" s="18">
        <f t="shared" si="20"/>
        <v>0</v>
      </c>
      <c r="BF23" s="18">
        <f t="shared" si="20"/>
        <v>11325.036700000001</v>
      </c>
      <c r="BG23" s="18">
        <f t="shared" si="20"/>
        <v>924543.89600000007</v>
      </c>
      <c r="BH23" s="18">
        <f t="shared" si="20"/>
        <v>0</v>
      </c>
      <c r="BI23" s="18">
        <f t="shared" si="20"/>
        <v>10573.132</v>
      </c>
      <c r="BJ23" s="18">
        <f t="shared" si="20"/>
        <v>238.16669999999999</v>
      </c>
      <c r="BK23" s="18">
        <f t="shared" si="20"/>
        <v>0</v>
      </c>
      <c r="BL23" s="18">
        <f t="shared" si="20"/>
        <v>238.16669999999999</v>
      </c>
      <c r="BM23" s="18">
        <f t="shared" si="20"/>
        <v>0</v>
      </c>
      <c r="BN23" s="18">
        <f t="shared" si="20"/>
        <v>0</v>
      </c>
      <c r="BO23" s="18">
        <f t="shared" ref="BO23" si="21">SUM(BO5:BO22)</f>
        <v>0</v>
      </c>
    </row>
    <row r="24" spans="1:67" x14ac:dyDescent="0.25">
      <c r="H24" s="18">
        <f t="shared" ref="H24:BN24" si="22">COUNT(H5:H22)</f>
        <v>0</v>
      </c>
      <c r="I24" s="18">
        <f t="shared" si="22"/>
        <v>0</v>
      </c>
      <c r="J24" s="18">
        <f t="shared" si="22"/>
        <v>0</v>
      </c>
      <c r="K24" s="18">
        <f t="shared" si="22"/>
        <v>0</v>
      </c>
      <c r="L24" s="18">
        <f t="shared" si="22"/>
        <v>0</v>
      </c>
      <c r="M24" s="18">
        <f t="shared" si="22"/>
        <v>0</v>
      </c>
      <c r="N24" s="18">
        <f t="shared" si="22"/>
        <v>0</v>
      </c>
      <c r="O24" s="18">
        <f t="shared" si="22"/>
        <v>0</v>
      </c>
      <c r="P24" s="18">
        <f t="shared" si="22"/>
        <v>0</v>
      </c>
      <c r="Q24" s="18">
        <f t="shared" si="22"/>
        <v>0</v>
      </c>
      <c r="R24" s="18">
        <f t="shared" si="22"/>
        <v>0</v>
      </c>
      <c r="S24" s="18">
        <f t="shared" si="22"/>
        <v>0</v>
      </c>
      <c r="T24" s="18">
        <f t="shared" si="22"/>
        <v>0</v>
      </c>
      <c r="U24" s="18">
        <f t="shared" si="22"/>
        <v>0</v>
      </c>
      <c r="V24" s="18">
        <f t="shared" si="22"/>
        <v>0</v>
      </c>
      <c r="W24" s="18">
        <f t="shared" si="22"/>
        <v>0</v>
      </c>
      <c r="X24" s="18">
        <f t="shared" si="22"/>
        <v>0</v>
      </c>
      <c r="Y24" s="18">
        <f t="shared" si="22"/>
        <v>0</v>
      </c>
      <c r="Z24" s="18">
        <f t="shared" si="22"/>
        <v>0</v>
      </c>
      <c r="AA24" s="18">
        <f t="shared" si="22"/>
        <v>0</v>
      </c>
      <c r="AB24" s="18">
        <f t="shared" si="22"/>
        <v>0</v>
      </c>
      <c r="AC24" s="18">
        <f t="shared" si="22"/>
        <v>0</v>
      </c>
      <c r="AD24" s="18">
        <f t="shared" si="22"/>
        <v>0</v>
      </c>
      <c r="AE24" s="18">
        <f t="shared" si="22"/>
        <v>0</v>
      </c>
      <c r="AF24" s="18">
        <f t="shared" si="22"/>
        <v>0</v>
      </c>
      <c r="AG24" s="18">
        <f t="shared" si="22"/>
        <v>0</v>
      </c>
      <c r="AH24" s="18">
        <f t="shared" si="22"/>
        <v>0</v>
      </c>
      <c r="AI24" s="18">
        <f t="shared" si="22"/>
        <v>0</v>
      </c>
      <c r="AJ24" s="18">
        <f t="shared" si="22"/>
        <v>0</v>
      </c>
      <c r="AK24" s="18">
        <f t="shared" si="22"/>
        <v>0</v>
      </c>
      <c r="AL24" s="18">
        <f t="shared" si="22"/>
        <v>18</v>
      </c>
      <c r="AM24" s="18">
        <f t="shared" si="22"/>
        <v>1</v>
      </c>
      <c r="AN24" s="18">
        <f t="shared" si="22"/>
        <v>18</v>
      </c>
      <c r="AO24" s="18">
        <f t="shared" si="22"/>
        <v>0</v>
      </c>
      <c r="AP24" s="18">
        <f t="shared" si="22"/>
        <v>0</v>
      </c>
      <c r="AQ24" s="18">
        <f t="shared" si="22"/>
        <v>0</v>
      </c>
      <c r="AR24" s="18">
        <f t="shared" si="22"/>
        <v>0</v>
      </c>
      <c r="AS24" s="18">
        <f t="shared" si="22"/>
        <v>0</v>
      </c>
      <c r="AT24" s="18">
        <f t="shared" si="22"/>
        <v>0</v>
      </c>
      <c r="AU24" s="18">
        <f t="shared" si="22"/>
        <v>0</v>
      </c>
      <c r="AV24" s="18">
        <f t="shared" si="22"/>
        <v>0</v>
      </c>
      <c r="AW24" s="18">
        <f t="shared" si="22"/>
        <v>0</v>
      </c>
      <c r="AX24" s="18">
        <f t="shared" si="22"/>
        <v>0</v>
      </c>
      <c r="AY24" s="18">
        <f t="shared" si="22"/>
        <v>0</v>
      </c>
      <c r="AZ24" s="18">
        <f t="shared" si="22"/>
        <v>0</v>
      </c>
      <c r="BA24" s="18">
        <f t="shared" si="22"/>
        <v>1</v>
      </c>
      <c r="BB24" s="18">
        <f t="shared" si="22"/>
        <v>0</v>
      </c>
      <c r="BC24" s="18">
        <f t="shared" si="22"/>
        <v>1</v>
      </c>
      <c r="BD24" s="18">
        <f t="shared" si="22"/>
        <v>18</v>
      </c>
      <c r="BE24" s="18">
        <f t="shared" si="22"/>
        <v>0</v>
      </c>
      <c r="BF24" s="18">
        <f t="shared" si="22"/>
        <v>18</v>
      </c>
      <c r="BG24" s="18">
        <f t="shared" si="22"/>
        <v>18</v>
      </c>
      <c r="BH24" s="18">
        <f t="shared" si="22"/>
        <v>0</v>
      </c>
      <c r="BI24" s="18">
        <f t="shared" si="22"/>
        <v>18</v>
      </c>
      <c r="BJ24" s="18">
        <f t="shared" si="22"/>
        <v>1</v>
      </c>
      <c r="BK24" s="18">
        <f t="shared" si="22"/>
        <v>0</v>
      </c>
      <c r="BL24" s="18">
        <f t="shared" si="22"/>
        <v>1</v>
      </c>
      <c r="BM24" s="18">
        <f t="shared" si="22"/>
        <v>0</v>
      </c>
      <c r="BN24" s="18">
        <f t="shared" si="22"/>
        <v>0</v>
      </c>
      <c r="BO24" s="18">
        <f t="shared" ref="BO24" si="23">COUNT(BO5:BO22)</f>
        <v>0</v>
      </c>
    </row>
    <row r="29" spans="1:67" x14ac:dyDescent="0.25">
      <c r="AD29" s="21"/>
      <c r="AE29" s="21"/>
      <c r="AF29" s="21"/>
    </row>
  </sheetData>
  <mergeCells count="67">
    <mergeCell ref="G1:G4"/>
    <mergeCell ref="H3:I3"/>
    <mergeCell ref="H2:I2"/>
    <mergeCell ref="H1:I1"/>
    <mergeCell ref="Q3:R3"/>
    <mergeCell ref="Q2:R2"/>
    <mergeCell ref="Q1:R1"/>
    <mergeCell ref="N3:O3"/>
    <mergeCell ref="N2:O2"/>
    <mergeCell ref="K3:L3"/>
    <mergeCell ref="K2:L2"/>
    <mergeCell ref="K1:L1"/>
    <mergeCell ref="N1:O1"/>
    <mergeCell ref="A1:A4"/>
    <mergeCell ref="B1:B4"/>
    <mergeCell ref="C1:C4"/>
    <mergeCell ref="D1:D4"/>
    <mergeCell ref="F1:F4"/>
    <mergeCell ref="E1:E4"/>
    <mergeCell ref="AL3:AM3"/>
    <mergeCell ref="AL2:AM2"/>
    <mergeCell ref="AL1:AM1"/>
    <mergeCell ref="AR3:AS3"/>
    <mergeCell ref="AC3:AD3"/>
    <mergeCell ref="AC2:AD2"/>
    <mergeCell ref="AR2:AS2"/>
    <mergeCell ref="AR1:AS1"/>
    <mergeCell ref="AO3:AP3"/>
    <mergeCell ref="AO2:AP2"/>
    <mergeCell ref="AO1:AP1"/>
    <mergeCell ref="AI3:AJ3"/>
    <mergeCell ref="AI2:AJ2"/>
    <mergeCell ref="AI1:AJ1"/>
    <mergeCell ref="AF3:AG3"/>
    <mergeCell ref="AC1:AD1"/>
    <mergeCell ref="Z1:AA1"/>
    <mergeCell ref="W3:X3"/>
    <mergeCell ref="W2:X2"/>
    <mergeCell ref="W1:X1"/>
    <mergeCell ref="T3:U3"/>
    <mergeCell ref="T2:U2"/>
    <mergeCell ref="T1:U1"/>
    <mergeCell ref="Z3:AA3"/>
    <mergeCell ref="Z2:AA2"/>
    <mergeCell ref="AF2:AG2"/>
    <mergeCell ref="AF1:AG1"/>
    <mergeCell ref="BM3:BN3"/>
    <mergeCell ref="BM2:BN2"/>
    <mergeCell ref="BM1:BN1"/>
    <mergeCell ref="BJ3:BK3"/>
    <mergeCell ref="BJ2:BK2"/>
    <mergeCell ref="BJ1:BK1"/>
    <mergeCell ref="BG3:BH3"/>
    <mergeCell ref="BG2:BH2"/>
    <mergeCell ref="BG1:BH1"/>
    <mergeCell ref="BD3:BE3"/>
    <mergeCell ref="BD2:BE2"/>
    <mergeCell ref="BD1:BE1"/>
    <mergeCell ref="AU3:AV3"/>
    <mergeCell ref="AU2:AV2"/>
    <mergeCell ref="AU1:AV1"/>
    <mergeCell ref="BA3:BB3"/>
    <mergeCell ref="BA2:BB2"/>
    <mergeCell ref="BA1:BB1"/>
    <mergeCell ref="AX3:AY3"/>
    <mergeCell ref="AX2:AY2"/>
    <mergeCell ref="AX1:AY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H4" sqref="AH4"/>
    </sheetView>
  </sheetViews>
  <sheetFormatPr defaultRowHeight="15" x14ac:dyDescent="0.25"/>
  <cols>
    <col min="1" max="1" width="10.85546875" bestFit="1" customWidth="1"/>
    <col min="2" max="2" width="22.140625" bestFit="1" customWidth="1"/>
    <col min="3" max="3" width="22" bestFit="1" customWidth="1"/>
    <col min="4" max="4" width="36.42578125" bestFit="1" customWidth="1"/>
    <col min="5" max="5" width="9" bestFit="1" customWidth="1"/>
    <col min="6" max="6" width="16.42578125" customWidth="1"/>
    <col min="7" max="7" width="12.85546875" customWidth="1"/>
    <col min="8" max="33" width="11.42578125" customWidth="1"/>
  </cols>
  <sheetData>
    <row r="1" spans="1:34" ht="57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06" t="s">
        <v>313</v>
      </c>
      <c r="I1" s="1206"/>
      <c r="J1" s="126"/>
      <c r="K1" s="1206" t="s">
        <v>120</v>
      </c>
      <c r="L1" s="1206"/>
      <c r="M1" s="126"/>
      <c r="N1" s="1206" t="s">
        <v>118</v>
      </c>
      <c r="O1" s="1206"/>
      <c r="P1" s="126"/>
      <c r="Q1" s="1206" t="s">
        <v>317</v>
      </c>
      <c r="R1" s="1206"/>
      <c r="S1" s="126"/>
      <c r="T1" s="1206" t="s">
        <v>210</v>
      </c>
      <c r="U1" s="1206"/>
      <c r="V1" s="126"/>
      <c r="W1" s="1206" t="s">
        <v>1085</v>
      </c>
      <c r="X1" s="1206"/>
      <c r="Y1" s="126"/>
      <c r="Z1" s="1206" t="s">
        <v>321</v>
      </c>
      <c r="AA1" s="1206"/>
      <c r="AB1" s="126"/>
      <c r="AC1" s="1206" t="s">
        <v>323</v>
      </c>
      <c r="AD1" s="1206"/>
      <c r="AE1" s="126"/>
      <c r="AF1" s="1206" t="s">
        <v>216</v>
      </c>
      <c r="AG1" s="1206"/>
    </row>
    <row r="2" spans="1:34" x14ac:dyDescent="0.25">
      <c r="A2" s="1203"/>
      <c r="B2" s="1203"/>
      <c r="C2" s="1203"/>
      <c r="D2" s="1203"/>
      <c r="E2" s="1203"/>
      <c r="F2" s="1203"/>
      <c r="G2" s="1201"/>
      <c r="H2" s="1205" t="s">
        <v>312</v>
      </c>
      <c r="I2" s="1205"/>
      <c r="J2" s="127"/>
      <c r="K2" s="1205" t="s">
        <v>314</v>
      </c>
      <c r="L2" s="1205"/>
      <c r="M2" s="127"/>
      <c r="N2" s="1205" t="s">
        <v>315</v>
      </c>
      <c r="O2" s="1205"/>
      <c r="P2" s="127"/>
      <c r="Q2" s="1205" t="s">
        <v>316</v>
      </c>
      <c r="R2" s="1205"/>
      <c r="S2" s="127"/>
      <c r="T2" s="1205" t="s">
        <v>209</v>
      </c>
      <c r="U2" s="1205"/>
      <c r="V2" s="127"/>
      <c r="W2" s="1205" t="s">
        <v>318</v>
      </c>
      <c r="X2" s="1205"/>
      <c r="Y2" s="127"/>
      <c r="Z2" s="1205" t="s">
        <v>320</v>
      </c>
      <c r="AA2" s="1205"/>
      <c r="AB2" s="127"/>
      <c r="AC2" s="1205" t="s">
        <v>322</v>
      </c>
      <c r="AD2" s="1205"/>
      <c r="AE2" s="127"/>
      <c r="AF2" s="1205" t="s">
        <v>215</v>
      </c>
      <c r="AG2" s="1205"/>
    </row>
    <row r="3" spans="1:34" x14ac:dyDescent="0.25">
      <c r="A3" s="1203"/>
      <c r="B3" s="1203"/>
      <c r="C3" s="1203"/>
      <c r="D3" s="1203"/>
      <c r="E3" s="1203"/>
      <c r="F3" s="1203"/>
      <c r="G3" s="1201"/>
      <c r="H3" s="1205" t="s">
        <v>566</v>
      </c>
      <c r="I3" s="1205"/>
      <c r="J3" s="127"/>
      <c r="K3" s="1205" t="s">
        <v>566</v>
      </c>
      <c r="L3" s="1205"/>
      <c r="M3" s="127"/>
      <c r="N3" s="1205" t="s">
        <v>566</v>
      </c>
      <c r="O3" s="1205"/>
      <c r="P3" s="127"/>
      <c r="Q3" s="1205" t="s">
        <v>566</v>
      </c>
      <c r="R3" s="1205"/>
      <c r="S3" s="127"/>
      <c r="T3" s="1205" t="s">
        <v>548</v>
      </c>
      <c r="U3" s="1205"/>
      <c r="V3" s="127"/>
      <c r="W3" s="1205" t="s">
        <v>566</v>
      </c>
      <c r="X3" s="1205"/>
      <c r="Y3" s="127"/>
      <c r="Z3" s="1205" t="s">
        <v>566</v>
      </c>
      <c r="AA3" s="1205"/>
      <c r="AB3" s="127"/>
      <c r="AC3" s="1205" t="s">
        <v>566</v>
      </c>
      <c r="AD3" s="1205"/>
      <c r="AE3" s="127"/>
      <c r="AF3" s="1205" t="s">
        <v>548</v>
      </c>
      <c r="AG3" s="1205"/>
    </row>
    <row r="4" spans="1:34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</row>
    <row r="5" spans="1:34" ht="25.5" x14ac:dyDescent="0.25">
      <c r="A5" s="2" t="s">
        <v>659</v>
      </c>
      <c r="B5" s="2" t="s">
        <v>1990</v>
      </c>
      <c r="C5" s="2" t="s">
        <v>701</v>
      </c>
      <c r="D5" s="2" t="s">
        <v>702</v>
      </c>
      <c r="E5" s="2" t="s">
        <v>1064</v>
      </c>
      <c r="F5" s="2" t="s">
        <v>1991</v>
      </c>
      <c r="G5" s="61">
        <v>44561</v>
      </c>
      <c r="H5" s="20"/>
      <c r="I5" s="18"/>
      <c r="J5" s="18" t="str">
        <f>IF(H5="","",IF($F5="riadne ukončený",I5,IF($G5&lt;=J$4,H5,0)))</f>
        <v/>
      </c>
      <c r="K5" s="18">
        <v>205.1</v>
      </c>
      <c r="L5" s="18">
        <v>205.1</v>
      </c>
      <c r="M5" s="18">
        <f>IF(K5="","",IF($F5="riadne ukončený",L5,IF($G5&lt;=M$4,K5,0)))</f>
        <v>0</v>
      </c>
      <c r="N5" s="18"/>
      <c r="O5" s="18"/>
      <c r="P5" s="18" t="str">
        <f>IF(N5="","",IF($F5="riadne ukončený",O5,IF($G5&lt;=P$4,N5,0)))</f>
        <v/>
      </c>
      <c r="Q5" s="18">
        <v>83</v>
      </c>
      <c r="R5" s="18">
        <v>83</v>
      </c>
      <c r="S5" s="18">
        <f>IF(Q5="","",IF($F5="riadne ukončený",R5,IF($G5&lt;=S$4,Q5,0)))</f>
        <v>0</v>
      </c>
      <c r="T5" s="18"/>
      <c r="U5" s="18"/>
      <c r="V5" s="18" t="str">
        <f>IF(T5="","",IF($F5="riadne ukončený",U5,IF($G5&lt;=V$4,T5,0)))</f>
        <v/>
      </c>
      <c r="W5" s="18"/>
      <c r="X5" s="18"/>
      <c r="Y5" s="18" t="str">
        <f>IF(W5="","",IF($F5="riadne ukončený",X5,IF($G5&lt;=Y$4,W5,0)))</f>
        <v/>
      </c>
      <c r="Z5" s="18"/>
      <c r="AA5" s="18"/>
      <c r="AB5" s="18" t="str">
        <f>IF(Z5="","",IF($F5="riadne ukončený",AA5,IF($G5&lt;=AB$4,Z5,0)))</f>
        <v/>
      </c>
      <c r="AC5" s="18">
        <v>20</v>
      </c>
      <c r="AD5" s="18"/>
      <c r="AE5" s="18">
        <f>IF(AC5="","",IF($F5="riadne ukončený",AD5,IF($G5&lt;=AE$4,AC5,0)))</f>
        <v>0</v>
      </c>
      <c r="AF5" s="18"/>
      <c r="AG5" s="18"/>
      <c r="AH5" s="18" t="str">
        <f>IF(AF5="","",IF($F5="riadne ukončený",AG5,IF(AG5&gt;=AF5,AG5,IF(($G5-AH$4)&gt;0,(AF5/($G5-AH$4+365)*365),MAX(AF5:AG5)))))</f>
        <v/>
      </c>
    </row>
    <row r="6" spans="1:34" ht="25.5" x14ac:dyDescent="0.25">
      <c r="A6" s="2" t="s">
        <v>712</v>
      </c>
      <c r="B6" s="2" t="s">
        <v>1992</v>
      </c>
      <c r="C6" s="2" t="s">
        <v>713</v>
      </c>
      <c r="D6" s="2" t="s">
        <v>714</v>
      </c>
      <c r="E6" s="2" t="s">
        <v>1064</v>
      </c>
      <c r="F6" s="2" t="s">
        <v>1991</v>
      </c>
      <c r="G6" s="61">
        <v>43646</v>
      </c>
      <c r="H6" s="20"/>
      <c r="I6" s="18"/>
      <c r="J6" s="18" t="str">
        <f>IF(H6="","",IF($F6="riadne ukončený",I6,IF($G6&lt;=J$4,H6,0)))</f>
        <v/>
      </c>
      <c r="K6" s="18"/>
      <c r="L6" s="18"/>
      <c r="M6" s="18" t="str">
        <f>IF(K6="","",IF($F6="riadne ukončený",L6,IF($G6&lt;=M$4,K6,0)))</f>
        <v/>
      </c>
      <c r="N6" s="18">
        <v>12.46</v>
      </c>
      <c r="O6" s="18"/>
      <c r="P6" s="18">
        <f>IF(N6="","",IF($F6="riadne ukončený",O6,IF($G6&lt;=P$4,N6,0)))</f>
        <v>0</v>
      </c>
      <c r="Q6" s="18"/>
      <c r="R6" s="18"/>
      <c r="S6" s="18" t="str">
        <f>IF(Q6="","",IF($F6="riadne ukončený",R6,IF($G6&lt;=S$4,Q6,0)))</f>
        <v/>
      </c>
      <c r="T6" s="18"/>
      <c r="U6" s="18"/>
      <c r="V6" s="18" t="str">
        <f>IF(T6="","",IF($F6="riadne ukončený",U6,IF($G6&lt;=V$4,T6,0)))</f>
        <v/>
      </c>
      <c r="W6" s="18">
        <v>53</v>
      </c>
      <c r="X6" s="18"/>
      <c r="Y6" s="18">
        <f>IF(W6="","",IF($F6="riadne ukončený",X6,IF($G6&lt;=Y$4,W6,0)))</f>
        <v>0</v>
      </c>
      <c r="Z6" s="18"/>
      <c r="AA6" s="18"/>
      <c r="AB6" s="18" t="str">
        <f>IF(Z6="","",IF($F6="riadne ukončený",AA6,IF($G6&lt;=AB$4,Z6,0)))</f>
        <v/>
      </c>
      <c r="AC6" s="18"/>
      <c r="AD6" s="18"/>
      <c r="AE6" s="18" t="str">
        <f>IF(AC6="","",IF($F6="riadne ukončený",AD6,IF($G6&lt;=AE$4,AC6,0)))</f>
        <v/>
      </c>
      <c r="AF6" s="18"/>
      <c r="AG6" s="18"/>
      <c r="AH6" s="18" t="str">
        <f>IF(AF6="","",IF($F6="riadne ukončený",AG6,IF(AG6&gt;=AF6,AG6,IF(($G6-AH$4)&gt;0,(AF6/($G6-AH$4+365)*365),MAX(AF6:AG6)))))</f>
        <v/>
      </c>
    </row>
    <row r="7" spans="1:34" x14ac:dyDescent="0.25">
      <c r="H7" s="18">
        <f t="shared" ref="H7:AG7" si="0">SUM(H5:H6)</f>
        <v>0</v>
      </c>
      <c r="I7" s="18">
        <f t="shared" si="0"/>
        <v>0</v>
      </c>
      <c r="J7" s="18">
        <f t="shared" si="0"/>
        <v>0</v>
      </c>
      <c r="K7" s="18">
        <f t="shared" si="0"/>
        <v>205.1</v>
      </c>
      <c r="L7" s="18">
        <f t="shared" si="0"/>
        <v>205.1</v>
      </c>
      <c r="M7" s="18">
        <f t="shared" si="0"/>
        <v>0</v>
      </c>
      <c r="N7" s="18">
        <f t="shared" si="0"/>
        <v>12.46</v>
      </c>
      <c r="O7" s="18">
        <f t="shared" si="0"/>
        <v>0</v>
      </c>
      <c r="P7" s="18">
        <f t="shared" si="0"/>
        <v>0</v>
      </c>
      <c r="Q7" s="18">
        <f t="shared" si="0"/>
        <v>83</v>
      </c>
      <c r="R7" s="18">
        <f t="shared" si="0"/>
        <v>83</v>
      </c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53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20</v>
      </c>
      <c r="AD7" s="18">
        <f t="shared" si="0"/>
        <v>0</v>
      </c>
      <c r="AE7" s="18">
        <f t="shared" si="0"/>
        <v>0</v>
      </c>
      <c r="AF7" s="18">
        <f t="shared" si="0"/>
        <v>0</v>
      </c>
      <c r="AG7" s="18">
        <f t="shared" si="0"/>
        <v>0</v>
      </c>
      <c r="AH7" s="18">
        <f>SUM(AH5:AH6)</f>
        <v>0</v>
      </c>
    </row>
    <row r="8" spans="1:34" x14ac:dyDescent="0.25">
      <c r="H8" s="18">
        <f t="shared" ref="H8:AG8" si="1">COUNT(H5:H6)</f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1</v>
      </c>
      <c r="M8" s="18">
        <f t="shared" si="1"/>
        <v>1</v>
      </c>
      <c r="N8" s="18">
        <f t="shared" si="1"/>
        <v>1</v>
      </c>
      <c r="O8" s="18">
        <f t="shared" si="1"/>
        <v>0</v>
      </c>
      <c r="P8" s="18">
        <f t="shared" si="1"/>
        <v>1</v>
      </c>
      <c r="Q8" s="18">
        <f t="shared" si="1"/>
        <v>1</v>
      </c>
      <c r="R8" s="18">
        <f t="shared" si="1"/>
        <v>1</v>
      </c>
      <c r="S8" s="18">
        <f t="shared" si="1"/>
        <v>1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1</v>
      </c>
      <c r="X8" s="18">
        <f t="shared" si="1"/>
        <v>0</v>
      </c>
      <c r="Y8" s="18">
        <f t="shared" si="1"/>
        <v>1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1</v>
      </c>
      <c r="AD8" s="18">
        <f t="shared" si="1"/>
        <v>0</v>
      </c>
      <c r="AE8" s="18">
        <f t="shared" si="1"/>
        <v>1</v>
      </c>
      <c r="AF8" s="18">
        <f t="shared" si="1"/>
        <v>0</v>
      </c>
      <c r="AG8" s="18">
        <f t="shared" si="1"/>
        <v>0</v>
      </c>
      <c r="AH8" s="18">
        <f>COUNT(AH5:AH6)</f>
        <v>0</v>
      </c>
    </row>
  </sheetData>
  <mergeCells count="34">
    <mergeCell ref="G1:G4"/>
    <mergeCell ref="AC2:AD2"/>
    <mergeCell ref="H1:I1"/>
    <mergeCell ref="AC1:AD1"/>
    <mergeCell ref="AF2:AG2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W2:X2"/>
    <mergeCell ref="H2:I2"/>
    <mergeCell ref="Z2:AA2"/>
    <mergeCell ref="AF1:AG1"/>
    <mergeCell ref="N2:O2"/>
    <mergeCell ref="K2:L2"/>
    <mergeCell ref="Z1:AA1"/>
    <mergeCell ref="K1:L1"/>
    <mergeCell ref="N1:O1"/>
    <mergeCell ref="Q1:R1"/>
    <mergeCell ref="T1:U1"/>
    <mergeCell ref="W1:X1"/>
    <mergeCell ref="Q2:R2"/>
    <mergeCell ref="T2:U2"/>
    <mergeCell ref="A1:A4"/>
    <mergeCell ref="B1:B4"/>
    <mergeCell ref="C1:C4"/>
    <mergeCell ref="D1:D4"/>
    <mergeCell ref="F1:F4"/>
    <mergeCell ref="E1:E4"/>
  </mergeCells>
  <pageMargins left="0.70866141732283472" right="0.70866141732283472" top="0.74803149606299213" bottom="0.74803149606299213" header="0.31496062992125984" footer="0.31496062992125984"/>
  <pageSetup paperSize="9" scale="41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opLeftCell="Z1" workbookViewId="0">
      <selection activeCell="AN4" sqref="AN4"/>
    </sheetView>
  </sheetViews>
  <sheetFormatPr defaultRowHeight="15" x14ac:dyDescent="0.25"/>
  <cols>
    <col min="1" max="1" width="11.42578125" bestFit="1" customWidth="1"/>
    <col min="4" max="4" width="21.42578125" customWidth="1"/>
    <col min="6" max="6" width="10.7109375" customWidth="1"/>
    <col min="7" max="7" width="11.28515625" customWidth="1"/>
    <col min="8" max="8" width="10.85546875" customWidth="1"/>
    <col min="9" max="11" width="12.42578125" customWidth="1"/>
    <col min="12" max="13" width="12.7109375" customWidth="1"/>
    <col min="14" max="14" width="10.42578125" customWidth="1"/>
    <col min="15" max="16" width="11.5703125" customWidth="1"/>
    <col min="17" max="17" width="11" customWidth="1"/>
    <col min="18" max="19" width="12.7109375" customWidth="1"/>
    <col min="20" max="22" width="11" customWidth="1"/>
    <col min="23" max="31" width="11.5703125" customWidth="1"/>
    <col min="32" max="39" width="11" customWidth="1"/>
  </cols>
  <sheetData>
    <row r="1" spans="1:40" ht="28.5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07" t="s">
        <v>344</v>
      </c>
      <c r="I1" s="1207"/>
      <c r="J1" s="129"/>
      <c r="K1" s="1207" t="s">
        <v>346</v>
      </c>
      <c r="L1" s="1207"/>
      <c r="M1" s="129"/>
      <c r="N1" s="1207" t="s">
        <v>348</v>
      </c>
      <c r="O1" s="1207"/>
      <c r="P1" s="129"/>
      <c r="Q1" s="1207" t="s">
        <v>350</v>
      </c>
      <c r="R1" s="1207"/>
      <c r="S1" s="129"/>
      <c r="T1" s="1207" t="s">
        <v>130</v>
      </c>
      <c r="U1" s="1207"/>
      <c r="V1" s="129"/>
      <c r="W1" s="1207" t="s">
        <v>340</v>
      </c>
      <c r="X1" s="1207"/>
      <c r="Y1" s="129"/>
      <c r="Z1" s="1207" t="s">
        <v>342</v>
      </c>
      <c r="AA1" s="1207"/>
      <c r="AB1" s="129"/>
      <c r="AC1" s="1207" t="s">
        <v>347</v>
      </c>
      <c r="AD1" s="1207"/>
      <c r="AE1" s="129"/>
      <c r="AF1" s="1207" t="s">
        <v>351</v>
      </c>
      <c r="AG1" s="1207"/>
      <c r="AH1" s="129"/>
      <c r="AI1" s="1207" t="s">
        <v>353</v>
      </c>
      <c r="AJ1" s="1207"/>
      <c r="AK1" s="129"/>
      <c r="AL1" s="1207" t="s">
        <v>354</v>
      </c>
      <c r="AM1" s="1207"/>
    </row>
    <row r="2" spans="1:40" x14ac:dyDescent="0.25">
      <c r="A2" s="1203"/>
      <c r="B2" s="1203"/>
      <c r="C2" s="1203"/>
      <c r="D2" s="1203"/>
      <c r="E2" s="1203"/>
      <c r="F2" s="1203"/>
      <c r="G2" s="1201"/>
      <c r="H2" s="1208" t="s">
        <v>343</v>
      </c>
      <c r="I2" s="1208"/>
      <c r="J2" s="128"/>
      <c r="K2" s="1208" t="s">
        <v>345</v>
      </c>
      <c r="L2" s="1208"/>
      <c r="M2" s="128"/>
      <c r="N2" s="1208" t="s">
        <v>347</v>
      </c>
      <c r="O2" s="1208"/>
      <c r="P2" s="128"/>
      <c r="Q2" s="1208" t="s">
        <v>349</v>
      </c>
      <c r="R2" s="1208"/>
      <c r="S2" s="128"/>
      <c r="T2" s="1208" t="s">
        <v>356</v>
      </c>
      <c r="U2" s="1208"/>
      <c r="V2" s="128"/>
      <c r="W2" s="1208" t="s">
        <v>339</v>
      </c>
      <c r="X2" s="1208"/>
      <c r="Y2" s="128"/>
      <c r="Z2" s="1208" t="s">
        <v>341</v>
      </c>
      <c r="AA2" s="1208"/>
      <c r="AB2" s="128"/>
      <c r="AC2" s="1208" t="s">
        <v>347</v>
      </c>
      <c r="AD2" s="1208"/>
      <c r="AE2" s="128"/>
      <c r="AF2" s="1208" t="s">
        <v>351</v>
      </c>
      <c r="AG2" s="1208"/>
      <c r="AH2" s="128"/>
      <c r="AI2" s="1208" t="s">
        <v>353</v>
      </c>
      <c r="AJ2" s="1208"/>
      <c r="AK2" s="128"/>
      <c r="AL2" s="1208" t="s">
        <v>354</v>
      </c>
      <c r="AM2" s="1208"/>
    </row>
    <row r="3" spans="1:40" x14ac:dyDescent="0.25">
      <c r="A3" s="1203"/>
      <c r="B3" s="1203"/>
      <c r="C3" s="1203"/>
      <c r="D3" s="1203"/>
      <c r="E3" s="1203"/>
      <c r="F3" s="1203"/>
      <c r="G3" s="1201"/>
      <c r="H3" s="1205" t="s">
        <v>575</v>
      </c>
      <c r="I3" s="1205"/>
      <c r="J3" s="127"/>
      <c r="K3" s="1205" t="s">
        <v>575</v>
      </c>
      <c r="L3" s="1205"/>
      <c r="M3" s="127"/>
      <c r="N3" s="1205" t="s">
        <v>575</v>
      </c>
      <c r="O3" s="1205"/>
      <c r="P3" s="127"/>
      <c r="Q3" s="1205" t="s">
        <v>575</v>
      </c>
      <c r="R3" s="1205"/>
      <c r="S3" s="127"/>
      <c r="T3" s="1205" t="s">
        <v>575</v>
      </c>
      <c r="U3" s="1205"/>
      <c r="V3" s="127"/>
      <c r="W3" s="1208" t="s">
        <v>570</v>
      </c>
      <c r="X3" s="1208"/>
      <c r="Y3" s="128"/>
      <c r="Z3" s="1208" t="s">
        <v>570</v>
      </c>
      <c r="AA3" s="1208"/>
      <c r="AB3" s="128"/>
      <c r="AC3" s="1208" t="s">
        <v>570</v>
      </c>
      <c r="AD3" s="1208"/>
      <c r="AE3" s="128"/>
      <c r="AF3" s="1208" t="s">
        <v>570</v>
      </c>
      <c r="AG3" s="1208"/>
      <c r="AH3" s="128"/>
      <c r="AI3" s="1208" t="s">
        <v>570</v>
      </c>
      <c r="AJ3" s="1208"/>
      <c r="AK3" s="128"/>
      <c r="AL3" s="1208" t="s">
        <v>570</v>
      </c>
      <c r="AM3" s="1208"/>
    </row>
    <row r="4" spans="1:40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</row>
    <row r="5" spans="1:40" ht="63.75" x14ac:dyDescent="0.25">
      <c r="A5" s="18" t="s">
        <v>1091</v>
      </c>
      <c r="B5" s="18" t="s">
        <v>1092</v>
      </c>
      <c r="C5" s="18" t="s">
        <v>1093</v>
      </c>
      <c r="D5" s="18" t="s">
        <v>1094</v>
      </c>
      <c r="E5" s="18" t="s">
        <v>1096</v>
      </c>
      <c r="F5" s="18" t="s">
        <v>1097</v>
      </c>
      <c r="G5" s="119">
        <v>43434</v>
      </c>
      <c r="H5" s="18"/>
      <c r="I5" s="18"/>
      <c r="J5" s="18" t="str">
        <f>IF(H5="","",IF($F5="riadne ukončený",I5,IF(I5&gt;=H5,I5,IF(($G5-J$4)&gt;0,(H5/($G5-J$4+365)*365),MAX(H5:I5)))))</f>
        <v/>
      </c>
      <c r="K5" s="18"/>
      <c r="L5" s="18"/>
      <c r="M5" s="18" t="str">
        <f>IF(K5="","",IF($F5="riadne ukončený",L5,IF(L5&gt;=K5,L5,IF(($G5-M$4)&gt;0,(K5/($G5-M$4+365)*365),MAX(K5:L5)))))</f>
        <v/>
      </c>
      <c r="N5" s="18"/>
      <c r="O5" s="18"/>
      <c r="P5" s="18" t="str">
        <f>IF(N5="","",IF($F5="riadne ukončený",O5,IF(O5&gt;=N5,O5,IF(($G5-P$4)&gt;0,(N5/($G5-P$4+365)*365),MAX(N5:O5)))))</f>
        <v/>
      </c>
      <c r="Q5" s="18"/>
      <c r="R5" s="18"/>
      <c r="S5" s="18" t="str">
        <f>IF(Q5="","",IF($F5="riadne ukončený",R5,IF(R5&gt;=Q5,R5,IF(($G5-S$4)&gt;0,(Q5/($G5-S$4+365)*365),MAX(Q5:R5)))))</f>
        <v/>
      </c>
      <c r="T5" s="18"/>
      <c r="U5" s="18"/>
      <c r="V5" s="18" t="str">
        <f>IF(T5="","",IF($F5="riadne ukončený",U5,IF(U5&gt;=T5,U5,IF(($G5-V$4)&gt;0,(T5/($G5-V$4+365)*365),MAX(T5:U5)))))</f>
        <v/>
      </c>
      <c r="W5" s="18"/>
      <c r="X5" s="18"/>
      <c r="Y5" s="18" t="str">
        <f>IF(W5="","",IF($F5="riadne ukončený",X5,IF(X5&gt;=W5,X5,IF(($G5-Y$4)&gt;0,(W5/($G5-Y$4+365)*365),MAX(W5:X5)))))</f>
        <v/>
      </c>
      <c r="Z5" s="18"/>
      <c r="AA5" s="18"/>
      <c r="AB5" s="18" t="str">
        <f>IF(Z5="","",IF($F5="riadne ukončený",AA5,IF(AA5&gt;=Z5,AA5,IF(($G5-AB$4)&gt;0,(Z5/($G5-AB$4+365)*365),MAX(Z5:AA5)))))</f>
        <v/>
      </c>
      <c r="AC5" s="18">
        <v>1</v>
      </c>
      <c r="AD5" s="18"/>
      <c r="AE5" s="18">
        <f>IF(AC5="","",IF($F5="riadne ukončený",AD5,IF(AD5&gt;=AC5,AD5,IF(($G5-AE$4)&gt;0,(AC5/($G5-AE$4+365)*365),MAX(AC5:AD5)))))</f>
        <v>1</v>
      </c>
      <c r="AF5" s="18">
        <v>1</v>
      </c>
      <c r="AG5" s="18"/>
      <c r="AH5" s="18">
        <f>IF(AF5="","",IF($F5="riadne ukončený",AG5,IF(AG5&gt;=AF5,AG5,IF(($G5-AH$4)&gt;0,(AF5/($G5-AH$4+365)*365),MAX(AF5:AG5)))))</f>
        <v>1</v>
      </c>
      <c r="AI5" s="18">
        <v>1</v>
      </c>
      <c r="AJ5" s="18"/>
      <c r="AK5" s="18">
        <f>IF(AI5="","",IF($F5="riadne ukončený",AJ5,IF(AJ5&gt;=AI5,AJ5,IF(($G5-AK$4)&gt;0,(AI5/($G5-AK$4+365)*365),MAX(AI5:AJ5)))))</f>
        <v>1</v>
      </c>
      <c r="AL5" s="18">
        <v>1</v>
      </c>
      <c r="AM5" s="18"/>
      <c r="AN5" s="18">
        <f>IF(AL5="","",IF($F5="riadne ukončený",AM5,IF(AM5&gt;=AL5,AM5,IF(($G5-AN$4)&gt;0,(AL5/($G5-AN$4+365)*365),MAX(AL5:AM5)))))</f>
        <v>1</v>
      </c>
    </row>
    <row r="6" spans="1:40" x14ac:dyDescent="0.25">
      <c r="B6" s="118"/>
      <c r="H6" s="18">
        <f>SUM(H5)</f>
        <v>0</v>
      </c>
      <c r="I6" s="18">
        <f t="shared" ref="I6:AN6" si="0">SUM(I5)</f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1</v>
      </c>
      <c r="AD6" s="18">
        <f t="shared" si="0"/>
        <v>0</v>
      </c>
      <c r="AE6" s="18">
        <f t="shared" si="0"/>
        <v>1</v>
      </c>
      <c r="AF6" s="18">
        <f t="shared" si="0"/>
        <v>1</v>
      </c>
      <c r="AG6" s="18">
        <f t="shared" si="0"/>
        <v>0</v>
      </c>
      <c r="AH6" s="18">
        <f t="shared" si="0"/>
        <v>1</v>
      </c>
      <c r="AI6" s="18">
        <f t="shared" si="0"/>
        <v>1</v>
      </c>
      <c r="AJ6" s="18">
        <f t="shared" si="0"/>
        <v>0</v>
      </c>
      <c r="AK6" s="18">
        <f t="shared" si="0"/>
        <v>1</v>
      </c>
      <c r="AL6" s="18">
        <f t="shared" si="0"/>
        <v>1</v>
      </c>
      <c r="AM6" s="18">
        <f t="shared" si="0"/>
        <v>0</v>
      </c>
      <c r="AN6" s="18">
        <f t="shared" si="0"/>
        <v>1</v>
      </c>
    </row>
    <row r="7" spans="1:40" x14ac:dyDescent="0.25">
      <c r="B7" s="118"/>
      <c r="H7" s="18">
        <f>COUNT(H5)</f>
        <v>0</v>
      </c>
      <c r="I7" s="18">
        <f t="shared" ref="I7:AN7" si="1">COUNT(I5)</f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1</v>
      </c>
      <c r="AD7" s="18">
        <f t="shared" si="1"/>
        <v>0</v>
      </c>
      <c r="AE7" s="18">
        <f t="shared" si="1"/>
        <v>1</v>
      </c>
      <c r="AF7" s="18">
        <f t="shared" si="1"/>
        <v>1</v>
      </c>
      <c r="AG7" s="18">
        <f t="shared" si="1"/>
        <v>0</v>
      </c>
      <c r="AH7" s="18">
        <f t="shared" si="1"/>
        <v>1</v>
      </c>
      <c r="AI7" s="18">
        <f t="shared" si="1"/>
        <v>1</v>
      </c>
      <c r="AJ7" s="18">
        <f t="shared" si="1"/>
        <v>0</v>
      </c>
      <c r="AK7" s="18">
        <f t="shared" si="1"/>
        <v>1</v>
      </c>
      <c r="AL7" s="18">
        <f t="shared" si="1"/>
        <v>1</v>
      </c>
      <c r="AM7" s="18">
        <f t="shared" si="1"/>
        <v>0</v>
      </c>
      <c r="AN7" s="18">
        <f t="shared" si="1"/>
        <v>1</v>
      </c>
    </row>
    <row r="8" spans="1:40" x14ac:dyDescent="0.25">
      <c r="B8" s="118"/>
    </row>
    <row r="9" spans="1:40" x14ac:dyDescent="0.25">
      <c r="B9" s="118"/>
    </row>
    <row r="10" spans="1:40" x14ac:dyDescent="0.25">
      <c r="B10" s="118"/>
    </row>
    <row r="11" spans="1:40" x14ac:dyDescent="0.25">
      <c r="B11" s="118"/>
    </row>
  </sheetData>
  <mergeCells count="40">
    <mergeCell ref="AI3:AJ3"/>
    <mergeCell ref="AL3:AM3"/>
    <mergeCell ref="AI1:AJ1"/>
    <mergeCell ref="AL1:AM1"/>
    <mergeCell ref="AI2:AJ2"/>
    <mergeCell ref="AL2:AM2"/>
    <mergeCell ref="T3:U3"/>
    <mergeCell ref="W3:X3"/>
    <mergeCell ref="Z3:AA3"/>
    <mergeCell ref="AC3:AD3"/>
    <mergeCell ref="AF3:AG3"/>
    <mergeCell ref="W1:X1"/>
    <mergeCell ref="Z1:AA1"/>
    <mergeCell ref="AC1:AD1"/>
    <mergeCell ref="AF1:AG1"/>
    <mergeCell ref="H2:I2"/>
    <mergeCell ref="K2:L2"/>
    <mergeCell ref="N2:O2"/>
    <mergeCell ref="Q2:R2"/>
    <mergeCell ref="T2:U2"/>
    <mergeCell ref="W2:X2"/>
    <mergeCell ref="T1:U1"/>
    <mergeCell ref="Z2:AA2"/>
    <mergeCell ref="AC2:AD2"/>
    <mergeCell ref="AF2:AG2"/>
    <mergeCell ref="G1:G4"/>
    <mergeCell ref="H1:I1"/>
    <mergeCell ref="K1:L1"/>
    <mergeCell ref="N1:O1"/>
    <mergeCell ref="Q1:R1"/>
    <mergeCell ref="H3:I3"/>
    <mergeCell ref="K3:L3"/>
    <mergeCell ref="N3:O3"/>
    <mergeCell ref="Q3:R3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opLeftCell="L1" workbookViewId="0">
      <selection activeCell="AL4" sqref="AL4"/>
    </sheetView>
  </sheetViews>
  <sheetFormatPr defaultRowHeight="15" x14ac:dyDescent="0.25"/>
  <cols>
    <col min="1" max="1" width="12" customWidth="1"/>
    <col min="2" max="2" width="11.42578125" customWidth="1"/>
    <col min="6" max="6" width="8.28515625" customWidth="1"/>
    <col min="7" max="7" width="11.28515625" bestFit="1" customWidth="1"/>
    <col min="8" max="36" width="9.85546875" customWidth="1"/>
  </cols>
  <sheetData>
    <row r="1" spans="1:37" ht="41.25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07" t="s">
        <v>44</v>
      </c>
      <c r="I1" s="1207"/>
      <c r="J1" s="129"/>
      <c r="K1" s="1207" t="s">
        <v>377</v>
      </c>
      <c r="L1" s="1207"/>
      <c r="M1" s="129"/>
      <c r="N1" s="1207" t="s">
        <v>245</v>
      </c>
      <c r="O1" s="1207"/>
      <c r="P1" s="129"/>
      <c r="Q1" s="1207" t="s">
        <v>379</v>
      </c>
      <c r="R1" s="1207"/>
      <c r="S1" s="129"/>
      <c r="T1" s="1207" t="s">
        <v>138</v>
      </c>
      <c r="U1" s="1207"/>
      <c r="V1" s="129"/>
      <c r="W1" s="1207" t="s">
        <v>383</v>
      </c>
      <c r="X1" s="1207"/>
      <c r="Y1" s="129"/>
      <c r="Z1" s="1207" t="s">
        <v>385</v>
      </c>
      <c r="AA1" s="1207"/>
      <c r="AB1" s="129"/>
      <c r="AC1" s="1207" t="s">
        <v>387</v>
      </c>
      <c r="AD1" s="1207"/>
      <c r="AE1" s="129"/>
      <c r="AF1" s="1207" t="s">
        <v>387</v>
      </c>
      <c r="AG1" s="1207"/>
      <c r="AH1" s="129"/>
      <c r="AI1" s="1207" t="s">
        <v>140</v>
      </c>
      <c r="AJ1" s="1207"/>
    </row>
    <row r="2" spans="1:37" x14ac:dyDescent="0.25">
      <c r="A2" s="1203"/>
      <c r="B2" s="1203"/>
      <c r="C2" s="1203"/>
      <c r="D2" s="1203"/>
      <c r="E2" s="1203"/>
      <c r="F2" s="1203"/>
      <c r="G2" s="1201"/>
      <c r="H2" s="1208" t="s">
        <v>375</v>
      </c>
      <c r="I2" s="1208"/>
      <c r="J2" s="128"/>
      <c r="K2" s="1208" t="s">
        <v>376</v>
      </c>
      <c r="L2" s="1208"/>
      <c r="M2" s="128"/>
      <c r="N2" s="1208" t="s">
        <v>244</v>
      </c>
      <c r="O2" s="1208"/>
      <c r="P2" s="128"/>
      <c r="Q2" s="1208" t="s">
        <v>378</v>
      </c>
      <c r="R2" s="1208"/>
      <c r="S2" s="128"/>
      <c r="T2" s="1208" t="s">
        <v>380</v>
      </c>
      <c r="U2" s="1208"/>
      <c r="V2" s="128"/>
      <c r="W2" s="1208" t="s">
        <v>382</v>
      </c>
      <c r="X2" s="1208"/>
      <c r="Y2" s="128"/>
      <c r="Z2" s="1208" t="s">
        <v>384</v>
      </c>
      <c r="AA2" s="1208"/>
      <c r="AB2" s="128"/>
      <c r="AC2" s="1208" t="s">
        <v>386</v>
      </c>
      <c r="AD2" s="1208"/>
      <c r="AE2" s="130"/>
      <c r="AF2" s="1209" t="s">
        <v>381</v>
      </c>
      <c r="AG2" s="1210"/>
      <c r="AH2" s="131"/>
      <c r="AI2" s="1208" t="s">
        <v>384</v>
      </c>
      <c r="AJ2" s="1208"/>
    </row>
    <row r="3" spans="1:37" x14ac:dyDescent="0.25">
      <c r="A3" s="1203"/>
      <c r="B3" s="1203"/>
      <c r="C3" s="1203"/>
      <c r="D3" s="1203"/>
      <c r="E3" s="1203"/>
      <c r="F3" s="1203"/>
      <c r="G3" s="1201"/>
      <c r="H3" s="1208" t="s">
        <v>562</v>
      </c>
      <c r="I3" s="1208"/>
      <c r="J3" s="128"/>
      <c r="K3" s="1208" t="s">
        <v>562</v>
      </c>
      <c r="L3" s="1208"/>
      <c r="M3" s="128"/>
      <c r="N3" s="1208" t="s">
        <v>562</v>
      </c>
      <c r="O3" s="1208"/>
      <c r="P3" s="128"/>
      <c r="Q3" s="1208" t="s">
        <v>562</v>
      </c>
      <c r="R3" s="1208"/>
      <c r="S3" s="128"/>
      <c r="T3" s="1208" t="s">
        <v>562</v>
      </c>
      <c r="U3" s="1208"/>
      <c r="V3" s="128"/>
      <c r="W3" s="1208" t="s">
        <v>562</v>
      </c>
      <c r="X3" s="1208"/>
      <c r="Y3" s="128"/>
      <c r="Z3" s="1208" t="s">
        <v>562</v>
      </c>
      <c r="AA3" s="1208"/>
      <c r="AB3" s="128"/>
      <c r="AC3" s="1208" t="s">
        <v>562</v>
      </c>
      <c r="AD3" s="1208"/>
      <c r="AE3" s="130"/>
      <c r="AF3" s="1209" t="s">
        <v>577</v>
      </c>
      <c r="AG3" s="1210"/>
      <c r="AH3" s="131"/>
      <c r="AI3" s="1208" t="s">
        <v>577</v>
      </c>
      <c r="AJ3" s="1208"/>
    </row>
    <row r="4" spans="1:37" ht="25.5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</row>
    <row r="5" spans="1:37" ht="38.25" x14ac:dyDescent="0.25">
      <c r="A5" s="120" t="s">
        <v>1087</v>
      </c>
      <c r="B5" s="120" t="s">
        <v>1098</v>
      </c>
      <c r="C5" s="120" t="s">
        <v>1100</v>
      </c>
      <c r="D5" s="120" t="s">
        <v>1099</v>
      </c>
      <c r="E5" s="120" t="s">
        <v>1095</v>
      </c>
      <c r="F5" s="120" t="s">
        <v>1097</v>
      </c>
      <c r="G5" s="119">
        <v>43496</v>
      </c>
      <c r="H5" s="18"/>
      <c r="I5" s="18"/>
      <c r="J5" s="18" t="str">
        <f>IF(H5="","",IF($F5="riadne ukončený",I5,IF(I5&gt;=H5,I5,IF(($G5-J$4)&gt;0,(H5/($G5-J$4+365)*365),MAX(H5:I5)))))</f>
        <v/>
      </c>
      <c r="K5" s="18"/>
      <c r="L5" s="18"/>
      <c r="M5" s="18" t="str">
        <f>IF(K5="","",IF($F5="riadne ukončený",L5,IF(L5&gt;=K5,L5,IF(($G5-M$4)&gt;0,(K5/($G5-M$4+365)*365),MAX(K5:L5)))))</f>
        <v/>
      </c>
      <c r="N5" s="18"/>
      <c r="O5" s="18"/>
      <c r="P5" s="18" t="str">
        <f>IF(N5="","",IF($F5="riadne ukončený",O5,IF(O5&gt;=N5,O5,IF(($G5-P$4)&gt;0,(N5/($G5-P$4+365)*365),MAX(N5:O5)))))</f>
        <v/>
      </c>
      <c r="Q5" s="18"/>
      <c r="R5" s="18"/>
      <c r="S5" s="18" t="str">
        <f>IF(Q5="","",IF($F5="riadne ukončený",R5,IF(R5&gt;=Q5,R5,IF(($G5-S$4)&gt;0,(Q5/($G5-S$4+365)*365),MAX(Q5:R5)))))</f>
        <v/>
      </c>
      <c r="T5" s="18"/>
      <c r="U5" s="18"/>
      <c r="V5" s="18" t="str">
        <f>IF(T5="","",IF($F5="riadne ukončený",U5,IF(U5&gt;=T5,U5,IF(($G5-V$4)&gt;0,(T5/($G5-V$4+365)*365),MAX(T5:U5)))))</f>
        <v/>
      </c>
      <c r="W5" s="18"/>
      <c r="X5" s="18"/>
      <c r="Y5" s="18" t="str">
        <f>IF(W5="","",IF($F5="riadne ukončený",X5,IF(X5&gt;=W5,X5,IF(($G5-Y$4)&gt;0,(W5/($G5-Y$4+365)*365),MAX(W5:X5)))))</f>
        <v/>
      </c>
      <c r="Z5" s="18"/>
      <c r="AA5" s="18"/>
      <c r="AB5" s="18" t="str">
        <f>IF(Z5="","",IF($F5="riadne ukončený",AA5,IF(AA5&gt;=Z5,AA5,IF(($G5-AB$4)&gt;0,(Z5/($G5-AB$4+365)*365),MAX(Z5:AA5)))))</f>
        <v/>
      </c>
      <c r="AC5" s="18"/>
      <c r="AD5" s="18"/>
      <c r="AE5" s="18" t="str">
        <f>IF(AC5="","",IF($F5="riadne ukončený",AD5,IF(AD5&gt;=AC5,AD5,IF(($G5-AE$4)&gt;0,(AC5/($G5-AE$4+365)*365),MAX(AC5:AD5)))))</f>
        <v/>
      </c>
      <c r="AF5" s="18">
        <v>1</v>
      </c>
      <c r="AG5" s="18">
        <v>0</v>
      </c>
      <c r="AH5" s="18">
        <f>IF(AF5="","",IF($F5="riadne ukončený",AG5,IF(AG5&gt;=AF5,AG5,IF(($G5-AH$4)&gt;0,(AF5/($G5-AH$4+365)*365),MAX(AF5:AG5)))))</f>
        <v>0.92171717171717182</v>
      </c>
      <c r="AI5" s="18">
        <v>4</v>
      </c>
      <c r="AJ5" s="18">
        <v>0</v>
      </c>
      <c r="AK5" s="18">
        <f>IF(AI5="","",IF($F5="riadne ukončený",AJ5,IF(AJ5&gt;=AI5,AJ5,IF(($G5-AK$4)&gt;0,(AI5/($G5-AK$4+365)*365),MAX(AI5:AJ5)))))</f>
        <v>3.6868686868686873</v>
      </c>
    </row>
    <row r="6" spans="1:37" ht="89.25" x14ac:dyDescent="0.25">
      <c r="A6" s="120" t="s">
        <v>1088</v>
      </c>
      <c r="B6" s="120" t="s">
        <v>1098</v>
      </c>
      <c r="C6" s="18" t="s">
        <v>1093</v>
      </c>
      <c r="D6" s="120" t="s">
        <v>1101</v>
      </c>
      <c r="E6" s="120" t="s">
        <v>1095</v>
      </c>
      <c r="F6" s="120" t="s">
        <v>1097</v>
      </c>
      <c r="G6" s="119">
        <v>43465</v>
      </c>
      <c r="H6" s="18"/>
      <c r="I6" s="18"/>
      <c r="J6" s="18" t="str">
        <f t="shared" ref="J6:J8" si="0">IF(H6="","",IF($F6="riadne ukončený",I6,IF(I6&gt;=H6,I6,IF(($G6-J$4)&gt;0,(H6/($G6-J$4+365)*365),MAX(H6:I6)))))</f>
        <v/>
      </c>
      <c r="K6" s="18"/>
      <c r="L6" s="18"/>
      <c r="M6" s="18" t="str">
        <f t="shared" ref="M6:M8" si="1">IF(K6="","",IF($F6="riadne ukončený",L6,IF(L6&gt;=K6,L6,IF(($G6-M$4)&gt;0,(K6/($G6-M$4+365)*365),MAX(K6:L6)))))</f>
        <v/>
      </c>
      <c r="N6" s="18"/>
      <c r="O6" s="18"/>
      <c r="P6" s="18" t="str">
        <f t="shared" ref="P6:P8" si="2">IF(N6="","",IF($F6="riadne ukončený",O6,IF(O6&gt;=N6,O6,IF(($G6-P$4)&gt;0,(N6/($G6-P$4+365)*365),MAX(N6:O6)))))</f>
        <v/>
      </c>
      <c r="Q6" s="18"/>
      <c r="R6" s="18"/>
      <c r="S6" s="18" t="str">
        <f t="shared" ref="S6:S8" si="3">IF(Q6="","",IF($F6="riadne ukončený",R6,IF(R6&gt;=Q6,R6,IF(($G6-S$4)&gt;0,(Q6/($G6-S$4+365)*365),MAX(Q6:R6)))))</f>
        <v/>
      </c>
      <c r="T6" s="18"/>
      <c r="U6" s="18"/>
      <c r="V6" s="18" t="str">
        <f t="shared" ref="V6:V8" si="4">IF(T6="","",IF($F6="riadne ukončený",U6,IF(U6&gt;=T6,U6,IF(($G6-V$4)&gt;0,(T6/($G6-V$4+365)*365),MAX(T6:U6)))))</f>
        <v/>
      </c>
      <c r="W6" s="18"/>
      <c r="X6" s="18"/>
      <c r="Y6" s="18" t="str">
        <f t="shared" ref="Y6:Y8" si="5">IF(W6="","",IF($F6="riadne ukončený",X6,IF(X6&gt;=W6,X6,IF(($G6-Y$4)&gt;0,(W6/($G6-Y$4+365)*365),MAX(W6:X6)))))</f>
        <v/>
      </c>
      <c r="Z6" s="18"/>
      <c r="AA6" s="18"/>
      <c r="AB6" s="18" t="str">
        <f t="shared" ref="AB6:AB8" si="6">IF(Z6="","",IF($F6="riadne ukončený",AA6,IF(AA6&gt;=Z6,AA6,IF(($G6-AB$4)&gt;0,(Z6/($G6-AB$4+365)*365),MAX(Z6:AA6)))))</f>
        <v/>
      </c>
      <c r="AC6" s="18"/>
      <c r="AD6" s="18"/>
      <c r="AE6" s="18" t="str">
        <f t="shared" ref="AE6:AE8" si="7">IF(AC6="","",IF($F6="riadne ukončený",AD6,IF(AD6&gt;=AC6,AD6,IF(($G6-AE$4)&gt;0,(AC6/($G6-AE$4+365)*365),MAX(AC6:AD6)))))</f>
        <v/>
      </c>
      <c r="AF6" s="18">
        <v>1</v>
      </c>
      <c r="AG6" s="18">
        <v>0</v>
      </c>
      <c r="AH6" s="18">
        <f t="shared" ref="AH6:AH8" si="8">IF(AF6="","",IF($F6="riadne ukončený",AG6,IF(AG6&gt;=AF6,AG6,IF(($G6-AH$4)&gt;0,(AF6/($G6-AH$4+365)*365),MAX(AF6:AG6)))))</f>
        <v>1</v>
      </c>
      <c r="AI6" s="18">
        <v>5</v>
      </c>
      <c r="AJ6" s="18">
        <v>0</v>
      </c>
      <c r="AK6" s="18">
        <f t="shared" ref="AK6:AK8" si="9">IF(AI6="","",IF($F6="riadne ukončený",AJ6,IF(AJ6&gt;=AI6,AJ6,IF(($G6-AK$4)&gt;0,(AI6/($G6-AK$4+365)*365),MAX(AI6:AJ6)))))</f>
        <v>5</v>
      </c>
    </row>
    <row r="7" spans="1:37" ht="51" x14ac:dyDescent="0.25">
      <c r="A7" s="120" t="s">
        <v>1089</v>
      </c>
      <c r="B7" s="120" t="s">
        <v>1098</v>
      </c>
      <c r="C7" s="18" t="s">
        <v>1093</v>
      </c>
      <c r="D7" s="120" t="s">
        <v>1102</v>
      </c>
      <c r="E7" s="120" t="s">
        <v>1095</v>
      </c>
      <c r="F7" s="120" t="s">
        <v>1097</v>
      </c>
      <c r="G7" s="119">
        <v>43921</v>
      </c>
      <c r="H7" s="18"/>
      <c r="I7" s="18"/>
      <c r="J7" s="18" t="str">
        <f t="shared" si="0"/>
        <v/>
      </c>
      <c r="K7" s="18"/>
      <c r="L7" s="18"/>
      <c r="M7" s="18" t="str">
        <f t="shared" si="1"/>
        <v/>
      </c>
      <c r="N7" s="18"/>
      <c r="O7" s="18"/>
      <c r="P7" s="18" t="str">
        <f t="shared" si="2"/>
        <v/>
      </c>
      <c r="Q7" s="18"/>
      <c r="R7" s="18"/>
      <c r="S7" s="18" t="str">
        <f t="shared" si="3"/>
        <v/>
      </c>
      <c r="T7" s="18"/>
      <c r="U7" s="18"/>
      <c r="V7" s="18" t="str">
        <f t="shared" si="4"/>
        <v/>
      </c>
      <c r="W7" s="18"/>
      <c r="X7" s="18"/>
      <c r="Y7" s="18" t="str">
        <f t="shared" si="5"/>
        <v/>
      </c>
      <c r="Z7" s="18"/>
      <c r="AA7" s="18"/>
      <c r="AB7" s="18" t="str">
        <f t="shared" si="6"/>
        <v/>
      </c>
      <c r="AC7" s="18"/>
      <c r="AD7" s="18"/>
      <c r="AE7" s="18" t="str">
        <f t="shared" si="7"/>
        <v/>
      </c>
      <c r="AF7" s="18">
        <v>1</v>
      </c>
      <c r="AG7" s="18">
        <v>0</v>
      </c>
      <c r="AH7" s="18">
        <f t="shared" si="8"/>
        <v>0.44457978075517657</v>
      </c>
      <c r="AI7" s="18">
        <v>132</v>
      </c>
      <c r="AJ7" s="18">
        <v>20</v>
      </c>
      <c r="AK7" s="18">
        <f t="shared" si="9"/>
        <v>58.684531059683316</v>
      </c>
    </row>
    <row r="8" spans="1:37" ht="89.25" x14ac:dyDescent="0.25">
      <c r="A8" s="18" t="s">
        <v>1090</v>
      </c>
      <c r="B8" s="120" t="s">
        <v>1098</v>
      </c>
      <c r="C8" s="18" t="s">
        <v>1093</v>
      </c>
      <c r="D8" s="18" t="s">
        <v>1103</v>
      </c>
      <c r="E8" s="120" t="s">
        <v>1095</v>
      </c>
      <c r="F8" s="120" t="s">
        <v>1097</v>
      </c>
      <c r="G8" s="119">
        <v>43889</v>
      </c>
      <c r="H8" s="18"/>
      <c r="I8" s="18"/>
      <c r="J8" s="18" t="str">
        <f t="shared" si="0"/>
        <v/>
      </c>
      <c r="K8" s="18"/>
      <c r="L8" s="18"/>
      <c r="M8" s="18" t="str">
        <f t="shared" si="1"/>
        <v/>
      </c>
      <c r="N8" s="18"/>
      <c r="O8" s="18"/>
      <c r="P8" s="18" t="str">
        <f t="shared" si="2"/>
        <v/>
      </c>
      <c r="Q8" s="18"/>
      <c r="R8" s="18"/>
      <c r="S8" s="18" t="str">
        <f t="shared" si="3"/>
        <v/>
      </c>
      <c r="T8" s="18"/>
      <c r="U8" s="18"/>
      <c r="V8" s="18" t="str">
        <f t="shared" si="4"/>
        <v/>
      </c>
      <c r="W8" s="18"/>
      <c r="X8" s="18"/>
      <c r="Y8" s="18" t="str">
        <f t="shared" si="5"/>
        <v/>
      </c>
      <c r="Z8" s="18"/>
      <c r="AA8" s="18"/>
      <c r="AB8" s="18" t="str">
        <f t="shared" si="6"/>
        <v/>
      </c>
      <c r="AC8" s="18"/>
      <c r="AD8" s="18"/>
      <c r="AE8" s="18" t="str">
        <f t="shared" si="7"/>
        <v/>
      </c>
      <c r="AF8" s="18">
        <v>1</v>
      </c>
      <c r="AG8" s="18"/>
      <c r="AH8" s="18">
        <f t="shared" si="8"/>
        <v>0.46261089987325726</v>
      </c>
      <c r="AI8" s="18">
        <v>25</v>
      </c>
      <c r="AJ8" s="18"/>
      <c r="AK8" s="18">
        <f t="shared" si="9"/>
        <v>11.565272496831433</v>
      </c>
    </row>
    <row r="9" spans="1:37" x14ac:dyDescent="0.25">
      <c r="B9" s="118"/>
      <c r="H9" s="18">
        <f t="shared" ref="H9:AJ9" si="10">SUM(H5:H8)</f>
        <v>0</v>
      </c>
      <c r="I9" s="18">
        <f t="shared" si="10"/>
        <v>0</v>
      </c>
      <c r="J9" s="18">
        <f t="shared" si="10"/>
        <v>0</v>
      </c>
      <c r="K9" s="18">
        <f t="shared" si="10"/>
        <v>0</v>
      </c>
      <c r="L9" s="18">
        <f t="shared" si="10"/>
        <v>0</v>
      </c>
      <c r="M9" s="18">
        <f t="shared" si="10"/>
        <v>0</v>
      </c>
      <c r="N9" s="18">
        <f t="shared" si="10"/>
        <v>0</v>
      </c>
      <c r="O9" s="18">
        <f t="shared" si="10"/>
        <v>0</v>
      </c>
      <c r="P9" s="18">
        <f t="shared" si="10"/>
        <v>0</v>
      </c>
      <c r="Q9" s="18">
        <f t="shared" si="10"/>
        <v>0</v>
      </c>
      <c r="R9" s="18">
        <f t="shared" si="10"/>
        <v>0</v>
      </c>
      <c r="S9" s="18">
        <f t="shared" si="10"/>
        <v>0</v>
      </c>
      <c r="T9" s="18">
        <f t="shared" si="10"/>
        <v>0</v>
      </c>
      <c r="U9" s="18">
        <f t="shared" si="10"/>
        <v>0</v>
      </c>
      <c r="V9" s="18">
        <f t="shared" si="10"/>
        <v>0</v>
      </c>
      <c r="W9" s="18">
        <f t="shared" si="10"/>
        <v>0</v>
      </c>
      <c r="X9" s="18">
        <f t="shared" si="10"/>
        <v>0</v>
      </c>
      <c r="Y9" s="18">
        <f t="shared" si="10"/>
        <v>0</v>
      </c>
      <c r="Z9" s="18">
        <f t="shared" si="10"/>
        <v>0</v>
      </c>
      <c r="AA9" s="18">
        <f t="shared" si="10"/>
        <v>0</v>
      </c>
      <c r="AB9" s="18">
        <f t="shared" si="10"/>
        <v>0</v>
      </c>
      <c r="AC9" s="18">
        <f t="shared" si="10"/>
        <v>0</v>
      </c>
      <c r="AD9" s="18">
        <f t="shared" si="10"/>
        <v>0</v>
      </c>
      <c r="AE9" s="18">
        <f t="shared" si="10"/>
        <v>0</v>
      </c>
      <c r="AF9" s="18">
        <f t="shared" si="10"/>
        <v>4</v>
      </c>
      <c r="AG9" s="18">
        <f t="shared" si="10"/>
        <v>0</v>
      </c>
      <c r="AH9" s="18">
        <f t="shared" si="10"/>
        <v>2.8289078523456057</v>
      </c>
      <c r="AI9" s="18">
        <f t="shared" si="10"/>
        <v>166</v>
      </c>
      <c r="AJ9" s="18">
        <f t="shared" si="10"/>
        <v>20</v>
      </c>
      <c r="AK9" s="18">
        <f t="shared" ref="AK9" si="11">SUM(AK5:AK8)</f>
        <v>78.936672243383441</v>
      </c>
    </row>
    <row r="10" spans="1:37" x14ac:dyDescent="0.25">
      <c r="B10" s="118"/>
      <c r="H10" s="18">
        <f t="shared" ref="H10:AJ10" si="12">COUNT(H5:H8)</f>
        <v>0</v>
      </c>
      <c r="I10" s="18">
        <f t="shared" si="12"/>
        <v>0</v>
      </c>
      <c r="J10" s="18">
        <f t="shared" si="12"/>
        <v>0</v>
      </c>
      <c r="K10" s="18">
        <f t="shared" si="12"/>
        <v>0</v>
      </c>
      <c r="L10" s="18">
        <f t="shared" si="12"/>
        <v>0</v>
      </c>
      <c r="M10" s="18">
        <f t="shared" si="12"/>
        <v>0</v>
      </c>
      <c r="N10" s="18">
        <f t="shared" si="12"/>
        <v>0</v>
      </c>
      <c r="O10" s="18">
        <f t="shared" si="12"/>
        <v>0</v>
      </c>
      <c r="P10" s="18">
        <f t="shared" si="12"/>
        <v>0</v>
      </c>
      <c r="Q10" s="18">
        <f t="shared" si="12"/>
        <v>0</v>
      </c>
      <c r="R10" s="18">
        <f t="shared" si="12"/>
        <v>0</v>
      </c>
      <c r="S10" s="18">
        <f t="shared" si="12"/>
        <v>0</v>
      </c>
      <c r="T10" s="18">
        <f t="shared" si="12"/>
        <v>0</v>
      </c>
      <c r="U10" s="18">
        <f t="shared" si="12"/>
        <v>0</v>
      </c>
      <c r="V10" s="18">
        <f t="shared" si="12"/>
        <v>0</v>
      </c>
      <c r="W10" s="18">
        <f t="shared" si="12"/>
        <v>0</v>
      </c>
      <c r="X10" s="18">
        <f t="shared" si="12"/>
        <v>0</v>
      </c>
      <c r="Y10" s="18">
        <f t="shared" si="12"/>
        <v>0</v>
      </c>
      <c r="Z10" s="18">
        <f t="shared" si="12"/>
        <v>0</v>
      </c>
      <c r="AA10" s="18">
        <f t="shared" si="12"/>
        <v>0</v>
      </c>
      <c r="AB10" s="18">
        <f t="shared" si="12"/>
        <v>0</v>
      </c>
      <c r="AC10" s="18">
        <f t="shared" si="12"/>
        <v>0</v>
      </c>
      <c r="AD10" s="18">
        <f t="shared" si="12"/>
        <v>0</v>
      </c>
      <c r="AE10" s="18">
        <f t="shared" si="12"/>
        <v>0</v>
      </c>
      <c r="AF10" s="18">
        <f t="shared" si="12"/>
        <v>4</v>
      </c>
      <c r="AG10" s="18">
        <f t="shared" si="12"/>
        <v>3</v>
      </c>
      <c r="AH10" s="18">
        <f t="shared" si="12"/>
        <v>4</v>
      </c>
      <c r="AI10" s="18">
        <f t="shared" si="12"/>
        <v>4</v>
      </c>
      <c r="AJ10" s="18">
        <f t="shared" si="12"/>
        <v>3</v>
      </c>
      <c r="AK10" s="18">
        <f t="shared" ref="AK10" si="13">COUNT(AK5:AK8)</f>
        <v>4</v>
      </c>
    </row>
  </sheetData>
  <mergeCells count="37">
    <mergeCell ref="AI3:AJ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2:AJ2"/>
    <mergeCell ref="W1:X1"/>
    <mergeCell ref="Z1:AA1"/>
    <mergeCell ref="AC1:AD1"/>
    <mergeCell ref="AF1:AG1"/>
    <mergeCell ref="AI1:AJ1"/>
    <mergeCell ref="W2:X2"/>
    <mergeCell ref="Z2:AA2"/>
    <mergeCell ref="AC2:AD2"/>
    <mergeCell ref="AF2:AG2"/>
    <mergeCell ref="G1:G4"/>
    <mergeCell ref="H1:I1"/>
    <mergeCell ref="K1:L1"/>
    <mergeCell ref="N1:O1"/>
    <mergeCell ref="Q1:R1"/>
    <mergeCell ref="T1:U1"/>
    <mergeCell ref="H2:I2"/>
    <mergeCell ref="K2:L2"/>
    <mergeCell ref="N2:O2"/>
    <mergeCell ref="Q2:R2"/>
    <mergeCell ref="T2:U2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opLeftCell="AZ1" workbookViewId="0">
      <selection activeCell="BP21" sqref="BP21"/>
    </sheetView>
  </sheetViews>
  <sheetFormatPr defaultRowHeight="15" x14ac:dyDescent="0.25"/>
  <cols>
    <col min="1" max="1" width="13.5703125" customWidth="1"/>
    <col min="8" max="37" width="10.5703125" customWidth="1"/>
    <col min="65" max="66" width="9.5703125" bestFit="1" customWidth="1"/>
    <col min="67" max="67" width="9.5703125" customWidth="1"/>
    <col min="68" max="69" width="9.5703125" bestFit="1" customWidth="1"/>
    <col min="70" max="70" width="9.5703125" customWidth="1"/>
  </cols>
  <sheetData>
    <row r="1" spans="1:79" ht="27.75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11" t="s">
        <v>391</v>
      </c>
      <c r="I1" s="1212"/>
      <c r="J1" s="134"/>
      <c r="K1" s="1211" t="s">
        <v>393</v>
      </c>
      <c r="L1" s="1212"/>
      <c r="M1" s="134"/>
      <c r="N1" s="1211" t="s">
        <v>146</v>
      </c>
      <c r="O1" s="1212"/>
      <c r="P1" s="134"/>
      <c r="Q1" s="1211" t="s">
        <v>399</v>
      </c>
      <c r="R1" s="1212"/>
      <c r="S1" s="134"/>
      <c r="T1" s="1211" t="s">
        <v>303</v>
      </c>
      <c r="U1" s="1212"/>
      <c r="V1" s="134"/>
      <c r="W1" s="1211" t="s">
        <v>305</v>
      </c>
      <c r="X1" s="1212"/>
      <c r="Y1" s="134"/>
      <c r="Z1" s="1211" t="s">
        <v>309</v>
      </c>
      <c r="AA1" s="1212"/>
      <c r="AB1" s="134"/>
      <c r="AC1" s="1211" t="s">
        <v>150</v>
      </c>
      <c r="AD1" s="1212"/>
      <c r="AE1" s="134"/>
      <c r="AF1" s="1211" t="s">
        <v>144</v>
      </c>
      <c r="AG1" s="1212"/>
      <c r="AH1" s="134"/>
      <c r="AI1" s="1211" t="s">
        <v>152</v>
      </c>
      <c r="AJ1" s="1212"/>
      <c r="AK1" s="134"/>
      <c r="AL1" s="1211" t="s">
        <v>389</v>
      </c>
      <c r="AM1" s="1212"/>
      <c r="AN1" s="134"/>
      <c r="AO1" s="1211" t="s">
        <v>391</v>
      </c>
      <c r="AP1" s="1212"/>
      <c r="AQ1" s="134"/>
      <c r="AR1" s="1211" t="s">
        <v>393</v>
      </c>
      <c r="AS1" s="1212"/>
      <c r="AT1" s="134"/>
      <c r="AU1" s="1211" t="s">
        <v>395</v>
      </c>
      <c r="AV1" s="1212"/>
      <c r="AW1" s="134"/>
      <c r="AX1" s="1211" t="s">
        <v>146</v>
      </c>
      <c r="AY1" s="1212"/>
      <c r="AZ1" s="134"/>
      <c r="BA1" s="1211" t="s">
        <v>399</v>
      </c>
      <c r="BB1" s="1212"/>
      <c r="BC1" s="134"/>
      <c r="BD1" s="1211" t="s">
        <v>150</v>
      </c>
      <c r="BE1" s="1212"/>
      <c r="BF1" s="134"/>
      <c r="BG1" s="1211" t="s">
        <v>144</v>
      </c>
      <c r="BH1" s="1212"/>
      <c r="BI1" s="134"/>
      <c r="BJ1" s="1211" t="s">
        <v>152</v>
      </c>
      <c r="BK1" s="1212"/>
      <c r="BL1" s="134"/>
      <c r="BM1" s="1211" t="s">
        <v>146</v>
      </c>
      <c r="BN1" s="1212"/>
      <c r="BO1" s="134"/>
      <c r="BP1" s="1211" t="s">
        <v>148</v>
      </c>
      <c r="BQ1" s="1212"/>
      <c r="BR1" s="134"/>
      <c r="BS1" s="1211" t="s">
        <v>150</v>
      </c>
      <c r="BT1" s="1212"/>
      <c r="BU1" s="134"/>
      <c r="BV1" s="1211" t="s">
        <v>144</v>
      </c>
      <c r="BW1" s="1212"/>
      <c r="BX1" s="134"/>
      <c r="BY1" s="1211" t="s">
        <v>152</v>
      </c>
      <c r="BZ1" s="1212"/>
    </row>
    <row r="2" spans="1:79" x14ac:dyDescent="0.25">
      <c r="A2" s="1203"/>
      <c r="B2" s="1203"/>
      <c r="C2" s="1203"/>
      <c r="D2" s="1203"/>
      <c r="E2" s="1203"/>
      <c r="F2" s="1203"/>
      <c r="G2" s="1201"/>
      <c r="H2" s="1209" t="s">
        <v>390</v>
      </c>
      <c r="I2" s="1210"/>
      <c r="J2" s="135"/>
      <c r="K2" s="1209" t="s">
        <v>392</v>
      </c>
      <c r="L2" s="1210"/>
      <c r="M2" s="135"/>
      <c r="N2" s="1209" t="s">
        <v>396</v>
      </c>
      <c r="O2" s="1210"/>
      <c r="P2" s="135"/>
      <c r="Q2" s="1209" t="s">
        <v>398</v>
      </c>
      <c r="R2" s="1210"/>
      <c r="S2" s="135"/>
      <c r="T2" s="1209" t="s">
        <v>302</v>
      </c>
      <c r="U2" s="1210"/>
      <c r="V2" s="135"/>
      <c r="W2" s="1209" t="s">
        <v>304</v>
      </c>
      <c r="X2" s="1210"/>
      <c r="Y2" s="135"/>
      <c r="Z2" s="1209" t="s">
        <v>308</v>
      </c>
      <c r="AA2" s="1210"/>
      <c r="AB2" s="135"/>
      <c r="AC2" s="1209" t="s">
        <v>400</v>
      </c>
      <c r="AD2" s="1210"/>
      <c r="AE2" s="135"/>
      <c r="AF2" s="1209" t="s">
        <v>401</v>
      </c>
      <c r="AG2" s="1210"/>
      <c r="AH2" s="135"/>
      <c r="AI2" s="1209" t="s">
        <v>402</v>
      </c>
      <c r="AJ2" s="1210"/>
      <c r="AK2" s="135"/>
      <c r="AL2" s="1209" t="s">
        <v>388</v>
      </c>
      <c r="AM2" s="1210"/>
      <c r="AN2" s="135"/>
      <c r="AO2" s="1209" t="s">
        <v>390</v>
      </c>
      <c r="AP2" s="1210"/>
      <c r="AQ2" s="135"/>
      <c r="AR2" s="1209" t="s">
        <v>392</v>
      </c>
      <c r="AS2" s="1210"/>
      <c r="AT2" s="135"/>
      <c r="AU2" s="1209" t="s">
        <v>394</v>
      </c>
      <c r="AV2" s="1210"/>
      <c r="AW2" s="135"/>
      <c r="AX2" s="1209" t="s">
        <v>396</v>
      </c>
      <c r="AY2" s="1210"/>
      <c r="AZ2" s="135"/>
      <c r="BA2" s="1209" t="s">
        <v>398</v>
      </c>
      <c r="BB2" s="1210"/>
      <c r="BC2" s="135"/>
      <c r="BD2" s="1209" t="s">
        <v>400</v>
      </c>
      <c r="BE2" s="1210"/>
      <c r="BF2" s="135"/>
      <c r="BG2" s="1209" t="s">
        <v>401</v>
      </c>
      <c r="BH2" s="1210"/>
      <c r="BI2" s="135"/>
      <c r="BJ2" s="1209" t="s">
        <v>402</v>
      </c>
      <c r="BK2" s="1210"/>
      <c r="BL2" s="135"/>
      <c r="BM2" s="1209" t="s">
        <v>396</v>
      </c>
      <c r="BN2" s="1210"/>
      <c r="BO2" s="135"/>
      <c r="BP2" s="1209" t="s">
        <v>397</v>
      </c>
      <c r="BQ2" s="1210"/>
      <c r="BR2" s="135"/>
      <c r="BS2" s="1209" t="s">
        <v>400</v>
      </c>
      <c r="BT2" s="1210"/>
      <c r="BU2" s="135"/>
      <c r="BV2" s="1209" t="s">
        <v>401</v>
      </c>
      <c r="BW2" s="1210"/>
      <c r="BX2" s="135"/>
      <c r="BY2" s="1209" t="s">
        <v>402</v>
      </c>
      <c r="BZ2" s="1210"/>
    </row>
    <row r="3" spans="1:79" x14ac:dyDescent="0.25">
      <c r="A3" s="1203"/>
      <c r="B3" s="1203"/>
      <c r="C3" s="1203"/>
      <c r="D3" s="1203"/>
      <c r="E3" s="1203"/>
      <c r="F3" s="1203"/>
      <c r="G3" s="1201"/>
      <c r="H3" s="1209" t="s">
        <v>564</v>
      </c>
      <c r="I3" s="1210"/>
      <c r="J3" s="135"/>
      <c r="K3" s="1209" t="s">
        <v>564</v>
      </c>
      <c r="L3" s="1210"/>
      <c r="M3" s="135"/>
      <c r="N3" s="1209" t="s">
        <v>564</v>
      </c>
      <c r="O3" s="1210"/>
      <c r="P3" s="135"/>
      <c r="Q3" s="1209" t="s">
        <v>564</v>
      </c>
      <c r="R3" s="1210"/>
      <c r="S3" s="135"/>
      <c r="T3" s="1209" t="s">
        <v>564</v>
      </c>
      <c r="U3" s="1210"/>
      <c r="V3" s="135"/>
      <c r="W3" s="1209" t="s">
        <v>564</v>
      </c>
      <c r="X3" s="1210"/>
      <c r="Y3" s="135"/>
      <c r="Z3" s="1209" t="s">
        <v>564</v>
      </c>
      <c r="AA3" s="1210"/>
      <c r="AB3" s="135"/>
      <c r="AC3" s="1209" t="s">
        <v>564</v>
      </c>
      <c r="AD3" s="1210"/>
      <c r="AE3" s="135"/>
      <c r="AF3" s="1209" t="s">
        <v>564</v>
      </c>
      <c r="AG3" s="1210"/>
      <c r="AH3" s="135"/>
      <c r="AI3" s="1209" t="s">
        <v>564</v>
      </c>
      <c r="AJ3" s="1210"/>
      <c r="AK3" s="135"/>
      <c r="AL3" s="1209" t="s">
        <v>579</v>
      </c>
      <c r="AM3" s="1210"/>
      <c r="AN3" s="135"/>
      <c r="AO3" s="1209" t="s">
        <v>579</v>
      </c>
      <c r="AP3" s="1210"/>
      <c r="AQ3" s="135"/>
      <c r="AR3" s="1209" t="s">
        <v>579</v>
      </c>
      <c r="AS3" s="1210"/>
      <c r="AT3" s="135"/>
      <c r="AU3" s="1209" t="s">
        <v>579</v>
      </c>
      <c r="AV3" s="1210"/>
      <c r="AW3" s="135"/>
      <c r="AX3" s="1209" t="s">
        <v>579</v>
      </c>
      <c r="AY3" s="1210"/>
      <c r="AZ3" s="135"/>
      <c r="BA3" s="1209" t="s">
        <v>579</v>
      </c>
      <c r="BB3" s="1210"/>
      <c r="BC3" s="135"/>
      <c r="BD3" s="1209" t="s">
        <v>579</v>
      </c>
      <c r="BE3" s="1210"/>
      <c r="BF3" s="135"/>
      <c r="BG3" s="1209" t="s">
        <v>579</v>
      </c>
      <c r="BH3" s="1210"/>
      <c r="BI3" s="135"/>
      <c r="BJ3" s="1209" t="s">
        <v>579</v>
      </c>
      <c r="BK3" s="1210"/>
      <c r="BL3" s="135"/>
      <c r="BM3" s="1209" t="s">
        <v>580</v>
      </c>
      <c r="BN3" s="1210"/>
      <c r="BO3" s="135"/>
      <c r="BP3" s="1209" t="s">
        <v>580</v>
      </c>
      <c r="BQ3" s="1210"/>
      <c r="BR3" s="135"/>
      <c r="BS3" s="1209" t="s">
        <v>580</v>
      </c>
      <c r="BT3" s="1210"/>
      <c r="BU3" s="135"/>
      <c r="BV3" s="1209" t="s">
        <v>580</v>
      </c>
      <c r="BW3" s="1210"/>
      <c r="BX3" s="135"/>
      <c r="BY3" s="1209" t="s">
        <v>580</v>
      </c>
      <c r="BZ3" s="1210"/>
    </row>
    <row r="4" spans="1:79" ht="25.5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  <c r="BG4" s="16" t="s">
        <v>603</v>
      </c>
      <c r="BH4" s="16" t="s">
        <v>604</v>
      </c>
      <c r="BI4" s="104">
        <v>43465</v>
      </c>
      <c r="BJ4" s="16" t="s">
        <v>603</v>
      </c>
      <c r="BK4" s="16" t="s">
        <v>604</v>
      </c>
      <c r="BL4" s="104">
        <v>43465</v>
      </c>
      <c r="BM4" s="16" t="s">
        <v>603</v>
      </c>
      <c r="BN4" s="16" t="s">
        <v>604</v>
      </c>
      <c r="BO4" s="104">
        <v>43465</v>
      </c>
      <c r="BP4" s="16" t="s">
        <v>603</v>
      </c>
      <c r="BQ4" s="16" t="s">
        <v>604</v>
      </c>
      <c r="BR4" s="104">
        <v>43465</v>
      </c>
      <c r="BS4" s="16" t="s">
        <v>603</v>
      </c>
      <c r="BT4" s="16" t="s">
        <v>604</v>
      </c>
      <c r="BU4" s="104">
        <v>43465</v>
      </c>
      <c r="BV4" s="16" t="s">
        <v>603</v>
      </c>
      <c r="BW4" s="16" t="s">
        <v>604</v>
      </c>
      <c r="BX4" s="104">
        <v>43465</v>
      </c>
      <c r="BY4" s="16" t="s">
        <v>603</v>
      </c>
      <c r="BZ4" s="16" t="s">
        <v>604</v>
      </c>
      <c r="CA4" s="104">
        <v>43465</v>
      </c>
    </row>
    <row r="5" spans="1:79" ht="51" x14ac:dyDescent="0.25">
      <c r="A5" s="120" t="s">
        <v>1107</v>
      </c>
      <c r="B5" s="120" t="s">
        <v>1114</v>
      </c>
      <c r="C5" s="120" t="s">
        <v>1112</v>
      </c>
      <c r="D5" s="120" t="s">
        <v>1113</v>
      </c>
      <c r="E5" s="120" t="s">
        <v>1095</v>
      </c>
      <c r="F5" s="120" t="s">
        <v>1111</v>
      </c>
      <c r="G5" s="119">
        <v>43465</v>
      </c>
      <c r="H5" s="18"/>
      <c r="I5" s="18"/>
      <c r="J5" s="18" t="str">
        <f>IF(H5="","",IF($F5="riadne ukončený",I5,IF(I5&gt;=H5,I5,IF(($G5-J$4)&gt;0,(H5/($G5-J$4+365)*365),MAX(H5:I5)))))</f>
        <v/>
      </c>
      <c r="K5" s="18"/>
      <c r="L5" s="18"/>
      <c r="M5" s="18" t="str">
        <f>IF(K5="","",IF($F5="riadne ukončený",L5,IF(L5&gt;=K5,L5,IF(($G5-M$4)&gt;0,(K5/($G5-M$4+365)*365),MAX(K5:L5)))))</f>
        <v/>
      </c>
      <c r="N5" s="18"/>
      <c r="O5" s="18"/>
      <c r="P5" s="18" t="str">
        <f>IF(N5="","",IF($F5="riadne ukončený",O5,IF(O5&gt;=N5,O5,IF(($G5-P$4)&gt;0,(N5/($G5-P$4+365)*365),MAX(N5:O5)))))</f>
        <v/>
      </c>
      <c r="Q5" s="18"/>
      <c r="R5" s="18"/>
      <c r="S5" s="18" t="str">
        <f>IF(Q5="","",IF($F5="riadne ukončený",R5,IF(R5&gt;=Q5,R5,IF(($G5-S$4)&gt;0,(Q5/($G5-S$4+365)*365),MAX(Q5:R5)))))</f>
        <v/>
      </c>
      <c r="T5" s="18"/>
      <c r="U5" s="18"/>
      <c r="V5" s="18" t="str">
        <f>IF(T5="","",IF($F5="riadne ukončený",U5,IF(U5&gt;=T5,U5,IF(($G5-V$4)&gt;0,(T5/($G5-V$4+365)*365),MAX(T5:U5)))))</f>
        <v/>
      </c>
      <c r="W5" s="18"/>
      <c r="X5" s="18"/>
      <c r="Y5" s="18" t="str">
        <f>IF(W5="","",IF($F5="riadne ukončený",X5,IF(X5&gt;=W5,X5,IF(($G5-Y$4)&gt;0,(W5/($G5-Y$4+365)*365),MAX(W5:X5)))))</f>
        <v/>
      </c>
      <c r="Z5" s="18"/>
      <c r="AA5" s="18"/>
      <c r="AB5" s="18" t="str">
        <f>IF(Z5="","",IF($F5="riadne ukončený",AA5,IF(AA5&gt;=Z5,AA5,IF(($G5-AB$4)&gt;0,(Z5/($G5-AB$4+365)*365),MAX(Z5:AA5)))))</f>
        <v/>
      </c>
      <c r="AC5" s="18"/>
      <c r="AD5" s="18"/>
      <c r="AE5" s="18" t="str">
        <f>IF(AC5="","",IF($F5="riadne ukončený",AD5,IF(AD5&gt;=AC5,AD5,IF(($G5-AE$4)&gt;0,(AC5/($G5-AE$4+365)*365),MAX(AC5:AD5)))))</f>
        <v/>
      </c>
      <c r="AF5" s="18"/>
      <c r="AG5" s="18"/>
      <c r="AH5" s="18" t="str">
        <f>IF(AF5="","",IF($F5="riadne ukončený",AG5,IF(AG5&gt;=AF5,AG5,IF(($G5-AH$4)&gt;0,(AF5/($G5-AH$4+365)*365),MAX(AF5:AG5)))))</f>
        <v/>
      </c>
      <c r="AI5" s="18"/>
      <c r="AJ5" s="18"/>
      <c r="AK5" s="18" t="str">
        <f>IF(AI5="","",IF($F5="riadne ukončený",AJ5,IF(AJ5&gt;=AI5,AJ5,IF(($G5-AK$4)&gt;0,(AI5/($G5-AK$4+365)*365),MAX(AI5:AJ5)))))</f>
        <v/>
      </c>
      <c r="AL5" s="18"/>
      <c r="AM5" s="18"/>
      <c r="AN5" s="18" t="str">
        <f>IF(AL5="","",IF($F5="riadne ukončený",AM5,IF(AM5&gt;=AL5,AM5,IF(($G5-AN$4)&gt;0,(AL5/($G5-AN$4+365)*365),MAX(AL5:AM5)))))</f>
        <v/>
      </c>
      <c r="AO5" s="18"/>
      <c r="AP5" s="18"/>
      <c r="AQ5" s="18" t="str">
        <f>IF(AO5="","",IF($F5="riadne ukončený",AP5,IF(AP5&gt;=AO5,AP5,IF(($G5-AQ$4)&gt;0,(AO5/($G5-AQ$4+365)*365),MAX(AO5:AP5)))))</f>
        <v/>
      </c>
      <c r="AR5" s="18"/>
      <c r="AS5" s="18"/>
      <c r="AT5" s="18" t="str">
        <f>IF(AR5="","",IF($F5="riadne ukončený",AS5,IF(AS5&gt;=AR5,AS5,IF(($G5-AT$4)&gt;0,(AR5/($G5-AT$4+365)*365),MAX(AR5:AS5)))))</f>
        <v/>
      </c>
      <c r="AU5" s="18"/>
      <c r="AV5" s="18"/>
      <c r="AW5" s="18" t="str">
        <f>IF(AU5="","",IF($F5="riadne ukončený",AV5,IF(AV5&gt;=AU5,AV5,IF(($G5-AW$4)&gt;0,(AU5/($G5-AW$4+365)*365),MAX(AU5:AV5)))))</f>
        <v/>
      </c>
      <c r="AX5" s="18"/>
      <c r="AY5" s="18"/>
      <c r="AZ5" s="18" t="str">
        <f>IF(AX5="","",IF($F5="riadne ukončený",AY5,IF(AY5&gt;=AX5,AY5,IF(($G5-AZ$4)&gt;0,(AX5/($G5-AZ$4+365)*365),MAX(AX5:AY5)))))</f>
        <v/>
      </c>
      <c r="BA5" s="18"/>
      <c r="BB5" s="18"/>
      <c r="BC5" s="18" t="str">
        <f>IF(BA5="","",IF($F5="riadne ukončený",BB5,IF(BB5&gt;=BA5,BB5,IF(($G5-BC$4)&gt;0,(BA5/($G5-BC$4+365)*365),MAX(BA5:BB5)))))</f>
        <v/>
      </c>
      <c r="BD5" s="18"/>
      <c r="BE5" s="18"/>
      <c r="BF5" s="18" t="str">
        <f>IF(BD5="","",IF($F5="riadne ukončený",BE5,IF(BE5&gt;=BD5,BE5,IF(($G5-BF$4)&gt;0,(BD5/($G5-BF$4+365)*365),MAX(BD5:BE5)))))</f>
        <v/>
      </c>
      <c r="BG5" s="18"/>
      <c r="BH5" s="18"/>
      <c r="BI5" s="18" t="str">
        <f>IF(BG5="","",IF($F5="riadne ukončený",BH5,IF(BH5&gt;=BG5,BH5,IF(($G5-BI$4)&gt;0,(BG5/($G5-BI$4+365)*365),MAX(BG5:BH5)))))</f>
        <v/>
      </c>
      <c r="BJ5" s="18"/>
      <c r="BK5" s="18"/>
      <c r="BL5" s="18" t="str">
        <f>IF(BJ5="","",IF($F5="riadne ukončený",BK5,IF(BK5&gt;=BJ5,BK5,IF(($G5-BL$4)&gt;0,(BJ5/($G5-BL$4+365)*365),MAX(BJ5:BK5)))))</f>
        <v/>
      </c>
      <c r="BM5" s="18">
        <v>13590.02</v>
      </c>
      <c r="BN5" s="18">
        <v>23712.209200000001</v>
      </c>
      <c r="BO5" s="18">
        <f>IF(BM5="","",IF($F5="riadne ukončený",BN5,IF(BN5&gt;=BM5,BN5,IF(($G5-BO$4)&gt;0,(BM5/($G5-BO$4+365)*365),MAX(BM5:BN5)))))</f>
        <v>23712.209200000001</v>
      </c>
      <c r="BP5" s="18">
        <v>13500</v>
      </c>
      <c r="BQ5" s="18">
        <v>10572</v>
      </c>
      <c r="BR5" s="18">
        <f>IF(BP5="","",IF($F5="riadne ukončený",BQ5,IF(BQ5&gt;=BP5,BQ5,IF(($G5-BR$4)&gt;0,(BP5/($G5-BR$4+365)*365),MAX(BP5:BQ5)))))</f>
        <v>13500</v>
      </c>
      <c r="BS5" s="18">
        <v>17</v>
      </c>
      <c r="BT5" s="18">
        <v>6.5781999999999998</v>
      </c>
      <c r="BU5" s="18">
        <f>IF(BS5="","",IF($F5="riadne ukončený",BT5,IF(BT5&gt;=BS5,BT5,IF(($G5-BU$4)&gt;0,(BS5/($G5-BU$4+365)*365),MAX(BS5:BT5)))))</f>
        <v>17</v>
      </c>
      <c r="BV5" s="18">
        <v>50</v>
      </c>
      <c r="BW5" s="18">
        <v>74.993200000000002</v>
      </c>
      <c r="BX5" s="18">
        <f>IF(BV5="","",IF($F5="riadne ukončený",BW5,IF(BW5&gt;=BV5,BW5,IF(($G5-BX$4)&gt;0,(BV5/($G5-BX$4+365)*365),MAX(BV5:BW5)))))</f>
        <v>74.993200000000002</v>
      </c>
      <c r="BY5" s="18">
        <v>33</v>
      </c>
      <c r="BZ5" s="18">
        <v>68.414900000000003</v>
      </c>
      <c r="CA5" s="18">
        <f>IF(BY5="","",IF($F5="riadne ukončený",BZ5,IF(BZ5&gt;=BY5,BZ5,IF(($G5-CA$4)&gt;0,(BY5/($G5-CA$4+365)*365),MAX(BY5:BZ5)))))</f>
        <v>68.414900000000003</v>
      </c>
    </row>
    <row r="6" spans="1:79" ht="89.25" x14ac:dyDescent="0.25">
      <c r="A6" s="120" t="s">
        <v>1108</v>
      </c>
      <c r="B6" s="120" t="s">
        <v>1115</v>
      </c>
      <c r="C6" s="18" t="s">
        <v>1110</v>
      </c>
      <c r="D6" s="18" t="s">
        <v>1109</v>
      </c>
      <c r="E6" s="18" t="s">
        <v>1096</v>
      </c>
      <c r="F6" s="18" t="s">
        <v>1111</v>
      </c>
      <c r="G6" s="119">
        <v>45291</v>
      </c>
      <c r="H6" s="18"/>
      <c r="I6" s="18"/>
      <c r="J6" s="18" t="str">
        <f>IF(H6="","",IF($F6="riadne ukončený",I6,IF(I6&gt;=H6,I6,IF(($G6-J$4)&gt;0,(H6/($G6-J$4+365)*365),MAX(H6:I6)))))</f>
        <v/>
      </c>
      <c r="K6" s="18"/>
      <c r="L6" s="18"/>
      <c r="M6" s="18" t="str">
        <f>IF(K6="","",IF($F6="riadne ukončený",L6,IF(L6&gt;=K6,L6,IF(($G6-M$4)&gt;0,(K6/($G6-M$4+365)*365),MAX(K6:L6)))))</f>
        <v/>
      </c>
      <c r="N6" s="18">
        <v>9109.5</v>
      </c>
      <c r="O6" s="18"/>
      <c r="P6" s="18">
        <f>IF(N6="","",IF($F6="riadne ukončený",O6,IF(O6&gt;=N6,O6,IF(($G6-P$4)&gt;0,(N6/($G6-P$4+365)*365),MAX(N6:O6)))))</f>
        <v>1517.5570515746235</v>
      </c>
      <c r="Q6" s="18">
        <v>1</v>
      </c>
      <c r="R6" s="18"/>
      <c r="S6" s="18">
        <f>IF(Q6="","",IF($F6="riadne ukončený",R6,IF(R6&gt;=Q6,R6,IF(($G6-S$4)&gt;0,(Q6/($G6-S$4+365)*365),MAX(Q6:R6)))))</f>
        <v>0.16659059790050204</v>
      </c>
      <c r="T6" s="18"/>
      <c r="U6" s="18"/>
      <c r="V6" s="18" t="str">
        <f>IF(T6="","",IF($F6="riadne ukončený",U6,IF(U6&gt;=T6,U6,IF(($G6-V$4)&gt;0,(T6/($G6-V$4+365)*365),MAX(T6:U6)))))</f>
        <v/>
      </c>
      <c r="W6" s="18"/>
      <c r="X6" s="18"/>
      <c r="Y6" s="18" t="str">
        <f>IF(W6="","",IF($F6="riadne ukončený",X6,IF(X6&gt;=W6,X6,IF(($G6-Y$4)&gt;0,(W6/($G6-Y$4+365)*365),MAX(W6:X6)))))</f>
        <v/>
      </c>
      <c r="Z6" s="18"/>
      <c r="AA6" s="18"/>
      <c r="AB6" s="18" t="str">
        <f>IF(Z6="","",IF($F6="riadne ukončený",AA6,IF(AA6&gt;=Z6,AA6,IF(($G6-AB$4)&gt;0,(Z6/($G6-AB$4+365)*365),MAX(Z6:AA6)))))</f>
        <v/>
      </c>
      <c r="AC6" s="18">
        <v>2</v>
      </c>
      <c r="AD6" s="18"/>
      <c r="AE6" s="18">
        <f>IF(AC6="","",IF($F6="riadne ukončený",AD6,IF(AD6&gt;=AC6,AD6,IF(($G6-AE$4)&gt;0,(AC6/($G6-AE$4+365)*365),MAX(AC6:AD6)))))</f>
        <v>0.33318119580100408</v>
      </c>
      <c r="AF6" s="18">
        <v>20</v>
      </c>
      <c r="AG6" s="18"/>
      <c r="AH6" s="18">
        <f>IF(AF6="","",IF($F6="riadne ukončený",AG6,IF(AG6&gt;=AF6,AG6,IF(($G6-AH$4)&gt;0,(AF6/($G6-AH$4+365)*365),MAX(AF6:AG6)))))</f>
        <v>3.3318119580100412</v>
      </c>
      <c r="AI6" s="18">
        <v>17</v>
      </c>
      <c r="AJ6" s="18"/>
      <c r="AK6" s="18">
        <f>IF(AI6="","",IF($F6="riadne ukončený",AJ6,IF(AJ6&gt;=AI6,AJ6,IF(($G6-AK$4)&gt;0,(AI6/($G6-AK$4+365)*365),MAX(AI6:AJ6)))))</f>
        <v>2.8320401643085349</v>
      </c>
      <c r="AL6" s="18"/>
      <c r="AM6" s="18"/>
      <c r="AN6" s="18" t="str">
        <f>IF(AL6="","",IF($F6="riadne ukončený",AM6,IF(AM6&gt;=AL6,AM6,IF(($G6-AN$4)&gt;0,(AL6/($G6-AN$4+365)*365),MAX(AL6:AM6)))))</f>
        <v/>
      </c>
      <c r="AO6" s="18"/>
      <c r="AP6" s="18"/>
      <c r="AQ6" s="18" t="str">
        <f>IF(AO6="","",IF($F6="riadne ukončený",AP6,IF(AP6&gt;=AO6,AP6,IF(($G6-AQ$4)&gt;0,(AO6/($G6-AQ$4+365)*365),MAX(AO6:AP6)))))</f>
        <v/>
      </c>
      <c r="AR6" s="18"/>
      <c r="AS6" s="18"/>
      <c r="AT6" s="18" t="str">
        <f>IF(AR6="","",IF($F6="riadne ukončený",AS6,IF(AS6&gt;=AR6,AS6,IF(($G6-AT$4)&gt;0,(AR6/($G6-AT$4+365)*365),MAX(AR6:AS6)))))</f>
        <v/>
      </c>
      <c r="AU6" s="18"/>
      <c r="AV6" s="18"/>
      <c r="AW6" s="18" t="str">
        <f>IF(AU6="","",IF($F6="riadne ukončený",AV6,IF(AV6&gt;=AU6,AV6,IF(($G6-AW$4)&gt;0,(AU6/($G6-AW$4+365)*365),MAX(AU6:AV6)))))</f>
        <v/>
      </c>
      <c r="AX6" s="18">
        <v>9109.5</v>
      </c>
      <c r="AY6" s="18"/>
      <c r="AZ6" s="18">
        <f>IF(AX6="","",IF($F6="riadne ukončený",AY6,IF(AY6&gt;=AX6,AY6,IF(($G6-AZ$4)&gt;0,(AX6/($G6-AZ$4+365)*365),MAX(AX6:AY6)))))</f>
        <v>1517.5570515746235</v>
      </c>
      <c r="BA6" s="18">
        <v>1</v>
      </c>
      <c r="BB6" s="18"/>
      <c r="BC6" s="18">
        <f>IF(BA6="","",IF($F6="riadne ukončený",BB6,IF(BB6&gt;=BA6,BB6,IF(($G6-BC$4)&gt;0,(BA6/($G6-BC$4+365)*365),MAX(BA6:BB6)))))</f>
        <v>0.16659059790050204</v>
      </c>
      <c r="BD6" s="18">
        <v>2</v>
      </c>
      <c r="BE6" s="18"/>
      <c r="BF6" s="18">
        <f>IF(BD6="","",IF($F6="riadne ukončený",BE6,IF(BE6&gt;=BD6,BE6,IF(($G6-BF$4)&gt;0,(BD6/($G6-BF$4+365)*365),MAX(BD6:BE6)))))</f>
        <v>0.33318119580100408</v>
      </c>
      <c r="BG6" s="18">
        <v>20</v>
      </c>
      <c r="BH6" s="18"/>
      <c r="BI6" s="18">
        <f>IF(BG6="","",IF($F6="riadne ukončený",BH6,IF(BH6&gt;=BG6,BH6,IF(($G6-BI$4)&gt;0,(BG6/($G6-BI$4+365)*365),MAX(BG6:BH6)))))</f>
        <v>3.3318119580100412</v>
      </c>
      <c r="BJ6" s="18">
        <v>18</v>
      </c>
      <c r="BK6" s="18"/>
      <c r="BL6" s="18">
        <f>IF(BJ6="","",IF($F6="riadne ukončený",BK6,IF(BK6&gt;=BJ6,BK6,IF(($G6-BL$4)&gt;0,(BJ6/($G6-BL$4+365)*365),MAX(BJ6:BK6)))))</f>
        <v>2.9986307622090371</v>
      </c>
      <c r="BM6" s="18"/>
      <c r="BN6" s="18"/>
      <c r="BO6" s="18" t="str">
        <f>IF(BM6="","",IF($F6="riadne ukončený",BN6,IF(BN6&gt;=BM6,BN6,IF(($G6-BO$4)&gt;0,(BM6/($G6-BO$4+365)*365),MAX(BM6:BN6)))))</f>
        <v/>
      </c>
      <c r="BP6" s="18"/>
      <c r="BQ6" s="18"/>
      <c r="BR6" s="18" t="str">
        <f>IF(BP6="","",IF($F6="riadne ukončený",BQ6,IF(BQ6&gt;=BP6,BQ6,IF(($G6-BR$4)&gt;0,(BP6/($G6-BR$4+365)*365),MAX(BP6:BQ6)))))</f>
        <v/>
      </c>
      <c r="BS6" s="18"/>
      <c r="BT6" s="18"/>
      <c r="BU6" s="18" t="str">
        <f>IF(BS6="","",IF($F6="riadne ukončený",BT6,IF(BT6&gt;=BS6,BT6,IF(($G6-BU$4)&gt;0,(BS6/($G6-BU$4+365)*365),MAX(BS6:BT6)))))</f>
        <v/>
      </c>
      <c r="BV6" s="18"/>
      <c r="BW6" s="18"/>
      <c r="BX6" s="18" t="str">
        <f>IF(BV6="","",IF($F6="riadne ukončený",BW6,IF(BW6&gt;=BV6,BW6,IF(($G6-BX$4)&gt;0,(BV6/($G6-BX$4+365)*365),MAX(BV6:BW6)))))</f>
        <v/>
      </c>
      <c r="BY6" s="18"/>
      <c r="BZ6" s="18"/>
      <c r="CA6" s="18" t="str">
        <f>IF(BY6="","",IF($F6="riadne ukončený",BZ6,IF(BZ6&gt;=BY6,BZ6,IF(($G6-CA$4)&gt;0,(BY6/($G6-CA$4+365)*365),MAX(BY6:BZ6)))))</f>
        <v/>
      </c>
    </row>
    <row r="7" spans="1:79" x14ac:dyDescent="0.25">
      <c r="B7" s="118"/>
      <c r="H7" s="18">
        <f t="shared" ref="H7:BS7" si="0">SUM(H5:H6)</f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9109.5</v>
      </c>
      <c r="O7" s="18">
        <f t="shared" si="0"/>
        <v>0</v>
      </c>
      <c r="P7" s="18">
        <f t="shared" si="0"/>
        <v>1517.5570515746235</v>
      </c>
      <c r="Q7" s="18">
        <f t="shared" si="0"/>
        <v>1</v>
      </c>
      <c r="R7" s="18">
        <f t="shared" si="0"/>
        <v>0</v>
      </c>
      <c r="S7" s="18">
        <f t="shared" si="0"/>
        <v>0.16659059790050204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2</v>
      </c>
      <c r="AD7" s="18">
        <f t="shared" si="0"/>
        <v>0</v>
      </c>
      <c r="AE7" s="18">
        <f t="shared" si="0"/>
        <v>0.33318119580100408</v>
      </c>
      <c r="AF7" s="18">
        <f t="shared" si="0"/>
        <v>20</v>
      </c>
      <c r="AG7" s="18">
        <f t="shared" si="0"/>
        <v>0</v>
      </c>
      <c r="AH7" s="18">
        <f t="shared" si="0"/>
        <v>3.3318119580100412</v>
      </c>
      <c r="AI7" s="18">
        <f t="shared" si="0"/>
        <v>17</v>
      </c>
      <c r="AJ7" s="18">
        <f t="shared" si="0"/>
        <v>0</v>
      </c>
      <c r="AK7" s="18">
        <f t="shared" si="0"/>
        <v>2.8320401643085349</v>
      </c>
      <c r="AL7" s="18">
        <f t="shared" si="0"/>
        <v>0</v>
      </c>
      <c r="AM7" s="18">
        <f t="shared" si="0"/>
        <v>0</v>
      </c>
      <c r="AN7" s="18">
        <f t="shared" si="0"/>
        <v>0</v>
      </c>
      <c r="AO7" s="18">
        <f t="shared" si="0"/>
        <v>0</v>
      </c>
      <c r="AP7" s="18">
        <f t="shared" si="0"/>
        <v>0</v>
      </c>
      <c r="AQ7" s="18">
        <f t="shared" si="0"/>
        <v>0</v>
      </c>
      <c r="AR7" s="18">
        <f t="shared" si="0"/>
        <v>0</v>
      </c>
      <c r="AS7" s="18">
        <f t="shared" si="0"/>
        <v>0</v>
      </c>
      <c r="AT7" s="18">
        <f t="shared" si="0"/>
        <v>0</v>
      </c>
      <c r="AU7" s="18">
        <f t="shared" si="0"/>
        <v>0</v>
      </c>
      <c r="AV7" s="18">
        <f t="shared" si="0"/>
        <v>0</v>
      </c>
      <c r="AW7" s="18">
        <f t="shared" si="0"/>
        <v>0</v>
      </c>
      <c r="AX7" s="18">
        <f t="shared" si="0"/>
        <v>9109.5</v>
      </c>
      <c r="AY7" s="18">
        <f t="shared" si="0"/>
        <v>0</v>
      </c>
      <c r="AZ7" s="18">
        <f t="shared" si="0"/>
        <v>1517.5570515746235</v>
      </c>
      <c r="BA7" s="18">
        <f t="shared" si="0"/>
        <v>1</v>
      </c>
      <c r="BB7" s="18">
        <f t="shared" si="0"/>
        <v>0</v>
      </c>
      <c r="BC7" s="18">
        <f t="shared" si="0"/>
        <v>0.16659059790050204</v>
      </c>
      <c r="BD7" s="18">
        <f t="shared" si="0"/>
        <v>2</v>
      </c>
      <c r="BE7" s="18">
        <f t="shared" si="0"/>
        <v>0</v>
      </c>
      <c r="BF7" s="18">
        <f t="shared" si="0"/>
        <v>0.33318119580100408</v>
      </c>
      <c r="BG7" s="18">
        <f t="shared" si="0"/>
        <v>20</v>
      </c>
      <c r="BH7" s="18">
        <f t="shared" si="0"/>
        <v>0</v>
      </c>
      <c r="BI7" s="18">
        <f t="shared" si="0"/>
        <v>3.3318119580100412</v>
      </c>
      <c r="BJ7" s="18">
        <f t="shared" si="0"/>
        <v>18</v>
      </c>
      <c r="BK7" s="18">
        <f t="shared" si="0"/>
        <v>0</v>
      </c>
      <c r="BL7" s="18">
        <f t="shared" si="0"/>
        <v>2.9986307622090371</v>
      </c>
      <c r="BM7" s="18">
        <f t="shared" si="0"/>
        <v>13590.02</v>
      </c>
      <c r="BN7" s="18">
        <f t="shared" si="0"/>
        <v>23712.209200000001</v>
      </c>
      <c r="BO7" s="18">
        <f t="shared" si="0"/>
        <v>23712.209200000001</v>
      </c>
      <c r="BP7" s="18">
        <f t="shared" si="0"/>
        <v>13500</v>
      </c>
      <c r="BQ7" s="18">
        <f t="shared" si="0"/>
        <v>10572</v>
      </c>
      <c r="BR7" s="18">
        <f t="shared" si="0"/>
        <v>13500</v>
      </c>
      <c r="BS7" s="18">
        <f t="shared" si="0"/>
        <v>17</v>
      </c>
      <c r="BT7" s="18">
        <f t="shared" ref="BT7:BZ7" si="1">SUM(BT5:BT6)</f>
        <v>6.5781999999999998</v>
      </c>
      <c r="BU7" s="18">
        <f t="shared" si="1"/>
        <v>17</v>
      </c>
      <c r="BV7" s="18">
        <f t="shared" si="1"/>
        <v>50</v>
      </c>
      <c r="BW7" s="18">
        <f t="shared" si="1"/>
        <v>74.993200000000002</v>
      </c>
      <c r="BX7" s="18">
        <f t="shared" si="1"/>
        <v>74.993200000000002</v>
      </c>
      <c r="BY7" s="18">
        <f t="shared" si="1"/>
        <v>33</v>
      </c>
      <c r="BZ7" s="18">
        <f t="shared" si="1"/>
        <v>68.414900000000003</v>
      </c>
      <c r="CA7" s="18">
        <f t="shared" ref="CA7" si="2">SUM(CA5:CA6)</f>
        <v>68.414900000000003</v>
      </c>
    </row>
    <row r="8" spans="1:79" x14ac:dyDescent="0.25">
      <c r="B8" s="118"/>
      <c r="H8" s="18">
        <f t="shared" ref="H8:BS8" si="3">COUNT(H5:H6)</f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1</v>
      </c>
      <c r="O8" s="18">
        <f t="shared" si="3"/>
        <v>0</v>
      </c>
      <c r="P8" s="18">
        <f t="shared" si="3"/>
        <v>1</v>
      </c>
      <c r="Q8" s="18">
        <f t="shared" si="3"/>
        <v>1</v>
      </c>
      <c r="R8" s="18">
        <f t="shared" si="3"/>
        <v>0</v>
      </c>
      <c r="S8" s="18">
        <f t="shared" si="3"/>
        <v>1</v>
      </c>
      <c r="T8" s="18">
        <f t="shared" si="3"/>
        <v>0</v>
      </c>
      <c r="U8" s="18">
        <f t="shared" si="3"/>
        <v>0</v>
      </c>
      <c r="V8" s="18">
        <f t="shared" si="3"/>
        <v>0</v>
      </c>
      <c r="W8" s="18">
        <f t="shared" si="3"/>
        <v>0</v>
      </c>
      <c r="X8" s="18">
        <f t="shared" si="3"/>
        <v>0</v>
      </c>
      <c r="Y8" s="18">
        <f t="shared" si="3"/>
        <v>0</v>
      </c>
      <c r="Z8" s="18">
        <f t="shared" si="3"/>
        <v>0</v>
      </c>
      <c r="AA8" s="18">
        <f t="shared" si="3"/>
        <v>0</v>
      </c>
      <c r="AB8" s="18">
        <f t="shared" si="3"/>
        <v>0</v>
      </c>
      <c r="AC8" s="18">
        <f t="shared" si="3"/>
        <v>1</v>
      </c>
      <c r="AD8" s="18">
        <f t="shared" si="3"/>
        <v>0</v>
      </c>
      <c r="AE8" s="18">
        <f t="shared" si="3"/>
        <v>1</v>
      </c>
      <c r="AF8" s="18">
        <f t="shared" si="3"/>
        <v>1</v>
      </c>
      <c r="AG8" s="18">
        <f t="shared" si="3"/>
        <v>0</v>
      </c>
      <c r="AH8" s="18">
        <f t="shared" si="3"/>
        <v>1</v>
      </c>
      <c r="AI8" s="18">
        <f t="shared" si="3"/>
        <v>1</v>
      </c>
      <c r="AJ8" s="18">
        <f t="shared" si="3"/>
        <v>0</v>
      </c>
      <c r="AK8" s="18">
        <f t="shared" si="3"/>
        <v>1</v>
      </c>
      <c r="AL8" s="18">
        <f t="shared" si="3"/>
        <v>0</v>
      </c>
      <c r="AM8" s="18">
        <f t="shared" si="3"/>
        <v>0</v>
      </c>
      <c r="AN8" s="18">
        <f t="shared" si="3"/>
        <v>0</v>
      </c>
      <c r="AO8" s="18">
        <f t="shared" si="3"/>
        <v>0</v>
      </c>
      <c r="AP8" s="18">
        <f t="shared" si="3"/>
        <v>0</v>
      </c>
      <c r="AQ8" s="18">
        <f t="shared" si="3"/>
        <v>0</v>
      </c>
      <c r="AR8" s="18">
        <f t="shared" si="3"/>
        <v>0</v>
      </c>
      <c r="AS8" s="18">
        <f t="shared" si="3"/>
        <v>0</v>
      </c>
      <c r="AT8" s="18">
        <f t="shared" si="3"/>
        <v>0</v>
      </c>
      <c r="AU8" s="18">
        <f t="shared" si="3"/>
        <v>0</v>
      </c>
      <c r="AV8" s="18">
        <f t="shared" si="3"/>
        <v>0</v>
      </c>
      <c r="AW8" s="18">
        <f t="shared" si="3"/>
        <v>0</v>
      </c>
      <c r="AX8" s="18">
        <f t="shared" si="3"/>
        <v>1</v>
      </c>
      <c r="AY8" s="18">
        <f t="shared" si="3"/>
        <v>0</v>
      </c>
      <c r="AZ8" s="18">
        <f t="shared" si="3"/>
        <v>1</v>
      </c>
      <c r="BA8" s="18">
        <f t="shared" si="3"/>
        <v>1</v>
      </c>
      <c r="BB8" s="18">
        <f t="shared" si="3"/>
        <v>0</v>
      </c>
      <c r="BC8" s="18">
        <f t="shared" si="3"/>
        <v>1</v>
      </c>
      <c r="BD8" s="18">
        <f t="shared" si="3"/>
        <v>1</v>
      </c>
      <c r="BE8" s="18">
        <f t="shared" si="3"/>
        <v>0</v>
      </c>
      <c r="BF8" s="18">
        <f t="shared" si="3"/>
        <v>1</v>
      </c>
      <c r="BG8" s="18">
        <f t="shared" si="3"/>
        <v>1</v>
      </c>
      <c r="BH8" s="18">
        <f t="shared" si="3"/>
        <v>0</v>
      </c>
      <c r="BI8" s="18">
        <f t="shared" si="3"/>
        <v>1</v>
      </c>
      <c r="BJ8" s="18">
        <f t="shared" si="3"/>
        <v>1</v>
      </c>
      <c r="BK8" s="18">
        <f t="shared" si="3"/>
        <v>0</v>
      </c>
      <c r="BL8" s="18">
        <f t="shared" si="3"/>
        <v>1</v>
      </c>
      <c r="BM8" s="18">
        <f t="shared" si="3"/>
        <v>1</v>
      </c>
      <c r="BN8" s="18">
        <f t="shared" si="3"/>
        <v>1</v>
      </c>
      <c r="BO8" s="18">
        <f t="shared" si="3"/>
        <v>1</v>
      </c>
      <c r="BP8" s="18">
        <f t="shared" si="3"/>
        <v>1</v>
      </c>
      <c r="BQ8" s="18">
        <f t="shared" si="3"/>
        <v>1</v>
      </c>
      <c r="BR8" s="18">
        <f t="shared" si="3"/>
        <v>1</v>
      </c>
      <c r="BS8" s="18">
        <f t="shared" si="3"/>
        <v>1</v>
      </c>
      <c r="BT8" s="18">
        <f t="shared" ref="BT8:BZ8" si="4">COUNT(BT5:BT6)</f>
        <v>1</v>
      </c>
      <c r="BU8" s="18">
        <f t="shared" si="4"/>
        <v>1</v>
      </c>
      <c r="BV8" s="18">
        <f t="shared" si="4"/>
        <v>1</v>
      </c>
      <c r="BW8" s="18">
        <f t="shared" si="4"/>
        <v>1</v>
      </c>
      <c r="BX8" s="18">
        <f t="shared" si="4"/>
        <v>1</v>
      </c>
      <c r="BY8" s="18">
        <f t="shared" si="4"/>
        <v>1</v>
      </c>
      <c r="BZ8" s="18">
        <f t="shared" si="4"/>
        <v>1</v>
      </c>
      <c r="CA8" s="18">
        <f t="shared" ref="CA8" si="5">COUNT(CA5:CA6)</f>
        <v>1</v>
      </c>
    </row>
  </sheetData>
  <mergeCells count="79">
    <mergeCell ref="BY1:BZ1"/>
    <mergeCell ref="BP2:BQ2"/>
    <mergeCell ref="BS2:BT2"/>
    <mergeCell ref="BV2:BW2"/>
    <mergeCell ref="BY2:BZ2"/>
    <mergeCell ref="BP1:BQ1"/>
    <mergeCell ref="BS1:BT1"/>
    <mergeCell ref="BV1:BW1"/>
    <mergeCell ref="BP3:BQ3"/>
    <mergeCell ref="BS3:BT3"/>
    <mergeCell ref="BV3:BW3"/>
    <mergeCell ref="BY3:BZ3"/>
    <mergeCell ref="BG3:BH3"/>
    <mergeCell ref="BJ3:BK3"/>
    <mergeCell ref="BM3:BN3"/>
    <mergeCell ref="BG2:BH2"/>
    <mergeCell ref="BJ2:BK2"/>
    <mergeCell ref="BM2:BN2"/>
    <mergeCell ref="AL3:AM3"/>
    <mergeCell ref="AO3:AP3"/>
    <mergeCell ref="AR3:AS3"/>
    <mergeCell ref="AU3:AV3"/>
    <mergeCell ref="AX3:AY3"/>
    <mergeCell ref="BA3:BB3"/>
    <mergeCell ref="BD3:BE3"/>
    <mergeCell ref="BG1:BH1"/>
    <mergeCell ref="BJ1:BK1"/>
    <mergeCell ref="BM1:BN1"/>
    <mergeCell ref="AL2:AM2"/>
    <mergeCell ref="AO2:AP2"/>
    <mergeCell ref="AR2:AS2"/>
    <mergeCell ref="AU2:AV2"/>
    <mergeCell ref="AX2:AY2"/>
    <mergeCell ref="BA2:BB2"/>
    <mergeCell ref="BD2:BE2"/>
    <mergeCell ref="AO1:AP1"/>
    <mergeCell ref="AR1:AS1"/>
    <mergeCell ref="AU1:AV1"/>
    <mergeCell ref="AX1:AY1"/>
    <mergeCell ref="BA1:BB1"/>
    <mergeCell ref="BD1:BE1"/>
    <mergeCell ref="AL1:AM1"/>
    <mergeCell ref="W3:X3"/>
    <mergeCell ref="Z3:AA3"/>
    <mergeCell ref="AC3:AD3"/>
    <mergeCell ref="AF3:AG3"/>
    <mergeCell ref="AI3:AJ3"/>
    <mergeCell ref="W2:X2"/>
    <mergeCell ref="Z2:AA2"/>
    <mergeCell ref="AC2:AD2"/>
    <mergeCell ref="AF2:AG2"/>
    <mergeCell ref="AI2:AJ2"/>
    <mergeCell ref="W1:X1"/>
    <mergeCell ref="Z1:AA1"/>
    <mergeCell ref="AC1:AD1"/>
    <mergeCell ref="AF1:AG1"/>
    <mergeCell ref="AI1:AJ1"/>
    <mergeCell ref="T2:U2"/>
    <mergeCell ref="H3:I3"/>
    <mergeCell ref="K3:L3"/>
    <mergeCell ref="N3:O3"/>
    <mergeCell ref="Q3:R3"/>
    <mergeCell ref="T3:U3"/>
    <mergeCell ref="T1:U1"/>
    <mergeCell ref="A1:A4"/>
    <mergeCell ref="B1:B4"/>
    <mergeCell ref="C1:C4"/>
    <mergeCell ref="D1:D4"/>
    <mergeCell ref="E1:E4"/>
    <mergeCell ref="F1:F4"/>
    <mergeCell ref="G1:G4"/>
    <mergeCell ref="H1:I1"/>
    <mergeCell ref="K1:L1"/>
    <mergeCell ref="N1:O1"/>
    <mergeCell ref="Q1:R1"/>
    <mergeCell ref="H2:I2"/>
    <mergeCell ref="K2:L2"/>
    <mergeCell ref="N2:O2"/>
    <mergeCell ref="Q2:R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V4" sqref="V4"/>
    </sheetView>
  </sheetViews>
  <sheetFormatPr defaultRowHeight="15" x14ac:dyDescent="0.25"/>
  <cols>
    <col min="1" max="1" width="10.85546875" bestFit="1" customWidth="1"/>
  </cols>
  <sheetData>
    <row r="1" spans="1:22" ht="23.25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11" t="s">
        <v>146</v>
      </c>
      <c r="I1" s="1212"/>
      <c r="J1" s="134"/>
      <c r="K1" s="1211" t="s">
        <v>148</v>
      </c>
      <c r="L1" s="1212"/>
      <c r="M1" s="134"/>
      <c r="N1" s="1211" t="s">
        <v>150</v>
      </c>
      <c r="O1" s="1212"/>
      <c r="P1" s="134"/>
      <c r="Q1" s="1211" t="s">
        <v>144</v>
      </c>
      <c r="R1" s="1212"/>
      <c r="S1" s="134"/>
      <c r="T1" s="1211" t="s">
        <v>152</v>
      </c>
      <c r="U1" s="1212"/>
    </row>
    <row r="2" spans="1:22" x14ac:dyDescent="0.25">
      <c r="A2" s="1203"/>
      <c r="B2" s="1203"/>
      <c r="C2" s="1203"/>
      <c r="D2" s="1203"/>
      <c r="E2" s="1203"/>
      <c r="F2" s="1203"/>
      <c r="G2" s="1201"/>
      <c r="H2" s="1209" t="s">
        <v>396</v>
      </c>
      <c r="I2" s="1210"/>
      <c r="J2" s="135"/>
      <c r="K2" s="1209" t="s">
        <v>397</v>
      </c>
      <c r="L2" s="1210"/>
      <c r="M2" s="135"/>
      <c r="N2" s="1209" t="s">
        <v>400</v>
      </c>
      <c r="O2" s="1210"/>
      <c r="P2" s="135"/>
      <c r="Q2" s="1209" t="s">
        <v>401</v>
      </c>
      <c r="R2" s="1210"/>
      <c r="S2" s="135"/>
      <c r="T2" s="1209" t="s">
        <v>402</v>
      </c>
      <c r="U2" s="1210"/>
    </row>
    <row r="3" spans="1:22" x14ac:dyDescent="0.25">
      <c r="A3" s="1203"/>
      <c r="B3" s="1203"/>
      <c r="C3" s="1203"/>
      <c r="D3" s="1203"/>
      <c r="E3" s="1203"/>
      <c r="F3" s="1203"/>
      <c r="G3" s="1201"/>
      <c r="H3" s="1209" t="s">
        <v>585</v>
      </c>
      <c r="I3" s="1210"/>
      <c r="J3" s="135"/>
      <c r="K3" s="1209" t="s">
        <v>585</v>
      </c>
      <c r="L3" s="1210"/>
      <c r="M3" s="135"/>
      <c r="N3" s="1209" t="s">
        <v>585</v>
      </c>
      <c r="O3" s="1210"/>
      <c r="P3" s="135"/>
      <c r="Q3" s="1209" t="s">
        <v>585</v>
      </c>
      <c r="R3" s="1210"/>
      <c r="S3" s="135"/>
      <c r="T3" s="1209" t="s">
        <v>585</v>
      </c>
      <c r="U3" s="1210"/>
    </row>
    <row r="4" spans="1:22" ht="25.5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</row>
    <row r="5" spans="1:22" ht="51" x14ac:dyDescent="0.25">
      <c r="A5" s="120" t="s">
        <v>1107</v>
      </c>
      <c r="B5" s="120" t="s">
        <v>1114</v>
      </c>
      <c r="C5" s="120" t="s">
        <v>1112</v>
      </c>
      <c r="D5" s="120" t="s">
        <v>1113</v>
      </c>
      <c r="E5" s="120" t="s">
        <v>1095</v>
      </c>
      <c r="F5" s="120" t="s">
        <v>1111</v>
      </c>
      <c r="G5" s="119">
        <v>43465</v>
      </c>
      <c r="H5" s="18">
        <v>1448.3</v>
      </c>
      <c r="I5" s="18">
        <v>993.41150000000005</v>
      </c>
      <c r="J5" s="18">
        <f>IF(H5="","",IF($F5="riadne ukončený",I5,IF(I5&gt;=H5,I5,IF(($G5-J$4)&gt;0,(H5/($G5-J$4+365)*365),MAX(H5:I5)))))</f>
        <v>1448.3</v>
      </c>
      <c r="K5" s="18">
        <v>800</v>
      </c>
      <c r="L5" s="18">
        <v>719</v>
      </c>
      <c r="M5" s="18">
        <f>IF(K5="","",IF($F5="riadne ukončený",L5,IF(L5&gt;=K5,L5,IF(($G5-M$4)&gt;0,(K5/($G5-M$4+365)*365),MAX(K5:L5)))))</f>
        <v>800</v>
      </c>
      <c r="N5" s="18">
        <v>2</v>
      </c>
      <c r="O5" s="18">
        <v>0.45590000000000003</v>
      </c>
      <c r="P5" s="18">
        <f>IF(N5="","",IF($F5="riadne ukončený",O5,IF(O5&gt;=N5,O5,IF(($G5-P$4)&gt;0,(N5/($G5-P$4+365)*365),MAX(N5:O5)))))</f>
        <v>2</v>
      </c>
      <c r="Q5" s="18">
        <v>5</v>
      </c>
      <c r="R5" s="18">
        <v>3.7764000000000002</v>
      </c>
      <c r="S5" s="18">
        <f>IF(Q5="","",IF($F5="riadne ukončený",R5,IF(R5&gt;=Q5,R5,IF(($G5-S$4)&gt;0,(Q5/($G5-S$4+365)*365),MAX(Q5:R5)))))</f>
        <v>5</v>
      </c>
      <c r="T5" s="18">
        <v>3</v>
      </c>
      <c r="U5" s="18">
        <v>3.3205</v>
      </c>
      <c r="V5" s="18">
        <f>IF(T5="","",IF($F5="riadne ukončený",U5,IF(U5&gt;=T5,U5,IF(($G5-V$4)&gt;0,(T5/($G5-V$4+365)*365),MAX(T5:U5)))))</f>
        <v>3.3205</v>
      </c>
    </row>
    <row r="6" spans="1:22" x14ac:dyDescent="0.25">
      <c r="B6" s="118"/>
      <c r="H6" s="18">
        <f t="shared" ref="H6:U6" si="0">SUM(H5:H5)</f>
        <v>1448.3</v>
      </c>
      <c r="I6" s="18">
        <f t="shared" si="0"/>
        <v>993.41150000000005</v>
      </c>
      <c r="J6" s="18">
        <f t="shared" si="0"/>
        <v>1448.3</v>
      </c>
      <c r="K6" s="18">
        <f t="shared" si="0"/>
        <v>800</v>
      </c>
      <c r="L6" s="18">
        <f t="shared" si="0"/>
        <v>719</v>
      </c>
      <c r="M6" s="18">
        <f t="shared" si="0"/>
        <v>800</v>
      </c>
      <c r="N6" s="18">
        <f t="shared" si="0"/>
        <v>2</v>
      </c>
      <c r="O6" s="18">
        <f t="shared" si="0"/>
        <v>0.45590000000000003</v>
      </c>
      <c r="P6" s="18">
        <f t="shared" si="0"/>
        <v>2</v>
      </c>
      <c r="Q6" s="18">
        <f t="shared" si="0"/>
        <v>5</v>
      </c>
      <c r="R6" s="18">
        <f t="shared" si="0"/>
        <v>3.7764000000000002</v>
      </c>
      <c r="S6" s="18">
        <f t="shared" si="0"/>
        <v>5</v>
      </c>
      <c r="T6" s="18">
        <f t="shared" si="0"/>
        <v>3</v>
      </c>
      <c r="U6" s="18">
        <f t="shared" si="0"/>
        <v>3.3205</v>
      </c>
      <c r="V6" s="18">
        <f t="shared" ref="V6" si="1">SUM(V5:V5)</f>
        <v>3.3205</v>
      </c>
    </row>
    <row r="7" spans="1:22" x14ac:dyDescent="0.25">
      <c r="B7" s="118"/>
      <c r="H7" s="18">
        <f t="shared" ref="H7:U7" si="2">COUNT(H5:H5)</f>
        <v>1</v>
      </c>
      <c r="I7" s="18">
        <f t="shared" si="2"/>
        <v>1</v>
      </c>
      <c r="J7" s="18">
        <f t="shared" si="2"/>
        <v>1</v>
      </c>
      <c r="K7" s="18">
        <f t="shared" si="2"/>
        <v>1</v>
      </c>
      <c r="L7" s="18">
        <f t="shared" si="2"/>
        <v>1</v>
      </c>
      <c r="M7" s="18">
        <f t="shared" si="2"/>
        <v>1</v>
      </c>
      <c r="N7" s="18">
        <f t="shared" si="2"/>
        <v>1</v>
      </c>
      <c r="O7" s="18">
        <f t="shared" si="2"/>
        <v>1</v>
      </c>
      <c r="P7" s="18">
        <f t="shared" si="2"/>
        <v>1</v>
      </c>
      <c r="Q7" s="18">
        <f t="shared" si="2"/>
        <v>1</v>
      </c>
      <c r="R7" s="18">
        <f t="shared" si="2"/>
        <v>1</v>
      </c>
      <c r="S7" s="18">
        <f t="shared" si="2"/>
        <v>1</v>
      </c>
      <c r="T7" s="18">
        <f t="shared" si="2"/>
        <v>1</v>
      </c>
      <c r="U7" s="18">
        <f t="shared" si="2"/>
        <v>1</v>
      </c>
      <c r="V7" s="18">
        <f t="shared" ref="V7" si="3">COUNT(V5:V5)</f>
        <v>1</v>
      </c>
    </row>
  </sheetData>
  <mergeCells count="22">
    <mergeCell ref="N1:O1"/>
    <mergeCell ref="Q1:R1"/>
    <mergeCell ref="T1:U1"/>
    <mergeCell ref="G1:G4"/>
    <mergeCell ref="H1:I1"/>
    <mergeCell ref="K1:L1"/>
    <mergeCell ref="T2:U2"/>
    <mergeCell ref="H2:I2"/>
    <mergeCell ref="K2:L2"/>
    <mergeCell ref="N2:O2"/>
    <mergeCell ref="Q2:R2"/>
    <mergeCell ref="N3:O3"/>
    <mergeCell ref="Q3:R3"/>
    <mergeCell ref="T3:U3"/>
    <mergeCell ref="K3:L3"/>
    <mergeCell ref="H3:I3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"/>
  <sheetViews>
    <sheetView topLeftCell="AL1" workbookViewId="0">
      <selection activeCell="BL4" sqref="BL4"/>
    </sheetView>
  </sheetViews>
  <sheetFormatPr defaultRowHeight="15" x14ac:dyDescent="0.25"/>
  <cols>
    <col min="1" max="1" width="11.140625" customWidth="1"/>
    <col min="8" max="63" width="9.7109375" customWidth="1"/>
  </cols>
  <sheetData>
    <row r="1" spans="1:64" ht="39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11" t="s">
        <v>156</v>
      </c>
      <c r="I1" s="1212"/>
      <c r="J1" s="134"/>
      <c r="K1" s="1211" t="s">
        <v>391</v>
      </c>
      <c r="L1" s="1212"/>
      <c r="M1" s="134"/>
      <c r="N1" s="1211" t="s">
        <v>393</v>
      </c>
      <c r="O1" s="1212"/>
      <c r="P1" s="134"/>
      <c r="Q1" s="1211" t="s">
        <v>146</v>
      </c>
      <c r="R1" s="1212"/>
      <c r="S1" s="134"/>
      <c r="T1" s="1211" t="s">
        <v>154</v>
      </c>
      <c r="U1" s="1212"/>
      <c r="V1" s="134"/>
      <c r="W1" s="1211" t="s">
        <v>160</v>
      </c>
      <c r="X1" s="1212"/>
      <c r="Y1" s="134"/>
      <c r="Z1" s="1211" t="s">
        <v>399</v>
      </c>
      <c r="AA1" s="1212"/>
      <c r="AB1" s="134"/>
      <c r="AC1" s="1211" t="s">
        <v>407</v>
      </c>
      <c r="AD1" s="1212"/>
      <c r="AE1" s="134"/>
      <c r="AF1" s="1211" t="s">
        <v>176</v>
      </c>
      <c r="AG1" s="1212"/>
      <c r="AH1" s="134"/>
      <c r="AI1" s="1211" t="s">
        <v>444</v>
      </c>
      <c r="AJ1" s="1212"/>
      <c r="AK1" s="134"/>
      <c r="AL1" s="1211" t="s">
        <v>158</v>
      </c>
      <c r="AM1" s="1212"/>
      <c r="AN1" s="134"/>
      <c r="AO1" s="1211" t="s">
        <v>411</v>
      </c>
      <c r="AP1" s="1212"/>
      <c r="AQ1" s="134"/>
      <c r="AR1" s="1211" t="s">
        <v>162</v>
      </c>
      <c r="AS1" s="1212"/>
      <c r="AT1" s="134"/>
      <c r="AU1" s="1211" t="s">
        <v>414</v>
      </c>
      <c r="AV1" s="1212"/>
      <c r="AW1" s="134"/>
      <c r="AX1" s="1211" t="s">
        <v>416</v>
      </c>
      <c r="AY1" s="1212"/>
      <c r="AZ1" s="134"/>
      <c r="BA1" s="1211" t="s">
        <v>164</v>
      </c>
      <c r="BB1" s="1212"/>
      <c r="BC1" s="134"/>
      <c r="BD1" s="1211" t="s">
        <v>150</v>
      </c>
      <c r="BE1" s="1212"/>
      <c r="BF1" s="134"/>
      <c r="BG1" s="1211" t="s">
        <v>144</v>
      </c>
      <c r="BH1" s="1212"/>
      <c r="BI1" s="134"/>
      <c r="BJ1" s="1211" t="s">
        <v>152</v>
      </c>
      <c r="BK1" s="1212"/>
    </row>
    <row r="2" spans="1:64" x14ac:dyDescent="0.25">
      <c r="A2" s="1203"/>
      <c r="B2" s="1203"/>
      <c r="C2" s="1203"/>
      <c r="D2" s="1203"/>
      <c r="E2" s="1203"/>
      <c r="F2" s="1203"/>
      <c r="G2" s="1201"/>
      <c r="H2" s="1209" t="s">
        <v>403</v>
      </c>
      <c r="I2" s="1210"/>
      <c r="J2" s="135"/>
      <c r="K2" s="1209" t="s">
        <v>390</v>
      </c>
      <c r="L2" s="1210"/>
      <c r="M2" s="135"/>
      <c r="N2" s="1209" t="s">
        <v>392</v>
      </c>
      <c r="O2" s="1210"/>
      <c r="P2" s="135"/>
      <c r="Q2" s="1209" t="s">
        <v>396</v>
      </c>
      <c r="R2" s="1210"/>
      <c r="S2" s="135"/>
      <c r="T2" s="1209" t="s">
        <v>404</v>
      </c>
      <c r="U2" s="1210"/>
      <c r="V2" s="135"/>
      <c r="W2" s="1209" t="s">
        <v>405</v>
      </c>
      <c r="X2" s="1210"/>
      <c r="Y2" s="135"/>
      <c r="Z2" s="1209" t="s">
        <v>398</v>
      </c>
      <c r="AA2" s="1210"/>
      <c r="AB2" s="135"/>
      <c r="AC2" s="1209" t="s">
        <v>406</v>
      </c>
      <c r="AD2" s="1210"/>
      <c r="AE2" s="135"/>
      <c r="AF2" s="1209" t="s">
        <v>408</v>
      </c>
      <c r="AG2" s="1210"/>
      <c r="AH2" s="135"/>
      <c r="AI2" s="1209" t="s">
        <v>443</v>
      </c>
      <c r="AJ2" s="1210"/>
      <c r="AK2" s="135"/>
      <c r="AL2" s="1209" t="s">
        <v>409</v>
      </c>
      <c r="AM2" s="1210"/>
      <c r="AN2" s="135"/>
      <c r="AO2" s="1209" t="s">
        <v>410</v>
      </c>
      <c r="AP2" s="1210"/>
      <c r="AQ2" s="135"/>
      <c r="AR2" s="1209" t="s">
        <v>412</v>
      </c>
      <c r="AS2" s="1210"/>
      <c r="AT2" s="135"/>
      <c r="AU2" s="1209" t="s">
        <v>413</v>
      </c>
      <c r="AV2" s="1210"/>
      <c r="AW2" s="135"/>
      <c r="AX2" s="1209" t="s">
        <v>415</v>
      </c>
      <c r="AY2" s="1210"/>
      <c r="AZ2" s="135"/>
      <c r="BA2" s="1209" t="s">
        <v>417</v>
      </c>
      <c r="BB2" s="1210"/>
      <c r="BC2" s="135"/>
      <c r="BD2" s="1209" t="s">
        <v>400</v>
      </c>
      <c r="BE2" s="1210"/>
      <c r="BF2" s="135"/>
      <c r="BG2" s="1209" t="s">
        <v>401</v>
      </c>
      <c r="BH2" s="1210"/>
      <c r="BI2" s="135"/>
      <c r="BJ2" s="1209" t="s">
        <v>402</v>
      </c>
      <c r="BK2" s="1210"/>
    </row>
    <row r="3" spans="1:64" x14ac:dyDescent="0.25">
      <c r="A3" s="1203"/>
      <c r="B3" s="1203"/>
      <c r="C3" s="1203"/>
      <c r="D3" s="1203"/>
      <c r="E3" s="1203"/>
      <c r="F3" s="1203"/>
      <c r="G3" s="1201"/>
      <c r="H3" s="1209" t="s">
        <v>585</v>
      </c>
      <c r="I3" s="1210"/>
      <c r="J3" s="135"/>
      <c r="K3" s="1209" t="s">
        <v>578</v>
      </c>
      <c r="L3" s="1210"/>
      <c r="M3" s="135"/>
      <c r="N3" s="1209" t="s">
        <v>578</v>
      </c>
      <c r="O3" s="1210"/>
      <c r="P3" s="135"/>
      <c r="Q3" s="1209" t="s">
        <v>578</v>
      </c>
      <c r="R3" s="1210"/>
      <c r="S3" s="135"/>
      <c r="T3" s="1209" t="s">
        <v>578</v>
      </c>
      <c r="U3" s="1210"/>
      <c r="V3" s="135"/>
      <c r="W3" s="1209" t="s">
        <v>578</v>
      </c>
      <c r="X3" s="1210"/>
      <c r="Y3" s="135"/>
      <c r="Z3" s="1209" t="s">
        <v>578</v>
      </c>
      <c r="AA3" s="1210"/>
      <c r="AB3" s="135"/>
      <c r="AC3" s="1209" t="s">
        <v>578</v>
      </c>
      <c r="AD3" s="1210"/>
      <c r="AE3" s="135"/>
      <c r="AF3" s="1209" t="s">
        <v>578</v>
      </c>
      <c r="AG3" s="1210"/>
      <c r="AH3" s="135"/>
      <c r="AI3" s="1209" t="s">
        <v>578</v>
      </c>
      <c r="AJ3" s="1210"/>
      <c r="AK3" s="135"/>
      <c r="AL3" s="1209" t="s">
        <v>578</v>
      </c>
      <c r="AM3" s="1210"/>
      <c r="AN3" s="135"/>
      <c r="AO3" s="1209" t="s">
        <v>578</v>
      </c>
      <c r="AP3" s="1210"/>
      <c r="AQ3" s="135"/>
      <c r="AR3" s="1209" t="s">
        <v>578</v>
      </c>
      <c r="AS3" s="1210"/>
      <c r="AT3" s="135"/>
      <c r="AU3" s="1209" t="s">
        <v>578</v>
      </c>
      <c r="AV3" s="1210"/>
      <c r="AW3" s="135"/>
      <c r="AX3" s="1209" t="s">
        <v>578</v>
      </c>
      <c r="AY3" s="1210"/>
      <c r="AZ3" s="135"/>
      <c r="BA3" s="1209" t="s">
        <v>578</v>
      </c>
      <c r="BB3" s="1210"/>
      <c r="BC3" s="135"/>
      <c r="BD3" s="1209" t="s">
        <v>578</v>
      </c>
      <c r="BE3" s="1210"/>
      <c r="BF3" s="135"/>
      <c r="BG3" s="1209" t="s">
        <v>578</v>
      </c>
      <c r="BH3" s="1210"/>
      <c r="BI3" s="135"/>
      <c r="BJ3" s="1209" t="s">
        <v>578</v>
      </c>
      <c r="BK3" s="1210"/>
    </row>
    <row r="4" spans="1:64" ht="25.5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  <c r="BG4" s="16" t="s">
        <v>603</v>
      </c>
      <c r="BH4" s="16" t="s">
        <v>604</v>
      </c>
      <c r="BI4" s="104">
        <v>43465</v>
      </c>
      <c r="BJ4" s="16" t="s">
        <v>603</v>
      </c>
      <c r="BK4" s="16" t="s">
        <v>604</v>
      </c>
      <c r="BL4" s="104">
        <v>43465</v>
      </c>
    </row>
    <row r="5" spans="1:64" s="55" customFormat="1" ht="114.75" x14ac:dyDescent="0.25">
      <c r="A5" s="120" t="s">
        <v>1116</v>
      </c>
      <c r="B5" s="120" t="s">
        <v>1115</v>
      </c>
      <c r="C5" s="18" t="s">
        <v>1110</v>
      </c>
      <c r="D5" s="18" t="s">
        <v>1117</v>
      </c>
      <c r="E5" s="18" t="s">
        <v>1096</v>
      </c>
      <c r="F5" s="18" t="s">
        <v>1111</v>
      </c>
      <c r="G5" s="119">
        <v>45291</v>
      </c>
      <c r="H5" s="18"/>
      <c r="I5" s="18"/>
      <c r="J5" s="18" t="str">
        <f>IF(H5="","",IF($F5="riadne ukončený",I5,IF(I5&gt;=H5,I5,IF(($G5-J$4)&gt;0,(H5/($G5-J$4+365)*365),MAX(H5:I5)))))</f>
        <v/>
      </c>
      <c r="K5" s="18"/>
      <c r="L5" s="18"/>
      <c r="M5" s="18" t="str">
        <f>IF(K5="","",IF($F5="riadne ukončený",L5,IF(L5&gt;=K5,L5,IF(($G5-M$4)&gt;0,(K5/($G5-M$4+365)*365),MAX(K5:L5)))))</f>
        <v/>
      </c>
      <c r="N5" s="18"/>
      <c r="O5" s="18"/>
      <c r="P5" s="18" t="str">
        <f>IF(N5="","",IF($F5="riadne ukončený",O5,IF(O5&gt;=N5,O5,IF(($G5-P$4)&gt;0,(N5/($G5-P$4+365)*365),MAX(N5:O5)))))</f>
        <v/>
      </c>
      <c r="Q5" s="18">
        <v>18984</v>
      </c>
      <c r="R5" s="18"/>
      <c r="S5" s="18">
        <f>IF(Q5="","",IF($F5="riadne ukončený",R5,IF(R5&gt;=Q5,R5,IF(($G5-S$4)&gt;0,(Q5/($G5-S$4+365)*365),MAX(Q5:R5)))))</f>
        <v>3162.5559105431307</v>
      </c>
      <c r="T5" s="18">
        <v>55</v>
      </c>
      <c r="U5" s="18"/>
      <c r="V5" s="18">
        <f>IF(T5="","",IF($F5="riadne ukončený",U5,IF(U5&gt;=T5,U5,IF(($G5-V$4)&gt;0,(T5/($G5-V$4+365)*365),MAX(T5:U5)))))</f>
        <v>9.1624828845276127</v>
      </c>
      <c r="W5" s="18">
        <v>8</v>
      </c>
      <c r="X5" s="18"/>
      <c r="Y5" s="18">
        <f>IF(W5="","",IF($F5="riadne ukončený",X5,IF(X5&gt;=W5,X5,IF(($G5-Y$4)&gt;0,(W5/($G5-Y$4+365)*365),MAX(W5:X5)))))</f>
        <v>1.3327247832040163</v>
      </c>
      <c r="Z5" s="18">
        <v>45</v>
      </c>
      <c r="AA5" s="18"/>
      <c r="AB5" s="18">
        <f>IF(Z5="","",IF($F5="riadne ukončený",AA5,IF(AA5&gt;=Z5,AA5,IF(($G5-AB$4)&gt;0,(Z5/($G5-AB$4+365)*365),MAX(Z5:AA5)))))</f>
        <v>7.4965769055225921</v>
      </c>
      <c r="AC5" s="18"/>
      <c r="AD5" s="18"/>
      <c r="AE5" s="18" t="str">
        <f>IF(AC5="","",IF($F5="riadne ukončený",AD5,IF(AD5&gt;=AC5,AD5,IF(($G5-AE$4)&gt;0,(AC5/($G5-AE$4+365)*365),MAX(AC5:AD5)))))</f>
        <v/>
      </c>
      <c r="AF5" s="18"/>
      <c r="AG5" s="18"/>
      <c r="AH5" s="18" t="str">
        <f>IF(AF5="","",IF($F5="riadne ukončený",AG5,IF(AG5&gt;=AF5,AG5,IF(($G5-AH$4)&gt;0,(AF5/($G5-AH$4+365)*365),MAX(AF5:AG5)))))</f>
        <v/>
      </c>
      <c r="AI5" s="18"/>
      <c r="AJ5" s="18"/>
      <c r="AK5" s="18" t="str">
        <f>IF(AI5="","",IF($F5="riadne ukončený",AJ5,IF(AJ5&gt;=AI5,AJ5,IF(($G5-AK$4)&gt;0,(AI5/($G5-AK$4+365)*365),MAX(AI5:AJ5)))))</f>
        <v/>
      </c>
      <c r="AL5" s="18">
        <v>4</v>
      </c>
      <c r="AM5" s="18"/>
      <c r="AN5" s="18">
        <f>IF(AL5="","",IF($F5="riadne ukončený",AM5,IF(AM5&gt;=AL5,AM5,IF(($G5-AN$4)&gt;0,(AL5/($G5-AN$4+365)*365),MAX(AL5:AM5)))))</f>
        <v>0.66636239160200816</v>
      </c>
      <c r="AO5" s="18"/>
      <c r="AP5" s="18"/>
      <c r="AQ5" s="18" t="str">
        <f>IF(AO5="","",IF($F5="riadne ukončený",AP5,IF(AP5&gt;=AO5,AP5,IF(($G5-AQ$4)&gt;0,(AO5/($G5-AQ$4+365)*365),MAX(AO5:AP5)))))</f>
        <v/>
      </c>
      <c r="AR5" s="18">
        <v>51034</v>
      </c>
      <c r="AS5" s="18"/>
      <c r="AT5" s="18">
        <f>IF(AR5="","",IF($F5="riadne ukončený",AS5,IF(AS5&gt;=AR5,AS5,IF(($G5-AT$4)&gt;0,(AR5/($G5-AT$4+365)*365),MAX(AR5:AS5)))))</f>
        <v>8501.7845732542228</v>
      </c>
      <c r="AU5" s="18"/>
      <c r="AV5" s="18"/>
      <c r="AW5" s="18" t="str">
        <f>IF(AU5="","",IF($F5="riadne ukončený",AV5,IF(AV5&gt;=AU5,AV5,IF(($G5-AW$4)&gt;0,(AU5/($G5-AW$4+365)*365),MAX(AU5:AV5)))))</f>
        <v/>
      </c>
      <c r="AX5" s="18"/>
      <c r="AY5" s="18"/>
      <c r="AZ5" s="18" t="str">
        <f>IF(AX5="","",IF($F5="riadne ukončený",AY5,IF(AY5&gt;=AX5,AY5,IF(($G5-AZ$4)&gt;0,(AX5/($G5-AZ$4+365)*365),MAX(AX5:AY5)))))</f>
        <v/>
      </c>
      <c r="BA5" s="18">
        <v>51034</v>
      </c>
      <c r="BB5" s="18"/>
      <c r="BC5" s="18">
        <f>IF(BA5="","",IF($F5="riadne ukončený",BB5,IF(BB5&gt;=BA5,BB5,IF(($G5-BC$4)&gt;0,(BA5/($G5-BC$4+365)*365),MAX(BA5:BB5)))))</f>
        <v>8501.7845732542228</v>
      </c>
      <c r="BD5" s="18">
        <v>4</v>
      </c>
      <c r="BE5" s="18"/>
      <c r="BF5" s="18">
        <f>IF(BD5="","",IF($F5="riadne ukončený",BE5,IF(BE5&gt;=BD5,BE5,IF(($G5-BF$4)&gt;0,(BD5/($G5-BF$4+365)*365),MAX(BD5:BE5)))))</f>
        <v>0.66636239160200816</v>
      </c>
      <c r="BG5" s="18">
        <v>10</v>
      </c>
      <c r="BH5" s="18"/>
      <c r="BI5" s="18">
        <f>IF(BG5="","",IF($F5="riadne ukončený",BH5,IF(BH5&gt;=BG5,BH5,IF(($G5-BI$4)&gt;0,(BG5/($G5-BI$4+365)*365),MAX(BG5:BH5)))))</f>
        <v>1.6659059790050206</v>
      </c>
      <c r="BJ5" s="18">
        <v>6</v>
      </c>
      <c r="BK5" s="18"/>
      <c r="BL5" s="18">
        <f>IF(BJ5="","",IF($F5="riadne ukončený",BK5,IF(BK5&gt;=BJ5,BK5,IF(($G5-BL$4)&gt;0,(BJ5/($G5-BL$4+365)*365),MAX(BJ5:BK5)))))</f>
        <v>0.99954358740301241</v>
      </c>
    </row>
    <row r="6" spans="1:64" x14ac:dyDescent="0.25">
      <c r="B6" s="118"/>
      <c r="H6" s="18">
        <f t="shared" ref="H6:BK6" si="0">SUM(H5:H5)</f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18984</v>
      </c>
      <c r="R6" s="18">
        <f t="shared" si="0"/>
        <v>0</v>
      </c>
      <c r="S6" s="18">
        <f t="shared" si="0"/>
        <v>3162.5559105431307</v>
      </c>
      <c r="T6" s="18">
        <f t="shared" si="0"/>
        <v>55</v>
      </c>
      <c r="U6" s="18">
        <f t="shared" si="0"/>
        <v>0</v>
      </c>
      <c r="V6" s="18">
        <f t="shared" si="0"/>
        <v>9.1624828845276127</v>
      </c>
      <c r="W6" s="18">
        <f t="shared" si="0"/>
        <v>8</v>
      </c>
      <c r="X6" s="18">
        <f t="shared" si="0"/>
        <v>0</v>
      </c>
      <c r="Y6" s="18">
        <f t="shared" si="0"/>
        <v>1.3327247832040163</v>
      </c>
      <c r="Z6" s="18">
        <f t="shared" si="0"/>
        <v>45</v>
      </c>
      <c r="AA6" s="18">
        <f t="shared" si="0"/>
        <v>0</v>
      </c>
      <c r="AB6" s="18">
        <f t="shared" si="0"/>
        <v>7.4965769055225921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0</v>
      </c>
      <c r="AG6" s="18">
        <f t="shared" si="0"/>
        <v>0</v>
      </c>
      <c r="AH6" s="18">
        <f t="shared" si="0"/>
        <v>0</v>
      </c>
      <c r="AI6" s="18">
        <f t="shared" si="0"/>
        <v>0</v>
      </c>
      <c r="AJ6" s="18">
        <f t="shared" si="0"/>
        <v>0</v>
      </c>
      <c r="AK6" s="18">
        <f t="shared" si="0"/>
        <v>0</v>
      </c>
      <c r="AL6" s="18">
        <f t="shared" si="0"/>
        <v>4</v>
      </c>
      <c r="AM6" s="18">
        <f t="shared" si="0"/>
        <v>0</v>
      </c>
      <c r="AN6" s="18">
        <f t="shared" si="0"/>
        <v>0.66636239160200816</v>
      </c>
      <c r="AO6" s="18">
        <f t="shared" si="0"/>
        <v>0</v>
      </c>
      <c r="AP6" s="18">
        <f t="shared" si="0"/>
        <v>0</v>
      </c>
      <c r="AQ6" s="18">
        <f t="shared" si="0"/>
        <v>0</v>
      </c>
      <c r="AR6" s="18">
        <f t="shared" si="0"/>
        <v>51034</v>
      </c>
      <c r="AS6" s="18">
        <f t="shared" si="0"/>
        <v>0</v>
      </c>
      <c r="AT6" s="18">
        <f t="shared" si="0"/>
        <v>8501.7845732542228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51034</v>
      </c>
      <c r="BB6" s="18">
        <f t="shared" si="0"/>
        <v>0</v>
      </c>
      <c r="BC6" s="18">
        <f t="shared" si="0"/>
        <v>8501.7845732542228</v>
      </c>
      <c r="BD6" s="18">
        <f t="shared" si="0"/>
        <v>4</v>
      </c>
      <c r="BE6" s="18">
        <f t="shared" si="0"/>
        <v>0</v>
      </c>
      <c r="BF6" s="18">
        <f t="shared" si="0"/>
        <v>0.66636239160200816</v>
      </c>
      <c r="BG6" s="18">
        <f t="shared" si="0"/>
        <v>10</v>
      </c>
      <c r="BH6" s="18">
        <f t="shared" si="0"/>
        <v>0</v>
      </c>
      <c r="BI6" s="18">
        <f t="shared" si="0"/>
        <v>1.6659059790050206</v>
      </c>
      <c r="BJ6" s="18">
        <f t="shared" si="0"/>
        <v>6</v>
      </c>
      <c r="BK6" s="18">
        <f t="shared" si="0"/>
        <v>0</v>
      </c>
      <c r="BL6" s="18">
        <f t="shared" ref="BL6" si="1">SUM(BL5:BL5)</f>
        <v>0.99954358740301241</v>
      </c>
    </row>
    <row r="7" spans="1:64" x14ac:dyDescent="0.25">
      <c r="B7" s="118"/>
      <c r="H7" s="18">
        <f t="shared" ref="H7:BK7" si="2">COUNT(H5:H5)</f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1</v>
      </c>
      <c r="R7" s="18">
        <f t="shared" si="2"/>
        <v>0</v>
      </c>
      <c r="S7" s="18">
        <f t="shared" si="2"/>
        <v>1</v>
      </c>
      <c r="T7" s="18">
        <f t="shared" si="2"/>
        <v>1</v>
      </c>
      <c r="U7" s="18">
        <f t="shared" si="2"/>
        <v>0</v>
      </c>
      <c r="V7" s="18">
        <f t="shared" si="2"/>
        <v>1</v>
      </c>
      <c r="W7" s="18">
        <f t="shared" si="2"/>
        <v>1</v>
      </c>
      <c r="X7" s="18">
        <f t="shared" si="2"/>
        <v>0</v>
      </c>
      <c r="Y7" s="18">
        <f t="shared" si="2"/>
        <v>1</v>
      </c>
      <c r="Z7" s="18">
        <f t="shared" si="2"/>
        <v>1</v>
      </c>
      <c r="AA7" s="18">
        <f t="shared" si="2"/>
        <v>0</v>
      </c>
      <c r="AB7" s="18">
        <f t="shared" si="2"/>
        <v>1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1</v>
      </c>
      <c r="AM7" s="18">
        <f t="shared" si="2"/>
        <v>0</v>
      </c>
      <c r="AN7" s="18">
        <f t="shared" si="2"/>
        <v>1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1</v>
      </c>
      <c r="AS7" s="18">
        <f t="shared" si="2"/>
        <v>0</v>
      </c>
      <c r="AT7" s="18">
        <f t="shared" si="2"/>
        <v>1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2"/>
        <v>0</v>
      </c>
      <c r="AY7" s="18">
        <f t="shared" si="2"/>
        <v>0</v>
      </c>
      <c r="AZ7" s="18">
        <f t="shared" si="2"/>
        <v>0</v>
      </c>
      <c r="BA7" s="18">
        <f t="shared" si="2"/>
        <v>1</v>
      </c>
      <c r="BB7" s="18">
        <f t="shared" si="2"/>
        <v>0</v>
      </c>
      <c r="BC7" s="18">
        <f t="shared" si="2"/>
        <v>1</v>
      </c>
      <c r="BD7" s="18">
        <f t="shared" si="2"/>
        <v>1</v>
      </c>
      <c r="BE7" s="18">
        <f t="shared" si="2"/>
        <v>0</v>
      </c>
      <c r="BF7" s="18">
        <f t="shared" si="2"/>
        <v>1</v>
      </c>
      <c r="BG7" s="18">
        <f t="shared" si="2"/>
        <v>1</v>
      </c>
      <c r="BH7" s="18">
        <f t="shared" si="2"/>
        <v>0</v>
      </c>
      <c r="BI7" s="18">
        <f t="shared" si="2"/>
        <v>1</v>
      </c>
      <c r="BJ7" s="18">
        <f t="shared" si="2"/>
        <v>1</v>
      </c>
      <c r="BK7" s="18">
        <f t="shared" si="2"/>
        <v>0</v>
      </c>
      <c r="BL7" s="18">
        <f t="shared" ref="BL7" si="3">COUNT(BL5:BL5)</f>
        <v>1</v>
      </c>
    </row>
  </sheetData>
  <mergeCells count="64">
    <mergeCell ref="BJ1:BK1"/>
    <mergeCell ref="BJ2:BK2"/>
    <mergeCell ref="BJ3:BK3"/>
    <mergeCell ref="AU3:AV3"/>
    <mergeCell ref="AX3:AY3"/>
    <mergeCell ref="BA3:BB3"/>
    <mergeCell ref="BD3:BE3"/>
    <mergeCell ref="BG3:BH3"/>
    <mergeCell ref="BA2:BB2"/>
    <mergeCell ref="BD2:BE2"/>
    <mergeCell ref="BG2:BH2"/>
    <mergeCell ref="AX2:AY2"/>
    <mergeCell ref="BG1:BH1"/>
    <mergeCell ref="BD1:BE1"/>
    <mergeCell ref="AR3:AS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AL3:AM3"/>
    <mergeCell ref="AO3:AP3"/>
    <mergeCell ref="AI2:AJ2"/>
    <mergeCell ref="AL2:AM2"/>
    <mergeCell ref="AO2:AP2"/>
    <mergeCell ref="AR2:AS2"/>
    <mergeCell ref="AU2:AV2"/>
    <mergeCell ref="H2:I2"/>
    <mergeCell ref="K2:L2"/>
    <mergeCell ref="N2:O2"/>
    <mergeCell ref="Q2:R2"/>
    <mergeCell ref="T2:U2"/>
    <mergeCell ref="AO1:AP1"/>
    <mergeCell ref="AR1:AS1"/>
    <mergeCell ref="AU1:AV1"/>
    <mergeCell ref="AX1:AY1"/>
    <mergeCell ref="BA1:BB1"/>
    <mergeCell ref="AL1:AM1"/>
    <mergeCell ref="G1:G4"/>
    <mergeCell ref="H1:I1"/>
    <mergeCell ref="K1:L1"/>
    <mergeCell ref="N1:O1"/>
    <mergeCell ref="Q1:R1"/>
    <mergeCell ref="T1:U1"/>
    <mergeCell ref="W2:X2"/>
    <mergeCell ref="Z2:AA2"/>
    <mergeCell ref="AC2:AD2"/>
    <mergeCell ref="AF2:AG2"/>
    <mergeCell ref="W1:X1"/>
    <mergeCell ref="Z1:AA1"/>
    <mergeCell ref="AC1:AD1"/>
    <mergeCell ref="AF1:AG1"/>
    <mergeCell ref="AI1:AJ1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0"/>
  <sheetViews>
    <sheetView topLeftCell="W1" zoomScale="70" zoomScaleNormal="70" workbookViewId="0">
      <selection activeCell="BF4" sqref="BF4"/>
    </sheetView>
  </sheetViews>
  <sheetFormatPr defaultRowHeight="15" x14ac:dyDescent="0.25"/>
  <cols>
    <col min="1" max="1" width="11.7109375" bestFit="1" customWidth="1"/>
    <col min="2" max="2" width="20.5703125" customWidth="1"/>
    <col min="4" max="4" width="32.42578125" customWidth="1"/>
    <col min="6" max="6" width="14.140625" customWidth="1"/>
    <col min="8" max="8" width="10" bestFit="1" customWidth="1"/>
    <col min="9" max="9" width="10.28515625" bestFit="1" customWidth="1"/>
    <col min="10" max="10" width="10.28515625" customWidth="1"/>
    <col min="11" max="11" width="10" bestFit="1" customWidth="1"/>
    <col min="12" max="12" width="10.28515625" bestFit="1" customWidth="1"/>
    <col min="13" max="13" width="10.28515625" customWidth="1"/>
    <col min="14" max="14" width="10" bestFit="1" customWidth="1"/>
    <col min="15" max="15" width="10.28515625" bestFit="1" customWidth="1"/>
    <col min="16" max="16" width="10.28515625" customWidth="1"/>
    <col min="17" max="17" width="10" bestFit="1" customWidth="1"/>
    <col min="18" max="18" width="10.28515625" bestFit="1" customWidth="1"/>
    <col min="19" max="19" width="10.28515625" customWidth="1"/>
    <col min="20" max="20" width="10" bestFit="1" customWidth="1"/>
    <col min="21" max="21" width="10.28515625" bestFit="1" customWidth="1"/>
    <col min="22" max="22" width="10.28515625" customWidth="1"/>
    <col min="23" max="23" width="10" bestFit="1" customWidth="1"/>
    <col min="24" max="24" width="10.28515625" bestFit="1" customWidth="1"/>
    <col min="25" max="25" width="10.28515625" customWidth="1"/>
    <col min="26" max="26" width="10" bestFit="1" customWidth="1"/>
    <col min="27" max="27" width="10.28515625" bestFit="1" customWidth="1"/>
    <col min="28" max="28" width="10.28515625" customWidth="1"/>
    <col min="29" max="30" width="10.42578125" bestFit="1" customWidth="1"/>
    <col min="31" max="31" width="10.42578125" customWidth="1"/>
    <col min="32" max="32" width="11.7109375" bestFit="1" customWidth="1"/>
    <col min="33" max="33" width="10.28515625" bestFit="1" customWidth="1"/>
    <col min="34" max="34" width="10.28515625" customWidth="1"/>
    <col min="35" max="36" width="11.7109375" bestFit="1" customWidth="1"/>
    <col min="37" max="37" width="11.7109375" customWidth="1"/>
    <col min="38" max="38" width="10" bestFit="1" customWidth="1"/>
    <col min="39" max="39" width="10.28515625" bestFit="1" customWidth="1"/>
    <col min="40" max="40" width="10.28515625" customWidth="1"/>
    <col min="41" max="41" width="10" bestFit="1" customWidth="1"/>
    <col min="42" max="42" width="10.28515625" bestFit="1" customWidth="1"/>
    <col min="43" max="43" width="10.28515625" customWidth="1"/>
    <col min="44" max="44" width="10" bestFit="1" customWidth="1"/>
    <col min="45" max="45" width="10.28515625" bestFit="1" customWidth="1"/>
    <col min="46" max="46" width="10.28515625" customWidth="1"/>
    <col min="47" max="47" width="11.7109375" bestFit="1" customWidth="1"/>
    <col min="48" max="48" width="10.28515625" bestFit="1" customWidth="1"/>
    <col min="49" max="49" width="11.7109375" bestFit="1" customWidth="1"/>
    <col min="50" max="50" width="10" bestFit="1" customWidth="1"/>
    <col min="51" max="51" width="10.28515625" bestFit="1" customWidth="1"/>
    <col min="52" max="52" width="10.28515625" customWidth="1"/>
    <col min="53" max="53" width="10" bestFit="1" customWidth="1"/>
    <col min="54" max="54" width="10.28515625" bestFit="1" customWidth="1"/>
    <col min="55" max="55" width="10.28515625" customWidth="1"/>
    <col min="56" max="56" width="10" bestFit="1" customWidth="1"/>
    <col min="57" max="57" width="10.28515625" bestFit="1" customWidth="1"/>
  </cols>
  <sheetData>
    <row r="1" spans="1:58" ht="51.7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391</v>
      </c>
      <c r="I1" s="1207"/>
      <c r="J1" s="129"/>
      <c r="K1" s="1207" t="s">
        <v>393</v>
      </c>
      <c r="L1" s="1207"/>
      <c r="M1" s="129"/>
      <c r="N1" s="1207" t="s">
        <v>146</v>
      </c>
      <c r="O1" s="1207"/>
      <c r="P1" s="129"/>
      <c r="Q1" s="1207" t="s">
        <v>419</v>
      </c>
      <c r="R1" s="1207"/>
      <c r="S1" s="129"/>
      <c r="T1" s="1207" t="s">
        <v>168</v>
      </c>
      <c r="U1" s="1207"/>
      <c r="V1" s="129"/>
      <c r="W1" s="1207" t="s">
        <v>170</v>
      </c>
      <c r="X1" s="1207"/>
      <c r="Y1" s="129"/>
      <c r="Z1" s="1207" t="s">
        <v>423</v>
      </c>
      <c r="AA1" s="1207"/>
      <c r="AB1" s="129"/>
      <c r="AC1" s="1207" t="s">
        <v>425</v>
      </c>
      <c r="AD1" s="1207"/>
      <c r="AE1" s="129"/>
      <c r="AF1" s="1207" t="s">
        <v>172</v>
      </c>
      <c r="AG1" s="1207"/>
      <c r="AH1" s="129"/>
      <c r="AI1" s="1207" t="s">
        <v>428</v>
      </c>
      <c r="AJ1" s="1207"/>
      <c r="AK1" s="129"/>
      <c r="AL1" s="1207" t="s">
        <v>303</v>
      </c>
      <c r="AM1" s="1207"/>
      <c r="AN1" s="129"/>
      <c r="AO1" s="1207" t="s">
        <v>305</v>
      </c>
      <c r="AP1" s="1207"/>
      <c r="AQ1" s="129"/>
      <c r="AR1" s="1207" t="s">
        <v>309</v>
      </c>
      <c r="AS1" s="1207"/>
      <c r="AT1" s="129"/>
      <c r="AU1" s="1207" t="s">
        <v>166</v>
      </c>
      <c r="AV1" s="1207"/>
      <c r="AW1" s="129"/>
      <c r="AX1" s="1207" t="s">
        <v>150</v>
      </c>
      <c r="AY1" s="1207"/>
      <c r="AZ1" s="129"/>
      <c r="BA1" s="1207" t="s">
        <v>144</v>
      </c>
      <c r="BB1" s="1207"/>
      <c r="BC1" s="129"/>
      <c r="BD1" s="1207" t="s">
        <v>152</v>
      </c>
      <c r="BE1" s="1207"/>
    </row>
    <row r="2" spans="1:58" x14ac:dyDescent="0.25">
      <c r="A2" s="1201"/>
      <c r="B2" s="1201"/>
      <c r="C2" s="1201"/>
      <c r="D2" s="1201"/>
      <c r="E2" s="1201"/>
      <c r="F2" s="1201"/>
      <c r="G2" s="1201"/>
      <c r="H2" s="1208" t="s">
        <v>390</v>
      </c>
      <c r="I2" s="1208"/>
      <c r="J2" s="128"/>
      <c r="K2" s="1208" t="s">
        <v>392</v>
      </c>
      <c r="L2" s="1208"/>
      <c r="M2" s="128"/>
      <c r="N2" s="1208" t="s">
        <v>396</v>
      </c>
      <c r="O2" s="1208"/>
      <c r="P2" s="128"/>
      <c r="Q2" s="1208" t="s">
        <v>418</v>
      </c>
      <c r="R2" s="1208"/>
      <c r="S2" s="128"/>
      <c r="T2" s="1208" t="s">
        <v>420</v>
      </c>
      <c r="U2" s="1208"/>
      <c r="V2" s="128"/>
      <c r="W2" s="1208" t="s">
        <v>421</v>
      </c>
      <c r="X2" s="1208"/>
      <c r="Y2" s="128"/>
      <c r="Z2" s="1208" t="s">
        <v>422</v>
      </c>
      <c r="AA2" s="1208"/>
      <c r="AB2" s="128"/>
      <c r="AC2" s="1208" t="s">
        <v>424</v>
      </c>
      <c r="AD2" s="1208"/>
      <c r="AE2" s="128"/>
      <c r="AF2" s="1208" t="s">
        <v>426</v>
      </c>
      <c r="AG2" s="1208"/>
      <c r="AH2" s="128"/>
      <c r="AI2" s="1208" t="s">
        <v>427</v>
      </c>
      <c r="AJ2" s="1208"/>
      <c r="AK2" s="128"/>
      <c r="AL2" s="1208" t="s">
        <v>302</v>
      </c>
      <c r="AM2" s="1208"/>
      <c r="AN2" s="128"/>
      <c r="AO2" s="1208" t="s">
        <v>304</v>
      </c>
      <c r="AP2" s="1208"/>
      <c r="AQ2" s="128"/>
      <c r="AR2" s="1208" t="s">
        <v>308</v>
      </c>
      <c r="AS2" s="1208"/>
      <c r="AT2" s="128"/>
      <c r="AU2" s="1208" t="s">
        <v>429</v>
      </c>
      <c r="AV2" s="1208"/>
      <c r="AW2" s="128"/>
      <c r="AX2" s="1208" t="s">
        <v>400</v>
      </c>
      <c r="AY2" s="1208"/>
      <c r="AZ2" s="128"/>
      <c r="BA2" s="1208" t="s">
        <v>401</v>
      </c>
      <c r="BB2" s="1208"/>
      <c r="BC2" s="128"/>
      <c r="BD2" s="1208" t="s">
        <v>402</v>
      </c>
      <c r="BE2" s="1208"/>
    </row>
    <row r="3" spans="1:58" x14ac:dyDescent="0.25">
      <c r="A3" s="1201"/>
      <c r="B3" s="1201"/>
      <c r="C3" s="1201"/>
      <c r="D3" s="1201"/>
      <c r="E3" s="1201"/>
      <c r="F3" s="1201"/>
      <c r="G3" s="1201"/>
      <c r="H3" s="1208" t="s">
        <v>565</v>
      </c>
      <c r="I3" s="1208"/>
      <c r="J3" s="128"/>
      <c r="K3" s="1208" t="s">
        <v>565</v>
      </c>
      <c r="L3" s="1208"/>
      <c r="M3" s="128"/>
      <c r="N3" s="1208" t="s">
        <v>565</v>
      </c>
      <c r="O3" s="1208"/>
      <c r="P3" s="128"/>
      <c r="Q3" s="1208" t="s">
        <v>565</v>
      </c>
      <c r="R3" s="1208"/>
      <c r="S3" s="128"/>
      <c r="T3" s="1208" t="s">
        <v>565</v>
      </c>
      <c r="U3" s="1208"/>
      <c r="V3" s="128"/>
      <c r="W3" s="1208" t="s">
        <v>565</v>
      </c>
      <c r="X3" s="1208"/>
      <c r="Y3" s="128"/>
      <c r="Z3" s="1208" t="s">
        <v>565</v>
      </c>
      <c r="AA3" s="1208"/>
      <c r="AB3" s="128"/>
      <c r="AC3" s="1208" t="s">
        <v>565</v>
      </c>
      <c r="AD3" s="1208"/>
      <c r="AE3" s="128"/>
      <c r="AF3" s="1208" t="s">
        <v>565</v>
      </c>
      <c r="AG3" s="1208"/>
      <c r="AH3" s="128"/>
      <c r="AI3" s="1208" t="s">
        <v>565</v>
      </c>
      <c r="AJ3" s="1208"/>
      <c r="AK3" s="128"/>
      <c r="AL3" s="1208" t="s">
        <v>565</v>
      </c>
      <c r="AM3" s="1208"/>
      <c r="AN3" s="128"/>
      <c r="AO3" s="1208" t="s">
        <v>565</v>
      </c>
      <c r="AP3" s="1208"/>
      <c r="AQ3" s="128"/>
      <c r="AR3" s="1208" t="s">
        <v>565</v>
      </c>
      <c r="AS3" s="1208"/>
      <c r="AT3" s="128"/>
      <c r="AU3" s="1208" t="s">
        <v>565</v>
      </c>
      <c r="AV3" s="1208"/>
      <c r="AW3" s="128"/>
      <c r="AX3" s="1208" t="s">
        <v>565</v>
      </c>
      <c r="AY3" s="1208"/>
      <c r="AZ3" s="128"/>
      <c r="BA3" s="1208" t="s">
        <v>565</v>
      </c>
      <c r="BB3" s="1208"/>
      <c r="BC3" s="128"/>
      <c r="BD3" s="1208" t="s">
        <v>565</v>
      </c>
      <c r="BE3" s="1208"/>
    </row>
    <row r="4" spans="1:58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</row>
    <row r="5" spans="1:58" ht="38.25" x14ac:dyDescent="0.25">
      <c r="A5" s="124" t="s">
        <v>1120</v>
      </c>
      <c r="B5" s="124" t="s">
        <v>1468</v>
      </c>
      <c r="C5" s="18" t="s">
        <v>1475</v>
      </c>
      <c r="D5" s="18" t="s">
        <v>1476</v>
      </c>
      <c r="E5" s="18" t="s">
        <v>1477</v>
      </c>
      <c r="F5" s="18" t="s">
        <v>1478</v>
      </c>
      <c r="G5" s="119">
        <v>43281</v>
      </c>
      <c r="H5" s="18">
        <v>10</v>
      </c>
      <c r="I5" s="18">
        <v>0</v>
      </c>
      <c r="J5" s="18">
        <f>IF(H5="","",IF($F5="Projekt riadne ukončený (K)",I5,IF($G5&lt;=J$4,H5,0)))</f>
        <v>0</v>
      </c>
      <c r="K5" s="18">
        <v>0</v>
      </c>
      <c r="L5" s="18">
        <v>0</v>
      </c>
      <c r="M5" s="18">
        <f>IF(K5="","",IF($F5="Projekt riadne ukončený (K)",L5,IF($G5&lt;=M$4,K5,0)))</f>
        <v>0</v>
      </c>
      <c r="N5" s="18">
        <v>128.262</v>
      </c>
      <c r="O5" s="18">
        <v>128.262</v>
      </c>
      <c r="P5" s="18">
        <f>IF(N5="","",IF($F5="Projekt riadne ukončený (K)",O5,IF($G5&lt;=P$4,N5,0)))</f>
        <v>128.262</v>
      </c>
      <c r="Q5" s="18">
        <v>4</v>
      </c>
      <c r="R5" s="18">
        <v>4</v>
      </c>
      <c r="S5" s="18">
        <f>IF(Q5="","",IF($F5="Projekt riadne ukončený (K)",R5,IF($G5&lt;=S$4,Q5,0)))</f>
        <v>4</v>
      </c>
      <c r="T5" s="18">
        <v>1</v>
      </c>
      <c r="U5" s="18">
        <v>1</v>
      </c>
      <c r="V5" s="18">
        <f>IF(T5="","",IF($F5="Projekt riadne ukončený (K)",U5,IF($G5&lt;=V$4,T5,0)))</f>
        <v>1</v>
      </c>
      <c r="W5" s="18">
        <v>7467.2</v>
      </c>
      <c r="X5" s="18">
        <v>7467.2</v>
      </c>
      <c r="Y5" s="18">
        <f>IF(W5="","",IF($F5="Projekt riadne ukončený (K)",X5,IF($G5&lt;=Y$4,W5,0)))</f>
        <v>7467.2</v>
      </c>
      <c r="Z5" s="18">
        <v>418.33100000000002</v>
      </c>
      <c r="AA5" s="18">
        <v>0</v>
      </c>
      <c r="AB5" s="18">
        <f>IF(Z5="","",IF($F5="Projekt riadne ukončený (K)",AA5,IF($G5&lt;=AB$4,Z5,0)))</f>
        <v>0</v>
      </c>
      <c r="AC5" s="18">
        <v>874.25900000000001</v>
      </c>
      <c r="AD5" s="18">
        <v>874.25900000000001</v>
      </c>
      <c r="AE5" s="18">
        <f>IF(AC5="","",IF($F5="Projekt riadne ukončený (K)",AD5,IF($G5&lt;=AE$4,AC5,0)))</f>
        <v>874.25900000000001</v>
      </c>
      <c r="AF5" s="18">
        <v>455.92899999999997</v>
      </c>
      <c r="AG5" s="18">
        <v>0</v>
      </c>
      <c r="AH5" s="18">
        <f>IF(AF5="","",IF($F5="Projekt riadne ukončený (K)",AG5,IF($G5&lt;=AH$4,AF5,0)))</f>
        <v>0</v>
      </c>
      <c r="AI5" s="18">
        <v>723123.65</v>
      </c>
      <c r="AJ5" s="18">
        <v>0</v>
      </c>
      <c r="AK5" s="18">
        <f>IF(AI5="","",IF($F5="Projekt riadne ukončený (K)",AJ5,IF($G5&lt;=AK$4,AI5,0)))</f>
        <v>0</v>
      </c>
      <c r="AL5" s="18">
        <v>75</v>
      </c>
      <c r="AM5" s="18">
        <v>0</v>
      </c>
      <c r="AN5" s="18">
        <f>IF(AL5="","",IF($F5="Projekt riadne ukončený (K)",AM5,IF($G5&lt;=AN$4,AL5,0)))</f>
        <v>0</v>
      </c>
      <c r="AO5" s="18">
        <v>4</v>
      </c>
      <c r="AP5" s="18">
        <v>0</v>
      </c>
      <c r="AQ5" s="18">
        <f>IF(AO5="","",IF($F5="Projekt riadne ukončený (K)",AP5,IF($G5&lt;=AQ$4,AO5,0)))</f>
        <v>0</v>
      </c>
      <c r="AR5" s="18">
        <v>2</v>
      </c>
      <c r="AS5" s="18">
        <v>0</v>
      </c>
      <c r="AT5" s="18">
        <f>IF(AR5="","",IF($F5="Projekt riadne ukončený (K)",AS5,IF($G5&lt;=AT$4,AR5,0)))</f>
        <v>0</v>
      </c>
      <c r="AU5" s="18">
        <v>1025394.53</v>
      </c>
      <c r="AV5" s="18">
        <v>0</v>
      </c>
      <c r="AW5" s="18">
        <f>IF(AU5="","",IF($F5="Projekt riadne ukončený (K)",AV5,IF($G5&lt;=AW$4,AU5,0)))</f>
        <v>0</v>
      </c>
      <c r="AX5" s="18">
        <v>9.7000000000000003E-3</v>
      </c>
      <c r="AY5" s="18">
        <v>9.7000000000000003E-3</v>
      </c>
      <c r="AZ5" s="18">
        <f>IF(AX5="","",IF($F5="Projekt riadne ukončený (K)",AY5,IF($G5&lt;=AZ$4,AX5,0)))</f>
        <v>9.7000000000000003E-3</v>
      </c>
      <c r="BA5" s="18">
        <v>9.7000000000000003E-3</v>
      </c>
      <c r="BB5" s="18">
        <v>9.7000000000000003E-3</v>
      </c>
      <c r="BC5" s="18">
        <f>IF(BA5="","",IF($F5="Projekt riadne ukončený (K)",BB5,IF($G5&lt;=BC$4,BA5,0)))</f>
        <v>9.7000000000000003E-3</v>
      </c>
      <c r="BD5" s="18">
        <v>0</v>
      </c>
      <c r="BE5" s="18">
        <v>0</v>
      </c>
      <c r="BF5" s="18">
        <f>IF(BD5="","",IF($F5="Projekt riadne ukončený (K)",BE5,IF($G5&lt;=BF$4,BD5,0)))</f>
        <v>0</v>
      </c>
    </row>
    <row r="6" spans="1:58" ht="38.25" x14ac:dyDescent="0.25">
      <c r="A6" s="124" t="s">
        <v>1121</v>
      </c>
      <c r="B6" s="124" t="s">
        <v>1468</v>
      </c>
      <c r="C6" s="18" t="s">
        <v>1479</v>
      </c>
      <c r="D6" s="18" t="s">
        <v>1480</v>
      </c>
      <c r="E6" s="18" t="s">
        <v>1477</v>
      </c>
      <c r="F6" s="18" t="s">
        <v>1478</v>
      </c>
      <c r="G6" s="119">
        <v>43039</v>
      </c>
      <c r="H6" s="18">
        <v>0</v>
      </c>
      <c r="I6" s="18">
        <v>0</v>
      </c>
      <c r="J6" s="18">
        <f t="shared" ref="J6:J69" si="0">IF(H6="","",IF($F6="Projekt riadne ukončený (K)",I6,IF($G6&lt;=J$4,H6,0)))</f>
        <v>0</v>
      </c>
      <c r="K6" s="18">
        <v>0</v>
      </c>
      <c r="L6" s="18">
        <v>0</v>
      </c>
      <c r="M6" s="18">
        <f t="shared" ref="M6:M69" si="1">IF(K6="","",IF($F6="Projekt riadne ukončený (K)",L6,IF($G6&lt;=M$4,K6,0)))</f>
        <v>0</v>
      </c>
      <c r="N6" s="18">
        <v>7.6890000000000001</v>
      </c>
      <c r="O6" s="18">
        <v>7.9889999999999999</v>
      </c>
      <c r="P6" s="18">
        <f t="shared" ref="P6:P69" si="2">IF(N6="","",IF($F6="Projekt riadne ukončený (K)",O6,IF($G6&lt;=P$4,N6,0)))</f>
        <v>7.9889999999999999</v>
      </c>
      <c r="Q6" s="18">
        <v>6</v>
      </c>
      <c r="R6" s="18">
        <v>6</v>
      </c>
      <c r="S6" s="18">
        <f t="shared" ref="S6:S69" si="3">IF(Q6="","",IF($F6="Projekt riadne ukončený (K)",R6,IF($G6&lt;=S$4,Q6,0)))</f>
        <v>6</v>
      </c>
      <c r="T6" s="18">
        <v>1</v>
      </c>
      <c r="U6" s="18">
        <v>1</v>
      </c>
      <c r="V6" s="18">
        <f t="shared" ref="V6:V69" si="4">IF(T6="","",IF($F6="Projekt riadne ukončený (K)",U6,IF($G6&lt;=V$4,T6,0)))</f>
        <v>1</v>
      </c>
      <c r="W6" s="18">
        <v>296.8</v>
      </c>
      <c r="X6" s="18">
        <v>296.8</v>
      </c>
      <c r="Y6" s="18">
        <f t="shared" ref="Y6:Y69" si="5">IF(W6="","",IF($F6="Projekt riadne ukončený (K)",X6,IF($G6&lt;=Y$4,W6,0)))</f>
        <v>296.8</v>
      </c>
      <c r="Z6" s="18">
        <v>7.3040000000000003</v>
      </c>
      <c r="AA6" s="18">
        <v>0</v>
      </c>
      <c r="AB6" s="18">
        <f t="shared" ref="AB6:AB69" si="6">IF(Z6="","",IF($F6="Projekt riadne ukončený (K)",AA6,IF($G6&lt;=AB$4,Z6,0)))</f>
        <v>0</v>
      </c>
      <c r="AC6" s="18">
        <v>33.68</v>
      </c>
      <c r="AD6" s="18">
        <v>33.68</v>
      </c>
      <c r="AE6" s="18">
        <f t="shared" ref="AE6:AE69" si="7">IF(AC6="","",IF($F6="Projekt riadne ukončený (K)",AD6,IF($G6&lt;=AE$4,AC6,0)))</f>
        <v>33.68</v>
      </c>
      <c r="AF6" s="18">
        <v>26376</v>
      </c>
      <c r="AG6" s="18">
        <v>0</v>
      </c>
      <c r="AH6" s="18">
        <f t="shared" ref="AH6:AH69" si="8">IF(AF6="","",IF($F6="Projekt riadne ukončený (K)",AG6,IF($G6&lt;=AH$4,AF6,0)))</f>
        <v>0</v>
      </c>
      <c r="AI6" s="18">
        <v>17433.599999999999</v>
      </c>
      <c r="AJ6" s="18">
        <v>17433.599999999999</v>
      </c>
      <c r="AK6" s="18">
        <f t="shared" ref="AK6:AK69" si="9">IF(AI6="","",IF($F6="Projekt riadne ukončený (K)",AJ6,IF($G6&lt;=AK$4,AI6,0)))</f>
        <v>17433.599999999999</v>
      </c>
      <c r="AL6" s="18">
        <v>14</v>
      </c>
      <c r="AM6" s="18">
        <v>0</v>
      </c>
      <c r="AN6" s="18">
        <f t="shared" ref="AN6:AN69" si="10">IF(AL6="","",IF($F6="Projekt riadne ukončený (K)",AM6,IF($G6&lt;=AN$4,AL6,0)))</f>
        <v>0</v>
      </c>
      <c r="AO6" s="18">
        <v>0.4</v>
      </c>
      <c r="AP6" s="18">
        <v>0</v>
      </c>
      <c r="AQ6" s="18">
        <f t="shared" ref="AQ6:AQ69" si="11">IF(AO6="","",IF($F6="Projekt riadne ukončený (K)",AP6,IF($G6&lt;=AQ$4,AO6,0)))</f>
        <v>0</v>
      </c>
      <c r="AR6" s="18">
        <v>2</v>
      </c>
      <c r="AS6" s="18">
        <v>0</v>
      </c>
      <c r="AT6" s="18">
        <f t="shared" ref="AT6:AT69" si="12">IF(AR6="","",IF($F6="Projekt riadne ukončený (K)",AS6,IF($G6&lt;=AT$4,AR6,0)))</f>
        <v>0</v>
      </c>
      <c r="AU6" s="18">
        <v>43660</v>
      </c>
      <c r="AV6" s="18">
        <v>0</v>
      </c>
      <c r="AW6" s="18">
        <f t="shared" ref="AW6:AW69" si="13">IF(AU6="","",IF($F6="Projekt riadne ukončený (K)",AV6,IF($G6&lt;=AW$4,AU6,0)))</f>
        <v>0</v>
      </c>
      <c r="AX6" s="18">
        <v>0</v>
      </c>
      <c r="AY6" s="18">
        <v>0</v>
      </c>
      <c r="AZ6" s="18">
        <f t="shared" ref="AZ6:AZ69" si="14">IF(AX6="","",IF($F6="Projekt riadne ukončený (K)",AY6,IF($G6&lt;=AZ$4,AX6,0)))</f>
        <v>0</v>
      </c>
      <c r="BA6" s="18">
        <v>0</v>
      </c>
      <c r="BB6" s="18">
        <v>0</v>
      </c>
      <c r="BC6" s="18">
        <f t="shared" ref="BC6:BC69" si="15">IF(BA6="","",IF($F6="Projekt riadne ukončený (K)",BB6,IF($G6&lt;=BC$4,BA6,0)))</f>
        <v>0</v>
      </c>
      <c r="BD6" s="18">
        <v>0</v>
      </c>
      <c r="BE6" s="18">
        <v>0</v>
      </c>
      <c r="BF6" s="18">
        <f t="shared" ref="BF6:BF69" si="16">IF(BD6="","",IF($F6="Projekt riadne ukončený (K)",BE6,IF($G6&lt;=BF$4,BD6,0)))</f>
        <v>0</v>
      </c>
    </row>
    <row r="7" spans="1:58" ht="25.5" x14ac:dyDescent="0.25">
      <c r="A7" s="124" t="s">
        <v>1122</v>
      </c>
      <c r="B7" s="124" t="s">
        <v>1468</v>
      </c>
      <c r="C7" s="18" t="s">
        <v>1481</v>
      </c>
      <c r="D7" s="18" t="s">
        <v>1482</v>
      </c>
      <c r="E7" s="18" t="s">
        <v>1483</v>
      </c>
      <c r="F7" s="18" t="s">
        <v>1478</v>
      </c>
      <c r="G7" s="119">
        <v>43039</v>
      </c>
      <c r="H7" s="18">
        <v>0</v>
      </c>
      <c r="I7" s="18">
        <v>0</v>
      </c>
      <c r="J7" s="18">
        <f t="shared" si="0"/>
        <v>0</v>
      </c>
      <c r="K7" s="18">
        <v>0</v>
      </c>
      <c r="L7" s="18">
        <v>0</v>
      </c>
      <c r="M7" s="18">
        <f t="shared" si="1"/>
        <v>0</v>
      </c>
      <c r="N7" s="18">
        <v>49.113999999999997</v>
      </c>
      <c r="O7" s="18">
        <v>57.96</v>
      </c>
      <c r="P7" s="18">
        <f t="shared" si="2"/>
        <v>57.96</v>
      </c>
      <c r="Q7" s="18">
        <v>4</v>
      </c>
      <c r="R7" s="18">
        <v>4</v>
      </c>
      <c r="S7" s="18">
        <f t="shared" si="3"/>
        <v>4</v>
      </c>
      <c r="T7" s="18">
        <v>1</v>
      </c>
      <c r="U7" s="18">
        <v>1</v>
      </c>
      <c r="V7" s="18">
        <f t="shared" si="4"/>
        <v>1</v>
      </c>
      <c r="W7" s="18">
        <v>1547.98</v>
      </c>
      <c r="X7" s="18">
        <v>1547.98</v>
      </c>
      <c r="Y7" s="18">
        <f t="shared" si="5"/>
        <v>1547.98</v>
      </c>
      <c r="Z7" s="18">
        <v>93.76</v>
      </c>
      <c r="AA7" s="18">
        <v>0</v>
      </c>
      <c r="AB7" s="18">
        <f t="shared" si="6"/>
        <v>0</v>
      </c>
      <c r="AC7" s="18">
        <v>202.5</v>
      </c>
      <c r="AD7" s="18">
        <v>202.5</v>
      </c>
      <c r="AE7" s="18">
        <f t="shared" si="7"/>
        <v>202.5</v>
      </c>
      <c r="AF7" s="18">
        <v>71697</v>
      </c>
      <c r="AG7" s="18">
        <v>0</v>
      </c>
      <c r="AH7" s="18">
        <f t="shared" si="8"/>
        <v>0</v>
      </c>
      <c r="AI7" s="18">
        <v>108788</v>
      </c>
      <c r="AJ7" s="18">
        <v>140401</v>
      </c>
      <c r="AK7" s="18">
        <f t="shared" si="9"/>
        <v>140401</v>
      </c>
      <c r="AL7" s="18">
        <v>0</v>
      </c>
      <c r="AM7" s="18">
        <v>0</v>
      </c>
      <c r="AN7" s="18">
        <f t="shared" si="10"/>
        <v>0</v>
      </c>
      <c r="AO7" s="18">
        <v>0</v>
      </c>
      <c r="AP7" s="18">
        <v>0</v>
      </c>
      <c r="AQ7" s="18">
        <f t="shared" si="11"/>
        <v>0</v>
      </c>
      <c r="AR7" s="18">
        <v>0</v>
      </c>
      <c r="AS7" s="18">
        <v>0</v>
      </c>
      <c r="AT7" s="18">
        <f t="shared" si="12"/>
        <v>0</v>
      </c>
      <c r="AU7" s="18">
        <v>139372.57999999999</v>
      </c>
      <c r="AV7" s="18">
        <v>0</v>
      </c>
      <c r="AW7" s="18">
        <f t="shared" si="13"/>
        <v>0</v>
      </c>
      <c r="AX7" s="18">
        <v>0</v>
      </c>
      <c r="AY7" s="18">
        <v>0</v>
      </c>
      <c r="AZ7" s="18">
        <f t="shared" si="14"/>
        <v>0</v>
      </c>
      <c r="BA7" s="18">
        <v>0</v>
      </c>
      <c r="BB7" s="18">
        <v>0</v>
      </c>
      <c r="BC7" s="18">
        <f t="shared" si="15"/>
        <v>0</v>
      </c>
      <c r="BD7" s="18">
        <v>0</v>
      </c>
      <c r="BE7" s="18">
        <v>0</v>
      </c>
      <c r="BF7" s="18">
        <f t="shared" si="16"/>
        <v>0</v>
      </c>
    </row>
    <row r="8" spans="1:58" ht="38.25" x14ac:dyDescent="0.25">
      <c r="A8" s="124" t="s">
        <v>1123</v>
      </c>
      <c r="B8" s="124" t="s">
        <v>1468</v>
      </c>
      <c r="C8" s="18" t="s">
        <v>1484</v>
      </c>
      <c r="D8" s="18" t="s">
        <v>1485</v>
      </c>
      <c r="E8" s="18" t="s">
        <v>1477</v>
      </c>
      <c r="F8" s="18" t="s">
        <v>1478</v>
      </c>
      <c r="G8" s="119">
        <v>42916</v>
      </c>
      <c r="H8" s="18">
        <v>0</v>
      </c>
      <c r="I8" s="18">
        <v>0</v>
      </c>
      <c r="J8" s="18">
        <f t="shared" si="0"/>
        <v>0</v>
      </c>
      <c r="K8" s="18">
        <v>0</v>
      </c>
      <c r="L8" s="18">
        <v>0</v>
      </c>
      <c r="M8" s="18">
        <f t="shared" si="1"/>
        <v>0</v>
      </c>
      <c r="N8" s="18">
        <v>79.424999999999997</v>
      </c>
      <c r="O8" s="18">
        <v>0</v>
      </c>
      <c r="P8" s="18">
        <f t="shared" si="2"/>
        <v>0</v>
      </c>
      <c r="Q8" s="18">
        <v>3</v>
      </c>
      <c r="R8" s="18">
        <v>3</v>
      </c>
      <c r="S8" s="18">
        <f t="shared" si="3"/>
        <v>3</v>
      </c>
      <c r="T8" s="18">
        <v>1</v>
      </c>
      <c r="U8" s="18">
        <v>1</v>
      </c>
      <c r="V8" s="18">
        <f t="shared" si="4"/>
        <v>1</v>
      </c>
      <c r="W8" s="18">
        <v>3693.3</v>
      </c>
      <c r="X8" s="18">
        <v>3693.3</v>
      </c>
      <c r="Y8" s="18">
        <f t="shared" si="5"/>
        <v>3693.3</v>
      </c>
      <c r="Z8" s="18">
        <v>130.43</v>
      </c>
      <c r="AA8" s="18">
        <v>0</v>
      </c>
      <c r="AB8" s="18">
        <f t="shared" si="6"/>
        <v>0</v>
      </c>
      <c r="AC8" s="18">
        <v>335.11</v>
      </c>
      <c r="AD8" s="18">
        <v>335.11</v>
      </c>
      <c r="AE8" s="18">
        <f t="shared" si="7"/>
        <v>335.11</v>
      </c>
      <c r="AF8" s="18">
        <v>204690</v>
      </c>
      <c r="AG8" s="18">
        <v>0</v>
      </c>
      <c r="AH8" s="18">
        <f t="shared" si="8"/>
        <v>0</v>
      </c>
      <c r="AI8" s="18">
        <v>204685.2</v>
      </c>
      <c r="AJ8" s="18">
        <v>0</v>
      </c>
      <c r="AK8" s="18">
        <f t="shared" si="9"/>
        <v>0</v>
      </c>
      <c r="AL8" s="18">
        <v>227</v>
      </c>
      <c r="AM8" s="18">
        <v>0</v>
      </c>
      <c r="AN8" s="18">
        <f t="shared" si="10"/>
        <v>0</v>
      </c>
      <c r="AO8" s="18">
        <v>18</v>
      </c>
      <c r="AP8" s="18">
        <v>0</v>
      </c>
      <c r="AQ8" s="18">
        <f t="shared" si="11"/>
        <v>0</v>
      </c>
      <c r="AR8" s="18">
        <v>191</v>
      </c>
      <c r="AS8" s="18">
        <v>0</v>
      </c>
      <c r="AT8" s="18">
        <f t="shared" si="12"/>
        <v>0</v>
      </c>
      <c r="AU8" s="18">
        <v>386885</v>
      </c>
      <c r="AV8" s="18">
        <v>0</v>
      </c>
      <c r="AW8" s="18">
        <f t="shared" si="13"/>
        <v>0</v>
      </c>
      <c r="AX8" s="18">
        <v>0</v>
      </c>
      <c r="AY8" s="18">
        <v>0</v>
      </c>
      <c r="AZ8" s="18">
        <f t="shared" si="14"/>
        <v>0</v>
      </c>
      <c r="BA8" s="18">
        <v>0</v>
      </c>
      <c r="BB8" s="18">
        <v>0</v>
      </c>
      <c r="BC8" s="18">
        <f t="shared" si="15"/>
        <v>0</v>
      </c>
      <c r="BD8" s="18">
        <v>0</v>
      </c>
      <c r="BE8" s="18">
        <v>0</v>
      </c>
      <c r="BF8" s="18">
        <f t="shared" si="16"/>
        <v>0</v>
      </c>
    </row>
    <row r="9" spans="1:58" ht="38.25" x14ac:dyDescent="0.25">
      <c r="A9" s="124" t="s">
        <v>1124</v>
      </c>
      <c r="B9" s="124" t="s">
        <v>1468</v>
      </c>
      <c r="C9" s="18" t="s">
        <v>1484</v>
      </c>
      <c r="D9" s="18" t="s">
        <v>1486</v>
      </c>
      <c r="E9" s="18" t="s">
        <v>1477</v>
      </c>
      <c r="F9" s="18" t="s">
        <v>1478</v>
      </c>
      <c r="G9" s="119">
        <v>42916</v>
      </c>
      <c r="H9" s="18">
        <v>0</v>
      </c>
      <c r="I9" s="18">
        <v>0</v>
      </c>
      <c r="J9" s="18">
        <f t="shared" si="0"/>
        <v>0</v>
      </c>
      <c r="K9" s="18">
        <v>0</v>
      </c>
      <c r="L9" s="18">
        <v>0</v>
      </c>
      <c r="M9" s="18">
        <f t="shared" si="1"/>
        <v>0</v>
      </c>
      <c r="N9" s="18">
        <v>33.92</v>
      </c>
      <c r="O9" s="18">
        <v>0</v>
      </c>
      <c r="P9" s="18">
        <f t="shared" si="2"/>
        <v>0</v>
      </c>
      <c r="Q9" s="18">
        <v>3</v>
      </c>
      <c r="R9" s="18">
        <v>3</v>
      </c>
      <c r="S9" s="18">
        <f t="shared" si="3"/>
        <v>3</v>
      </c>
      <c r="T9" s="18">
        <v>1</v>
      </c>
      <c r="U9" s="18">
        <v>1</v>
      </c>
      <c r="V9" s="18">
        <f t="shared" si="4"/>
        <v>1</v>
      </c>
      <c r="W9" s="18">
        <v>2199.8000000000002</v>
      </c>
      <c r="X9" s="18">
        <v>2199.8000000000002</v>
      </c>
      <c r="Y9" s="18">
        <f t="shared" si="5"/>
        <v>2199.8000000000002</v>
      </c>
      <c r="Z9" s="18">
        <v>75.599999999999994</v>
      </c>
      <c r="AA9" s="18">
        <v>0</v>
      </c>
      <c r="AB9" s="18">
        <f t="shared" si="6"/>
        <v>0</v>
      </c>
      <c r="AC9" s="18">
        <v>165.92</v>
      </c>
      <c r="AD9" s="18">
        <v>165.92</v>
      </c>
      <c r="AE9" s="18">
        <f t="shared" si="7"/>
        <v>165.92</v>
      </c>
      <c r="AF9" s="18">
        <v>90320</v>
      </c>
      <c r="AG9" s="18">
        <v>0</v>
      </c>
      <c r="AH9" s="18">
        <f t="shared" si="8"/>
        <v>0</v>
      </c>
      <c r="AI9" s="18">
        <v>90317.4</v>
      </c>
      <c r="AJ9" s="18">
        <v>0</v>
      </c>
      <c r="AK9" s="18">
        <f t="shared" si="9"/>
        <v>0</v>
      </c>
      <c r="AL9" s="18">
        <v>99</v>
      </c>
      <c r="AM9" s="18">
        <v>0</v>
      </c>
      <c r="AN9" s="18">
        <f t="shared" si="10"/>
        <v>0</v>
      </c>
      <c r="AO9" s="18">
        <v>9</v>
      </c>
      <c r="AP9" s="18">
        <v>0</v>
      </c>
      <c r="AQ9" s="18">
        <f t="shared" si="11"/>
        <v>0</v>
      </c>
      <c r="AR9" s="18">
        <v>84</v>
      </c>
      <c r="AS9" s="18">
        <v>0</v>
      </c>
      <c r="AT9" s="18">
        <f t="shared" si="12"/>
        <v>0</v>
      </c>
      <c r="AU9" s="18">
        <v>181072</v>
      </c>
      <c r="AV9" s="18">
        <v>0</v>
      </c>
      <c r="AW9" s="18">
        <f t="shared" si="13"/>
        <v>0</v>
      </c>
      <c r="AX9" s="18">
        <v>0</v>
      </c>
      <c r="AY9" s="18">
        <v>0</v>
      </c>
      <c r="AZ9" s="18">
        <f t="shared" si="14"/>
        <v>0</v>
      </c>
      <c r="BA9" s="18">
        <v>0</v>
      </c>
      <c r="BB9" s="18">
        <v>0</v>
      </c>
      <c r="BC9" s="18">
        <f t="shared" si="15"/>
        <v>0</v>
      </c>
      <c r="BD9" s="18">
        <v>0</v>
      </c>
      <c r="BE9" s="18">
        <v>0</v>
      </c>
      <c r="BF9" s="18">
        <f t="shared" si="16"/>
        <v>0</v>
      </c>
    </row>
    <row r="10" spans="1:58" ht="25.5" x14ac:dyDescent="0.25">
      <c r="A10" s="124" t="s">
        <v>1125</v>
      </c>
      <c r="B10" s="124" t="s">
        <v>1468</v>
      </c>
      <c r="C10" s="18" t="s">
        <v>1487</v>
      </c>
      <c r="D10" s="18" t="s">
        <v>1488</v>
      </c>
      <c r="E10" s="18" t="s">
        <v>1489</v>
      </c>
      <c r="F10" s="18" t="s">
        <v>1478</v>
      </c>
      <c r="G10" s="119">
        <v>42855</v>
      </c>
      <c r="H10" s="18">
        <v>0</v>
      </c>
      <c r="I10" s="18">
        <v>0</v>
      </c>
      <c r="J10" s="18">
        <f t="shared" si="0"/>
        <v>0</v>
      </c>
      <c r="K10" s="18">
        <v>3.1989999999999998</v>
      </c>
      <c r="L10" s="18">
        <v>0</v>
      </c>
      <c r="M10" s="18">
        <f t="shared" si="1"/>
        <v>0</v>
      </c>
      <c r="N10" s="18">
        <v>12</v>
      </c>
      <c r="O10" s="18">
        <v>31.760999999999999</v>
      </c>
      <c r="P10" s="18">
        <f t="shared" si="2"/>
        <v>31.760999999999999</v>
      </c>
      <c r="Q10" s="18">
        <v>4</v>
      </c>
      <c r="R10" s="18">
        <v>4</v>
      </c>
      <c r="S10" s="18">
        <f t="shared" si="3"/>
        <v>4</v>
      </c>
      <c r="T10" s="18">
        <v>1</v>
      </c>
      <c r="U10" s="18">
        <v>1</v>
      </c>
      <c r="V10" s="18">
        <f t="shared" si="4"/>
        <v>1</v>
      </c>
      <c r="W10" s="18">
        <v>859.29</v>
      </c>
      <c r="X10" s="18">
        <v>859.29</v>
      </c>
      <c r="Y10" s="18">
        <f t="shared" si="5"/>
        <v>859.29</v>
      </c>
      <c r="Z10" s="18">
        <v>54.45</v>
      </c>
      <c r="AA10" s="18">
        <v>0</v>
      </c>
      <c r="AB10" s="18">
        <f t="shared" si="6"/>
        <v>0</v>
      </c>
      <c r="AC10" s="18">
        <v>187.79300000000001</v>
      </c>
      <c r="AD10" s="18">
        <v>187.79300000000001</v>
      </c>
      <c r="AE10" s="18">
        <f t="shared" si="7"/>
        <v>187.79300000000001</v>
      </c>
      <c r="AF10" s="18">
        <v>127519.67999999999</v>
      </c>
      <c r="AG10" s="18">
        <v>0</v>
      </c>
      <c r="AH10" s="18">
        <f t="shared" si="8"/>
        <v>0</v>
      </c>
      <c r="AI10" s="18">
        <v>144833.32999999999</v>
      </c>
      <c r="AJ10" s="18">
        <v>154852.65</v>
      </c>
      <c r="AK10" s="18">
        <f t="shared" si="9"/>
        <v>154852.65</v>
      </c>
      <c r="AL10" s="18">
        <v>18.600000000000001</v>
      </c>
      <c r="AM10" s="18">
        <v>0</v>
      </c>
      <c r="AN10" s="18">
        <f t="shared" si="10"/>
        <v>0</v>
      </c>
      <c r="AO10" s="18">
        <v>0.8</v>
      </c>
      <c r="AP10" s="18">
        <v>0</v>
      </c>
      <c r="AQ10" s="18">
        <f t="shared" si="11"/>
        <v>0</v>
      </c>
      <c r="AR10" s="18">
        <v>0.1</v>
      </c>
      <c r="AS10" s="18">
        <v>0</v>
      </c>
      <c r="AT10" s="18">
        <f t="shared" si="12"/>
        <v>0</v>
      </c>
      <c r="AU10" s="18">
        <v>289683.84000000003</v>
      </c>
      <c r="AV10" s="18">
        <v>0</v>
      </c>
      <c r="AW10" s="18">
        <f t="shared" si="13"/>
        <v>0</v>
      </c>
      <c r="AX10" s="18">
        <v>0</v>
      </c>
      <c r="AY10" s="18">
        <v>0</v>
      </c>
      <c r="AZ10" s="18">
        <f t="shared" si="14"/>
        <v>0</v>
      </c>
      <c r="BA10" s="18">
        <v>3.0999999999999999E-3</v>
      </c>
      <c r="BB10" s="18">
        <v>3.0999999999999999E-3</v>
      </c>
      <c r="BC10" s="18">
        <f t="shared" si="15"/>
        <v>3.0999999999999999E-3</v>
      </c>
      <c r="BD10" s="18">
        <v>3.0999999999999999E-3</v>
      </c>
      <c r="BE10" s="18">
        <v>3.0999999999999999E-3</v>
      </c>
      <c r="BF10" s="18">
        <f t="shared" si="16"/>
        <v>3.0999999999999999E-3</v>
      </c>
    </row>
    <row r="11" spans="1:58" ht="38.25" x14ac:dyDescent="0.25">
      <c r="A11" s="124" t="s">
        <v>1126</v>
      </c>
      <c r="B11" s="124" t="s">
        <v>1468</v>
      </c>
      <c r="C11" s="18" t="s">
        <v>1490</v>
      </c>
      <c r="D11" s="18" t="s">
        <v>1491</v>
      </c>
      <c r="E11" s="18" t="s">
        <v>1477</v>
      </c>
      <c r="F11" s="18" t="s">
        <v>1478</v>
      </c>
      <c r="G11" s="119">
        <v>43008</v>
      </c>
      <c r="H11" s="18">
        <v>0</v>
      </c>
      <c r="I11" s="18">
        <v>0</v>
      </c>
      <c r="J11" s="18">
        <f t="shared" si="0"/>
        <v>0</v>
      </c>
      <c r="K11" s="18">
        <v>0</v>
      </c>
      <c r="L11" s="18">
        <v>0</v>
      </c>
      <c r="M11" s="18">
        <f t="shared" si="1"/>
        <v>0</v>
      </c>
      <c r="N11" s="18">
        <v>60.4</v>
      </c>
      <c r="O11" s="18">
        <v>60.4</v>
      </c>
      <c r="P11" s="18">
        <f t="shared" si="2"/>
        <v>60.4</v>
      </c>
      <c r="Q11" s="18">
        <v>3</v>
      </c>
      <c r="R11" s="18">
        <v>3</v>
      </c>
      <c r="S11" s="18">
        <f t="shared" si="3"/>
        <v>3</v>
      </c>
      <c r="T11" s="18">
        <v>1</v>
      </c>
      <c r="U11" s="18">
        <v>1</v>
      </c>
      <c r="V11" s="18">
        <f t="shared" si="4"/>
        <v>1</v>
      </c>
      <c r="W11" s="18">
        <v>1699</v>
      </c>
      <c r="X11" s="18">
        <v>1699</v>
      </c>
      <c r="Y11" s="18">
        <f t="shared" si="5"/>
        <v>1699</v>
      </c>
      <c r="Z11" s="18">
        <v>62.953499999999998</v>
      </c>
      <c r="AA11" s="18">
        <v>0</v>
      </c>
      <c r="AB11" s="18">
        <f t="shared" si="6"/>
        <v>0</v>
      </c>
      <c r="AC11" s="18">
        <v>189.619</v>
      </c>
      <c r="AD11" s="18">
        <v>189.619</v>
      </c>
      <c r="AE11" s="18">
        <f t="shared" si="7"/>
        <v>189.619</v>
      </c>
      <c r="AF11" s="18">
        <v>126665.49</v>
      </c>
      <c r="AG11" s="18">
        <v>0</v>
      </c>
      <c r="AH11" s="18">
        <f t="shared" si="8"/>
        <v>0</v>
      </c>
      <c r="AI11" s="18">
        <v>247544.3</v>
      </c>
      <c r="AJ11" s="18">
        <v>249413.2</v>
      </c>
      <c r="AK11" s="18">
        <f t="shared" si="9"/>
        <v>249413.2</v>
      </c>
      <c r="AL11" s="18">
        <v>136</v>
      </c>
      <c r="AM11" s="18">
        <v>0</v>
      </c>
      <c r="AN11" s="18">
        <f t="shared" si="10"/>
        <v>0</v>
      </c>
      <c r="AO11" s="18">
        <v>31</v>
      </c>
      <c r="AP11" s="18">
        <v>0</v>
      </c>
      <c r="AQ11" s="18">
        <f t="shared" si="11"/>
        <v>0</v>
      </c>
      <c r="AR11" s="18">
        <v>716</v>
      </c>
      <c r="AS11" s="18">
        <v>0</v>
      </c>
      <c r="AT11" s="18">
        <f t="shared" si="12"/>
        <v>0</v>
      </c>
      <c r="AU11" s="18">
        <v>128614.3</v>
      </c>
      <c r="AV11" s="18">
        <v>0</v>
      </c>
      <c r="AW11" s="18">
        <f t="shared" si="13"/>
        <v>0</v>
      </c>
      <c r="AX11" s="18">
        <v>0</v>
      </c>
      <c r="AY11" s="18">
        <v>0</v>
      </c>
      <c r="AZ11" s="18">
        <f t="shared" si="14"/>
        <v>0</v>
      </c>
      <c r="BA11" s="18">
        <v>0</v>
      </c>
      <c r="BB11" s="18">
        <v>0</v>
      </c>
      <c r="BC11" s="18">
        <f t="shared" si="15"/>
        <v>0</v>
      </c>
      <c r="BD11" s="18">
        <v>0</v>
      </c>
      <c r="BE11" s="18">
        <v>0</v>
      </c>
      <c r="BF11" s="18">
        <f t="shared" si="16"/>
        <v>0</v>
      </c>
    </row>
    <row r="12" spans="1:58" ht="25.5" x14ac:dyDescent="0.25">
      <c r="A12" s="124" t="s">
        <v>1127</v>
      </c>
      <c r="B12" s="124" t="s">
        <v>1468</v>
      </c>
      <c r="C12" s="18" t="s">
        <v>1492</v>
      </c>
      <c r="D12" s="18" t="s">
        <v>1493</v>
      </c>
      <c r="E12" s="18" t="s">
        <v>1477</v>
      </c>
      <c r="F12" s="18" t="s">
        <v>1478</v>
      </c>
      <c r="G12" s="119">
        <v>43039</v>
      </c>
      <c r="H12" s="18">
        <v>0</v>
      </c>
      <c r="I12" s="18">
        <v>0</v>
      </c>
      <c r="J12" s="18">
        <f t="shared" si="0"/>
        <v>0</v>
      </c>
      <c r="K12" s="18">
        <v>0</v>
      </c>
      <c r="L12" s="18">
        <v>0</v>
      </c>
      <c r="M12" s="18">
        <f t="shared" si="1"/>
        <v>0</v>
      </c>
      <c r="N12" s="18">
        <v>100.126</v>
      </c>
      <c r="O12" s="18">
        <v>132.27500000000001</v>
      </c>
      <c r="P12" s="18">
        <f t="shared" si="2"/>
        <v>132.27500000000001</v>
      </c>
      <c r="Q12" s="18">
        <v>4</v>
      </c>
      <c r="R12" s="18">
        <v>4</v>
      </c>
      <c r="S12" s="18">
        <f t="shared" si="3"/>
        <v>4</v>
      </c>
      <c r="T12" s="18">
        <v>1</v>
      </c>
      <c r="U12" s="18">
        <v>1</v>
      </c>
      <c r="V12" s="18">
        <f t="shared" si="4"/>
        <v>1</v>
      </c>
      <c r="W12" s="18">
        <v>1119.74</v>
      </c>
      <c r="X12" s="18">
        <v>1145.72</v>
      </c>
      <c r="Y12" s="18">
        <f t="shared" si="5"/>
        <v>1145.72</v>
      </c>
      <c r="Z12" s="18">
        <v>6.47</v>
      </c>
      <c r="AA12" s="18">
        <v>0</v>
      </c>
      <c r="AB12" s="18">
        <f t="shared" si="6"/>
        <v>0</v>
      </c>
      <c r="AC12" s="18">
        <v>24.89</v>
      </c>
      <c r="AD12" s="18">
        <v>24.89</v>
      </c>
      <c r="AE12" s="18">
        <f t="shared" si="7"/>
        <v>24.89</v>
      </c>
      <c r="AF12" s="18">
        <v>18420</v>
      </c>
      <c r="AG12" s="18">
        <v>0</v>
      </c>
      <c r="AH12" s="18">
        <f t="shared" si="8"/>
        <v>0</v>
      </c>
      <c r="AI12" s="18">
        <v>178038.66</v>
      </c>
      <c r="AJ12" s="18">
        <v>213691.03</v>
      </c>
      <c r="AK12" s="18">
        <f t="shared" si="9"/>
        <v>213691.03</v>
      </c>
      <c r="AL12" s="18">
        <v>485</v>
      </c>
      <c r="AM12" s="18">
        <v>0</v>
      </c>
      <c r="AN12" s="18">
        <f t="shared" si="10"/>
        <v>0</v>
      </c>
      <c r="AO12" s="18">
        <v>8</v>
      </c>
      <c r="AP12" s="18">
        <v>0</v>
      </c>
      <c r="AQ12" s="18">
        <f t="shared" si="11"/>
        <v>0</v>
      </c>
      <c r="AR12" s="18">
        <v>33</v>
      </c>
      <c r="AS12" s="18">
        <v>0</v>
      </c>
      <c r="AT12" s="18">
        <f t="shared" si="12"/>
        <v>0</v>
      </c>
      <c r="AU12" s="18">
        <v>250821.76000000001</v>
      </c>
      <c r="AV12" s="18">
        <v>0</v>
      </c>
      <c r="AW12" s="18">
        <f t="shared" si="13"/>
        <v>0</v>
      </c>
      <c r="AX12" s="18">
        <v>0</v>
      </c>
      <c r="AY12" s="18">
        <v>0</v>
      </c>
      <c r="AZ12" s="18">
        <f t="shared" si="14"/>
        <v>0</v>
      </c>
      <c r="BA12" s="18">
        <v>0</v>
      </c>
      <c r="BB12" s="18">
        <v>0</v>
      </c>
      <c r="BC12" s="18">
        <f t="shared" si="15"/>
        <v>0</v>
      </c>
      <c r="BD12" s="18">
        <v>0</v>
      </c>
      <c r="BE12" s="18">
        <v>0</v>
      </c>
      <c r="BF12" s="18">
        <f t="shared" si="16"/>
        <v>0</v>
      </c>
    </row>
    <row r="13" spans="1:58" ht="25.5" x14ac:dyDescent="0.25">
      <c r="A13" s="124" t="s">
        <v>1128</v>
      </c>
      <c r="B13" s="124" t="s">
        <v>1468</v>
      </c>
      <c r="C13" s="18" t="s">
        <v>1494</v>
      </c>
      <c r="D13" s="18" t="s">
        <v>1495</v>
      </c>
      <c r="E13" s="18" t="s">
        <v>1477</v>
      </c>
      <c r="F13" s="18" t="s">
        <v>1478</v>
      </c>
      <c r="G13" s="119">
        <v>43131</v>
      </c>
      <c r="H13" s="18">
        <v>0</v>
      </c>
      <c r="I13" s="18">
        <v>0</v>
      </c>
      <c r="J13" s="18">
        <f t="shared" si="0"/>
        <v>0</v>
      </c>
      <c r="K13" s="18">
        <v>0</v>
      </c>
      <c r="L13" s="18">
        <v>0</v>
      </c>
      <c r="M13" s="18">
        <f t="shared" si="1"/>
        <v>0</v>
      </c>
      <c r="N13" s="18">
        <v>61.307000000000002</v>
      </c>
      <c r="O13" s="18">
        <v>65.84</v>
      </c>
      <c r="P13" s="18">
        <f t="shared" si="2"/>
        <v>65.84</v>
      </c>
      <c r="Q13" s="18">
        <v>6</v>
      </c>
      <c r="R13" s="18">
        <v>6</v>
      </c>
      <c r="S13" s="18">
        <f t="shared" si="3"/>
        <v>6</v>
      </c>
      <c r="T13" s="18">
        <v>1</v>
      </c>
      <c r="U13" s="18">
        <v>1</v>
      </c>
      <c r="V13" s="18">
        <f t="shared" si="4"/>
        <v>1</v>
      </c>
      <c r="W13" s="18">
        <v>1437</v>
      </c>
      <c r="X13" s="18">
        <v>1437</v>
      </c>
      <c r="Y13" s="18">
        <f t="shared" si="5"/>
        <v>1437</v>
      </c>
      <c r="Z13" s="18">
        <v>60</v>
      </c>
      <c r="AA13" s="18">
        <v>0</v>
      </c>
      <c r="AB13" s="18">
        <f t="shared" si="6"/>
        <v>0</v>
      </c>
      <c r="AC13" s="18">
        <v>286</v>
      </c>
      <c r="AD13" s="18">
        <v>286</v>
      </c>
      <c r="AE13" s="18">
        <f t="shared" si="7"/>
        <v>286</v>
      </c>
      <c r="AF13" s="18">
        <v>225505</v>
      </c>
      <c r="AG13" s="18">
        <v>0</v>
      </c>
      <c r="AH13" s="18">
        <f t="shared" si="8"/>
        <v>0</v>
      </c>
      <c r="AI13" s="18">
        <v>180350</v>
      </c>
      <c r="AJ13" s="18">
        <v>216739.84</v>
      </c>
      <c r="AK13" s="18">
        <f t="shared" si="9"/>
        <v>216739.84</v>
      </c>
      <c r="AL13" s="18">
        <v>109</v>
      </c>
      <c r="AM13" s="18">
        <v>0</v>
      </c>
      <c r="AN13" s="18">
        <f t="shared" si="10"/>
        <v>0</v>
      </c>
      <c r="AO13" s="18">
        <v>1</v>
      </c>
      <c r="AP13" s="18">
        <v>0</v>
      </c>
      <c r="AQ13" s="18">
        <f t="shared" si="11"/>
        <v>0</v>
      </c>
      <c r="AR13" s="18">
        <v>7</v>
      </c>
      <c r="AS13" s="18">
        <v>0</v>
      </c>
      <c r="AT13" s="18">
        <f t="shared" si="12"/>
        <v>0</v>
      </c>
      <c r="AU13" s="18">
        <v>290897</v>
      </c>
      <c r="AV13" s="18">
        <v>0</v>
      </c>
      <c r="AW13" s="18">
        <f t="shared" si="13"/>
        <v>0</v>
      </c>
      <c r="AX13" s="18">
        <v>0</v>
      </c>
      <c r="AY13" s="18">
        <v>0</v>
      </c>
      <c r="AZ13" s="18">
        <f t="shared" si="14"/>
        <v>0</v>
      </c>
      <c r="BA13" s="18">
        <v>0</v>
      </c>
      <c r="BB13" s="18">
        <v>0</v>
      </c>
      <c r="BC13" s="18">
        <f t="shared" si="15"/>
        <v>0</v>
      </c>
      <c r="BD13" s="18">
        <v>0</v>
      </c>
      <c r="BE13" s="18">
        <v>0</v>
      </c>
      <c r="BF13" s="18">
        <f t="shared" si="16"/>
        <v>0</v>
      </c>
    </row>
    <row r="14" spans="1:58" ht="38.25" x14ac:dyDescent="0.25">
      <c r="A14" s="124" t="s">
        <v>1129</v>
      </c>
      <c r="B14" s="124" t="s">
        <v>1468</v>
      </c>
      <c r="C14" s="18" t="s">
        <v>1496</v>
      </c>
      <c r="D14" s="18" t="s">
        <v>1497</v>
      </c>
      <c r="E14" s="18" t="s">
        <v>1483</v>
      </c>
      <c r="F14" s="18" t="s">
        <v>1478</v>
      </c>
      <c r="G14" s="119">
        <v>43404</v>
      </c>
      <c r="H14" s="18">
        <v>0</v>
      </c>
      <c r="I14" s="18">
        <v>0</v>
      </c>
      <c r="J14" s="18">
        <f t="shared" si="0"/>
        <v>0</v>
      </c>
      <c r="K14" s="18">
        <v>37</v>
      </c>
      <c r="L14" s="18">
        <v>0</v>
      </c>
      <c r="M14" s="18">
        <f t="shared" si="1"/>
        <v>0</v>
      </c>
      <c r="N14" s="18">
        <v>22.748999999999999</v>
      </c>
      <c r="O14" s="18">
        <v>21.957000000000001</v>
      </c>
      <c r="P14" s="18">
        <f t="shared" si="2"/>
        <v>21.957000000000001</v>
      </c>
      <c r="Q14" s="18">
        <v>4</v>
      </c>
      <c r="R14" s="18">
        <v>4</v>
      </c>
      <c r="S14" s="18">
        <f t="shared" si="3"/>
        <v>4</v>
      </c>
      <c r="T14" s="18">
        <v>1</v>
      </c>
      <c r="U14" s="18">
        <v>1</v>
      </c>
      <c r="V14" s="18">
        <f t="shared" si="4"/>
        <v>1</v>
      </c>
      <c r="W14" s="18">
        <v>902.9</v>
      </c>
      <c r="X14" s="18">
        <v>908.78</v>
      </c>
      <c r="Y14" s="18">
        <f t="shared" si="5"/>
        <v>908.78</v>
      </c>
      <c r="Z14" s="18">
        <v>14.63</v>
      </c>
      <c r="AA14" s="18">
        <v>0</v>
      </c>
      <c r="AB14" s="18">
        <f t="shared" si="6"/>
        <v>0</v>
      </c>
      <c r="AC14" s="18">
        <v>97.68</v>
      </c>
      <c r="AD14" s="18">
        <v>97.68</v>
      </c>
      <c r="AE14" s="18">
        <f t="shared" si="7"/>
        <v>97.68</v>
      </c>
      <c r="AF14" s="18">
        <v>83048</v>
      </c>
      <c r="AG14" s="18">
        <v>0</v>
      </c>
      <c r="AH14" s="18">
        <f t="shared" si="8"/>
        <v>0</v>
      </c>
      <c r="AI14" s="18">
        <v>126740</v>
      </c>
      <c r="AJ14" s="18">
        <v>200189.337</v>
      </c>
      <c r="AK14" s="18">
        <f t="shared" si="9"/>
        <v>200189.337</v>
      </c>
      <c r="AL14" s="18">
        <v>13.5</v>
      </c>
      <c r="AM14" s="18">
        <v>0</v>
      </c>
      <c r="AN14" s="18">
        <f t="shared" si="10"/>
        <v>0</v>
      </c>
      <c r="AO14" s="18">
        <v>0.9</v>
      </c>
      <c r="AP14" s="18">
        <v>0</v>
      </c>
      <c r="AQ14" s="18">
        <f t="shared" si="11"/>
        <v>0</v>
      </c>
      <c r="AR14" s="18">
        <v>1.8</v>
      </c>
      <c r="AS14" s="18">
        <v>0</v>
      </c>
      <c r="AT14" s="18">
        <f t="shared" si="12"/>
        <v>0</v>
      </c>
      <c r="AU14" s="18">
        <v>179688</v>
      </c>
      <c r="AV14" s="18">
        <v>0</v>
      </c>
      <c r="AW14" s="18">
        <f t="shared" si="13"/>
        <v>0</v>
      </c>
      <c r="AX14" s="18">
        <v>0</v>
      </c>
      <c r="AY14" s="18">
        <v>0</v>
      </c>
      <c r="AZ14" s="18">
        <f t="shared" si="14"/>
        <v>0</v>
      </c>
      <c r="BA14" s="18">
        <v>1.6E-2</v>
      </c>
      <c r="BB14" s="18">
        <v>1.6E-2</v>
      </c>
      <c r="BC14" s="18">
        <f t="shared" si="15"/>
        <v>1.6E-2</v>
      </c>
      <c r="BD14" s="18">
        <v>1.6E-2</v>
      </c>
      <c r="BE14" s="18">
        <v>1.6E-2</v>
      </c>
      <c r="BF14" s="18">
        <f t="shared" si="16"/>
        <v>1.6E-2</v>
      </c>
    </row>
    <row r="15" spans="1:58" ht="25.5" x14ac:dyDescent="0.25">
      <c r="A15" s="124" t="s">
        <v>1130</v>
      </c>
      <c r="B15" s="124" t="s">
        <v>1468</v>
      </c>
      <c r="C15" s="18" t="s">
        <v>1498</v>
      </c>
      <c r="D15" s="18" t="s">
        <v>1499</v>
      </c>
      <c r="E15" s="18" t="s">
        <v>1500</v>
      </c>
      <c r="F15" s="18" t="s">
        <v>1478</v>
      </c>
      <c r="G15" s="119">
        <v>43524</v>
      </c>
      <c r="H15" s="18">
        <v>0</v>
      </c>
      <c r="I15" s="18">
        <v>0</v>
      </c>
      <c r="J15" s="18">
        <f t="shared" si="0"/>
        <v>0</v>
      </c>
      <c r="K15" s="18">
        <v>10</v>
      </c>
      <c r="L15" s="18">
        <v>0</v>
      </c>
      <c r="M15" s="18">
        <f t="shared" si="1"/>
        <v>0</v>
      </c>
      <c r="N15" s="18">
        <v>12</v>
      </c>
      <c r="O15" s="18">
        <v>14.92</v>
      </c>
      <c r="P15" s="18">
        <f t="shared" si="2"/>
        <v>14.92</v>
      </c>
      <c r="Q15" s="18">
        <v>3</v>
      </c>
      <c r="R15" s="18">
        <v>3</v>
      </c>
      <c r="S15" s="18">
        <f t="shared" si="3"/>
        <v>3</v>
      </c>
      <c r="T15" s="18">
        <v>1</v>
      </c>
      <c r="U15" s="18">
        <v>1</v>
      </c>
      <c r="V15" s="18">
        <f t="shared" si="4"/>
        <v>1</v>
      </c>
      <c r="W15" s="18">
        <v>534.5</v>
      </c>
      <c r="X15" s="18">
        <v>534.5</v>
      </c>
      <c r="Y15" s="18">
        <f t="shared" si="5"/>
        <v>534.5</v>
      </c>
      <c r="Z15" s="18">
        <v>7.2119999999999997</v>
      </c>
      <c r="AA15" s="18">
        <v>0</v>
      </c>
      <c r="AB15" s="18">
        <f t="shared" si="6"/>
        <v>0</v>
      </c>
      <c r="AC15" s="18">
        <v>51.988999999999997</v>
      </c>
      <c r="AD15" s="18">
        <v>51.988999999999997</v>
      </c>
      <c r="AE15" s="18">
        <f t="shared" si="7"/>
        <v>51.988999999999997</v>
      </c>
      <c r="AF15" s="18">
        <v>44777</v>
      </c>
      <c r="AG15" s="18">
        <v>0</v>
      </c>
      <c r="AH15" s="18">
        <f t="shared" si="8"/>
        <v>0</v>
      </c>
      <c r="AI15" s="18">
        <v>44848</v>
      </c>
      <c r="AJ15" s="18">
        <v>47303.25</v>
      </c>
      <c r="AK15" s="18">
        <f t="shared" si="9"/>
        <v>47303.25</v>
      </c>
      <c r="AL15" s="18">
        <v>0</v>
      </c>
      <c r="AM15" s="18">
        <v>0</v>
      </c>
      <c r="AN15" s="18">
        <f t="shared" si="10"/>
        <v>0</v>
      </c>
      <c r="AO15" s="18">
        <v>0</v>
      </c>
      <c r="AP15" s="18">
        <v>0</v>
      </c>
      <c r="AQ15" s="18">
        <f t="shared" si="11"/>
        <v>0</v>
      </c>
      <c r="AR15" s="18">
        <v>0</v>
      </c>
      <c r="AS15" s="18">
        <v>0</v>
      </c>
      <c r="AT15" s="18">
        <f t="shared" si="12"/>
        <v>0</v>
      </c>
      <c r="AU15" s="18">
        <v>44777</v>
      </c>
      <c r="AV15" s="18">
        <v>0</v>
      </c>
      <c r="AW15" s="18">
        <f t="shared" si="13"/>
        <v>0</v>
      </c>
      <c r="AX15" s="18">
        <v>0</v>
      </c>
      <c r="AY15" s="18">
        <v>0</v>
      </c>
      <c r="AZ15" s="18">
        <f t="shared" si="14"/>
        <v>0</v>
      </c>
      <c r="BA15" s="18">
        <v>8.0000000000000002E-3</v>
      </c>
      <c r="BB15" s="18">
        <v>8.0000000000000002E-3</v>
      </c>
      <c r="BC15" s="18">
        <f t="shared" si="15"/>
        <v>8.0000000000000002E-3</v>
      </c>
      <c r="BD15" s="18">
        <v>8.0000000000000002E-3</v>
      </c>
      <c r="BE15" s="18">
        <v>8.0000000000000002E-3</v>
      </c>
      <c r="BF15" s="18">
        <f t="shared" si="16"/>
        <v>8.0000000000000002E-3</v>
      </c>
    </row>
    <row r="16" spans="1:58" ht="25.5" x14ac:dyDescent="0.25">
      <c r="A16" s="124" t="s">
        <v>1131</v>
      </c>
      <c r="B16" s="124" t="s">
        <v>1468</v>
      </c>
      <c r="C16" s="18" t="s">
        <v>1501</v>
      </c>
      <c r="D16" s="18" t="s">
        <v>1502</v>
      </c>
      <c r="E16" s="18" t="s">
        <v>1503</v>
      </c>
      <c r="F16" s="18" t="s">
        <v>1478</v>
      </c>
      <c r="G16" s="119">
        <v>42947</v>
      </c>
      <c r="H16" s="18">
        <v>7.9980000000000002</v>
      </c>
      <c r="I16" s="18">
        <v>0</v>
      </c>
      <c r="J16" s="18">
        <f t="shared" si="0"/>
        <v>0</v>
      </c>
      <c r="K16" s="18">
        <v>0</v>
      </c>
      <c r="L16" s="18">
        <v>0</v>
      </c>
      <c r="M16" s="18">
        <f t="shared" si="1"/>
        <v>0</v>
      </c>
      <c r="N16" s="18">
        <v>6.6E-3</v>
      </c>
      <c r="O16" s="18">
        <v>2.46</v>
      </c>
      <c r="P16" s="18">
        <f t="shared" si="2"/>
        <v>2.46</v>
      </c>
      <c r="Q16" s="18">
        <v>4</v>
      </c>
      <c r="R16" s="18">
        <v>4</v>
      </c>
      <c r="S16" s="18">
        <f t="shared" si="3"/>
        <v>4</v>
      </c>
      <c r="T16" s="18">
        <v>1</v>
      </c>
      <c r="U16" s="18">
        <v>1</v>
      </c>
      <c r="V16" s="18">
        <f t="shared" si="4"/>
        <v>1</v>
      </c>
      <c r="W16" s="18">
        <v>224.23</v>
      </c>
      <c r="X16" s="18">
        <v>224.23</v>
      </c>
      <c r="Y16" s="18">
        <f t="shared" si="5"/>
        <v>224.23</v>
      </c>
      <c r="Z16" s="18">
        <v>14.0458</v>
      </c>
      <c r="AA16" s="18">
        <v>0</v>
      </c>
      <c r="AB16" s="18">
        <f t="shared" si="6"/>
        <v>0</v>
      </c>
      <c r="AC16" s="18">
        <v>68.8857</v>
      </c>
      <c r="AD16" s="18">
        <v>68.8857</v>
      </c>
      <c r="AE16" s="18">
        <f t="shared" si="7"/>
        <v>68.8857</v>
      </c>
      <c r="AF16" s="18">
        <v>54815.47</v>
      </c>
      <c r="AG16" s="18">
        <v>0</v>
      </c>
      <c r="AH16" s="18">
        <f t="shared" si="8"/>
        <v>0</v>
      </c>
      <c r="AI16" s="18">
        <v>23980</v>
      </c>
      <c r="AJ16" s="18">
        <v>23980</v>
      </c>
      <c r="AK16" s="18">
        <f t="shared" si="9"/>
        <v>23980</v>
      </c>
      <c r="AL16" s="18">
        <v>3.6</v>
      </c>
      <c r="AM16" s="18">
        <v>0</v>
      </c>
      <c r="AN16" s="18">
        <f t="shared" si="10"/>
        <v>0</v>
      </c>
      <c r="AO16" s="18">
        <v>0</v>
      </c>
      <c r="AP16" s="18">
        <v>0</v>
      </c>
      <c r="AQ16" s="18">
        <f t="shared" si="11"/>
        <v>0</v>
      </c>
      <c r="AR16" s="18">
        <v>3.8</v>
      </c>
      <c r="AS16" s="18">
        <v>0</v>
      </c>
      <c r="AT16" s="18">
        <f t="shared" si="12"/>
        <v>0</v>
      </c>
      <c r="AU16" s="18">
        <v>105083.14</v>
      </c>
      <c r="AV16" s="18">
        <v>0</v>
      </c>
      <c r="AW16" s="18">
        <f t="shared" si="13"/>
        <v>0</v>
      </c>
      <c r="AX16" s="18">
        <v>8.6E-3</v>
      </c>
      <c r="AY16" s="18">
        <v>8.6E-3</v>
      </c>
      <c r="AZ16" s="18">
        <f t="shared" si="14"/>
        <v>8.6E-3</v>
      </c>
      <c r="BA16" s="18">
        <v>8.6E-3</v>
      </c>
      <c r="BB16" s="18">
        <v>8.6E-3</v>
      </c>
      <c r="BC16" s="18">
        <f t="shared" si="15"/>
        <v>8.6E-3</v>
      </c>
      <c r="BD16" s="18">
        <v>0</v>
      </c>
      <c r="BE16" s="18">
        <v>0</v>
      </c>
      <c r="BF16" s="18">
        <f t="shared" si="16"/>
        <v>0</v>
      </c>
    </row>
    <row r="17" spans="1:58" ht="25.5" x14ac:dyDescent="0.25">
      <c r="A17" s="124" t="s">
        <v>1132</v>
      </c>
      <c r="B17" s="124" t="s">
        <v>1468</v>
      </c>
      <c r="C17" s="18" t="s">
        <v>1504</v>
      </c>
      <c r="D17" s="18" t="s">
        <v>1505</v>
      </c>
      <c r="E17" s="18" t="s">
        <v>1500</v>
      </c>
      <c r="F17" s="18" t="s">
        <v>1478</v>
      </c>
      <c r="G17" s="119">
        <v>43008</v>
      </c>
      <c r="H17" s="18">
        <v>0</v>
      </c>
      <c r="I17" s="18">
        <v>0</v>
      </c>
      <c r="J17" s="18">
        <f t="shared" si="0"/>
        <v>0</v>
      </c>
      <c r="K17" s="18">
        <v>2.2200000000000002</v>
      </c>
      <c r="L17" s="18">
        <v>0</v>
      </c>
      <c r="M17" s="18">
        <f t="shared" si="1"/>
        <v>0</v>
      </c>
      <c r="N17" s="18">
        <v>12.09</v>
      </c>
      <c r="O17" s="18">
        <v>12.08</v>
      </c>
      <c r="P17" s="18">
        <f t="shared" si="2"/>
        <v>12.08</v>
      </c>
      <c r="Q17" s="18">
        <v>7</v>
      </c>
      <c r="R17" s="18">
        <v>7</v>
      </c>
      <c r="S17" s="18">
        <f t="shared" si="3"/>
        <v>7</v>
      </c>
      <c r="T17" s="18">
        <v>1</v>
      </c>
      <c r="U17" s="18">
        <v>1</v>
      </c>
      <c r="V17" s="18">
        <f t="shared" si="4"/>
        <v>1</v>
      </c>
      <c r="W17" s="18">
        <v>428.24</v>
      </c>
      <c r="X17" s="18">
        <v>428.24</v>
      </c>
      <c r="Y17" s="18">
        <f t="shared" si="5"/>
        <v>428.24</v>
      </c>
      <c r="Z17" s="18">
        <v>22.32</v>
      </c>
      <c r="AA17" s="18">
        <v>0</v>
      </c>
      <c r="AB17" s="18">
        <f t="shared" si="6"/>
        <v>0</v>
      </c>
      <c r="AC17" s="18">
        <v>59.32</v>
      </c>
      <c r="AD17" s="18">
        <v>59.32</v>
      </c>
      <c r="AE17" s="18">
        <f t="shared" si="7"/>
        <v>59.32</v>
      </c>
      <c r="AF17" s="18">
        <v>37000</v>
      </c>
      <c r="AG17" s="18">
        <v>0</v>
      </c>
      <c r="AH17" s="18">
        <f t="shared" si="8"/>
        <v>0</v>
      </c>
      <c r="AI17" s="18">
        <v>37000</v>
      </c>
      <c r="AJ17" s="18">
        <v>40532.92</v>
      </c>
      <c r="AK17" s="18">
        <f t="shared" si="9"/>
        <v>40532.92</v>
      </c>
      <c r="AL17" s="18">
        <v>10320</v>
      </c>
      <c r="AM17" s="18">
        <v>0</v>
      </c>
      <c r="AN17" s="18">
        <f t="shared" si="10"/>
        <v>0</v>
      </c>
      <c r="AO17" s="18">
        <v>5060</v>
      </c>
      <c r="AP17" s="18">
        <v>0</v>
      </c>
      <c r="AQ17" s="18">
        <f t="shared" si="11"/>
        <v>0</v>
      </c>
      <c r="AR17" s="18">
        <v>19640</v>
      </c>
      <c r="AS17" s="18">
        <v>0</v>
      </c>
      <c r="AT17" s="18">
        <f t="shared" si="12"/>
        <v>0</v>
      </c>
      <c r="AU17" s="18">
        <v>83678</v>
      </c>
      <c r="AV17" s="18">
        <v>0</v>
      </c>
      <c r="AW17" s="18">
        <f t="shared" si="13"/>
        <v>0</v>
      </c>
      <c r="AX17" s="18">
        <v>0</v>
      </c>
      <c r="AY17" s="18">
        <v>0</v>
      </c>
      <c r="AZ17" s="18">
        <f t="shared" si="14"/>
        <v>0</v>
      </c>
      <c r="BA17" s="18">
        <v>4.0000000000000001E-3</v>
      </c>
      <c r="BB17" s="18">
        <v>4.0000000000000001E-3</v>
      </c>
      <c r="BC17" s="18">
        <f t="shared" si="15"/>
        <v>4.0000000000000001E-3</v>
      </c>
      <c r="BD17" s="18">
        <v>4.0000000000000001E-3</v>
      </c>
      <c r="BE17" s="18">
        <v>4.0000000000000001E-3</v>
      </c>
      <c r="BF17" s="18">
        <f t="shared" si="16"/>
        <v>4.0000000000000001E-3</v>
      </c>
    </row>
    <row r="18" spans="1:58" ht="25.5" x14ac:dyDescent="0.25">
      <c r="A18" s="124" t="s">
        <v>1133</v>
      </c>
      <c r="B18" s="124" t="s">
        <v>1468</v>
      </c>
      <c r="C18" s="18" t="s">
        <v>1506</v>
      </c>
      <c r="D18" s="18" t="s">
        <v>1507</v>
      </c>
      <c r="E18" s="18" t="s">
        <v>1474</v>
      </c>
      <c r="F18" s="18" t="s">
        <v>1478</v>
      </c>
      <c r="G18" s="119">
        <v>43008</v>
      </c>
      <c r="H18" s="18">
        <v>0</v>
      </c>
      <c r="I18" s="18">
        <v>0</v>
      </c>
      <c r="J18" s="18">
        <f t="shared" si="0"/>
        <v>0</v>
      </c>
      <c r="K18" s="18">
        <v>0</v>
      </c>
      <c r="L18" s="18">
        <v>0</v>
      </c>
      <c r="M18" s="18">
        <f t="shared" si="1"/>
        <v>0</v>
      </c>
      <c r="N18" s="18">
        <v>7.7</v>
      </c>
      <c r="O18" s="18">
        <v>9.5437999999999992</v>
      </c>
      <c r="P18" s="18">
        <f t="shared" si="2"/>
        <v>9.5437999999999992</v>
      </c>
      <c r="Q18" s="18">
        <v>1</v>
      </c>
      <c r="R18" s="18">
        <v>1</v>
      </c>
      <c r="S18" s="18">
        <f t="shared" si="3"/>
        <v>1</v>
      </c>
      <c r="T18" s="18">
        <v>1</v>
      </c>
      <c r="U18" s="18">
        <v>1</v>
      </c>
      <c r="V18" s="18">
        <f t="shared" si="4"/>
        <v>1</v>
      </c>
      <c r="W18" s="18">
        <v>0</v>
      </c>
      <c r="X18" s="18">
        <v>0</v>
      </c>
      <c r="Y18" s="18">
        <f t="shared" si="5"/>
        <v>0</v>
      </c>
      <c r="Z18" s="18">
        <v>19.3</v>
      </c>
      <c r="AA18" s="18">
        <v>0</v>
      </c>
      <c r="AB18" s="18">
        <f t="shared" si="6"/>
        <v>0</v>
      </c>
      <c r="AC18" s="18">
        <v>216.6</v>
      </c>
      <c r="AD18" s="18">
        <v>216.6</v>
      </c>
      <c r="AE18" s="18">
        <f t="shared" si="7"/>
        <v>216.6</v>
      </c>
      <c r="AF18" s="18">
        <v>197300</v>
      </c>
      <c r="AG18" s="18">
        <v>0</v>
      </c>
      <c r="AH18" s="18">
        <f t="shared" si="8"/>
        <v>0</v>
      </c>
      <c r="AI18" s="18">
        <v>197300</v>
      </c>
      <c r="AJ18" s="18">
        <v>61891.5</v>
      </c>
      <c r="AK18" s="18">
        <f t="shared" si="9"/>
        <v>61891.5</v>
      </c>
      <c r="AL18" s="18">
        <v>16.399999999999999</v>
      </c>
      <c r="AM18" s="18">
        <v>0</v>
      </c>
      <c r="AN18" s="18">
        <f t="shared" si="10"/>
        <v>0</v>
      </c>
      <c r="AO18" s="18">
        <v>0</v>
      </c>
      <c r="AP18" s="18">
        <v>0</v>
      </c>
      <c r="AQ18" s="18">
        <f t="shared" si="11"/>
        <v>0</v>
      </c>
      <c r="AR18" s="18">
        <v>0.3</v>
      </c>
      <c r="AS18" s="18">
        <v>0</v>
      </c>
      <c r="AT18" s="18">
        <f t="shared" si="12"/>
        <v>0</v>
      </c>
      <c r="AU18" s="18">
        <v>0</v>
      </c>
      <c r="AV18" s="18">
        <v>0</v>
      </c>
      <c r="AW18" s="18">
        <f t="shared" si="13"/>
        <v>0</v>
      </c>
      <c r="AX18" s="18">
        <v>0</v>
      </c>
      <c r="AY18" s="18">
        <v>0</v>
      </c>
      <c r="AZ18" s="18">
        <f t="shared" si="14"/>
        <v>0</v>
      </c>
      <c r="BA18" s="18">
        <v>0</v>
      </c>
      <c r="BB18" s="18">
        <v>0</v>
      </c>
      <c r="BC18" s="18">
        <f t="shared" si="15"/>
        <v>0</v>
      </c>
      <c r="BD18" s="18">
        <v>0</v>
      </c>
      <c r="BE18" s="18">
        <v>0</v>
      </c>
      <c r="BF18" s="18">
        <f t="shared" si="16"/>
        <v>0</v>
      </c>
    </row>
    <row r="19" spans="1:58" ht="38.25" x14ac:dyDescent="0.25">
      <c r="A19" s="124" t="s">
        <v>1134</v>
      </c>
      <c r="B19" s="124" t="s">
        <v>1468</v>
      </c>
      <c r="C19" s="18" t="s">
        <v>1508</v>
      </c>
      <c r="D19" s="18" t="s">
        <v>1509</v>
      </c>
      <c r="E19" s="18" t="s">
        <v>1477</v>
      </c>
      <c r="F19" s="18" t="s">
        <v>1478</v>
      </c>
      <c r="G19" s="119">
        <v>43039</v>
      </c>
      <c r="H19" s="18">
        <v>1.35E-2</v>
      </c>
      <c r="I19" s="18">
        <v>0</v>
      </c>
      <c r="J19" s="18">
        <f t="shared" si="0"/>
        <v>0</v>
      </c>
      <c r="K19" s="18">
        <v>0</v>
      </c>
      <c r="L19" s="18">
        <v>0</v>
      </c>
      <c r="M19" s="18">
        <f t="shared" si="1"/>
        <v>0</v>
      </c>
      <c r="N19" s="18">
        <v>25.47</v>
      </c>
      <c r="O19" s="18">
        <v>25.863</v>
      </c>
      <c r="P19" s="18">
        <f t="shared" si="2"/>
        <v>25.863</v>
      </c>
      <c r="Q19" s="18">
        <v>3</v>
      </c>
      <c r="R19" s="18">
        <v>3</v>
      </c>
      <c r="S19" s="18">
        <f t="shared" si="3"/>
        <v>3</v>
      </c>
      <c r="T19" s="18">
        <v>1</v>
      </c>
      <c r="U19" s="18">
        <v>1</v>
      </c>
      <c r="V19" s="18">
        <f t="shared" si="4"/>
        <v>1</v>
      </c>
      <c r="W19" s="18">
        <v>279.39999999999998</v>
      </c>
      <c r="X19" s="18">
        <v>279.85000000000002</v>
      </c>
      <c r="Y19" s="18">
        <f t="shared" si="5"/>
        <v>279.85000000000002</v>
      </c>
      <c r="Z19" s="18">
        <v>5.93</v>
      </c>
      <c r="AA19" s="18">
        <v>0</v>
      </c>
      <c r="AB19" s="18">
        <f t="shared" si="6"/>
        <v>0</v>
      </c>
      <c r="AC19" s="18">
        <v>41.213000000000001</v>
      </c>
      <c r="AD19" s="18">
        <v>41.213000000000001</v>
      </c>
      <c r="AE19" s="18">
        <f t="shared" si="7"/>
        <v>41.213000000000001</v>
      </c>
      <c r="AF19" s="18">
        <v>35278.33</v>
      </c>
      <c r="AG19" s="18">
        <v>0</v>
      </c>
      <c r="AH19" s="18">
        <f t="shared" si="8"/>
        <v>0</v>
      </c>
      <c r="AI19" s="18">
        <v>77584.320000000007</v>
      </c>
      <c r="AJ19" s="18">
        <v>88773.14</v>
      </c>
      <c r="AK19" s="18">
        <f t="shared" si="9"/>
        <v>88773.14</v>
      </c>
      <c r="AL19" s="18">
        <v>85.05</v>
      </c>
      <c r="AM19" s="18">
        <v>0</v>
      </c>
      <c r="AN19" s="18">
        <f t="shared" si="10"/>
        <v>0</v>
      </c>
      <c r="AO19" s="18">
        <v>15.4</v>
      </c>
      <c r="AP19" s="18">
        <v>0</v>
      </c>
      <c r="AQ19" s="18">
        <f t="shared" si="11"/>
        <v>0</v>
      </c>
      <c r="AR19" s="18">
        <v>77.400000000000006</v>
      </c>
      <c r="AS19" s="18">
        <v>0</v>
      </c>
      <c r="AT19" s="18">
        <f t="shared" si="12"/>
        <v>0</v>
      </c>
      <c r="AU19" s="18">
        <v>251610.26</v>
      </c>
      <c r="AV19" s="18">
        <v>0</v>
      </c>
      <c r="AW19" s="18">
        <f t="shared" si="13"/>
        <v>0</v>
      </c>
      <c r="AX19" s="18">
        <v>1.35E-2</v>
      </c>
      <c r="AY19" s="18">
        <v>1.35E-2</v>
      </c>
      <c r="AZ19" s="18">
        <f t="shared" si="14"/>
        <v>1.35E-2</v>
      </c>
      <c r="BA19" s="18">
        <v>1.35E-2</v>
      </c>
      <c r="BB19" s="18">
        <v>1.35E-2</v>
      </c>
      <c r="BC19" s="18">
        <f t="shared" si="15"/>
        <v>1.35E-2</v>
      </c>
      <c r="BD19" s="18">
        <v>1.35E-2</v>
      </c>
      <c r="BE19" s="18">
        <v>0</v>
      </c>
      <c r="BF19" s="18">
        <f t="shared" si="16"/>
        <v>0</v>
      </c>
    </row>
    <row r="20" spans="1:58" ht="25.5" x14ac:dyDescent="0.25">
      <c r="A20" s="124" t="s">
        <v>1135</v>
      </c>
      <c r="B20" s="124" t="s">
        <v>1468</v>
      </c>
      <c r="C20" s="18" t="s">
        <v>1510</v>
      </c>
      <c r="D20" s="18" t="s">
        <v>1511</v>
      </c>
      <c r="E20" s="18" t="s">
        <v>1489</v>
      </c>
      <c r="F20" s="18" t="s">
        <v>1111</v>
      </c>
      <c r="G20" s="119">
        <v>43131</v>
      </c>
      <c r="H20" s="18">
        <v>0</v>
      </c>
      <c r="I20" s="18"/>
      <c r="J20" s="18">
        <f t="shared" si="0"/>
        <v>0</v>
      </c>
      <c r="K20" s="18">
        <v>27151.14</v>
      </c>
      <c r="L20" s="18"/>
      <c r="M20" s="18">
        <f t="shared" si="1"/>
        <v>27151.14</v>
      </c>
      <c r="N20" s="18">
        <v>6.9000000000000006E-2</v>
      </c>
      <c r="O20" s="18"/>
      <c r="P20" s="18">
        <f t="shared" si="2"/>
        <v>6.9000000000000006E-2</v>
      </c>
      <c r="Q20" s="18">
        <v>3</v>
      </c>
      <c r="R20" s="18"/>
      <c r="S20" s="18">
        <f t="shared" si="3"/>
        <v>3</v>
      </c>
      <c r="T20" s="18">
        <v>1</v>
      </c>
      <c r="U20" s="18"/>
      <c r="V20" s="18">
        <f t="shared" si="4"/>
        <v>1</v>
      </c>
      <c r="W20" s="18">
        <v>607.67999999999995</v>
      </c>
      <c r="X20" s="18"/>
      <c r="Y20" s="18">
        <f t="shared" si="5"/>
        <v>607.67999999999995</v>
      </c>
      <c r="Z20" s="18">
        <v>34.678899999999999</v>
      </c>
      <c r="AA20" s="18"/>
      <c r="AB20" s="18">
        <f t="shared" si="6"/>
        <v>34.678899999999999</v>
      </c>
      <c r="AC20" s="18">
        <v>175.14599999999999</v>
      </c>
      <c r="AD20" s="18"/>
      <c r="AE20" s="18">
        <f t="shared" si="7"/>
        <v>175.14599999999999</v>
      </c>
      <c r="AF20" s="18">
        <v>140467.09</v>
      </c>
      <c r="AG20" s="18"/>
      <c r="AH20" s="18">
        <f t="shared" si="8"/>
        <v>140467.09</v>
      </c>
      <c r="AI20" s="18">
        <v>145843.20000000001</v>
      </c>
      <c r="AJ20" s="18"/>
      <c r="AK20" s="18">
        <f t="shared" si="9"/>
        <v>145843.20000000001</v>
      </c>
      <c r="AL20" s="18">
        <v>2</v>
      </c>
      <c r="AM20" s="18"/>
      <c r="AN20" s="18">
        <f t="shared" si="10"/>
        <v>2</v>
      </c>
      <c r="AO20" s="18">
        <v>9.1999999999999993</v>
      </c>
      <c r="AP20" s="18"/>
      <c r="AQ20" s="18">
        <f t="shared" si="11"/>
        <v>9.1999999999999993</v>
      </c>
      <c r="AR20" s="18">
        <v>47.3</v>
      </c>
      <c r="AS20" s="18"/>
      <c r="AT20" s="18">
        <f t="shared" si="12"/>
        <v>47.3</v>
      </c>
      <c r="AU20" s="18">
        <v>235779.84</v>
      </c>
      <c r="AV20" s="18"/>
      <c r="AW20" s="18">
        <f t="shared" si="13"/>
        <v>235779.84</v>
      </c>
      <c r="AX20" s="18">
        <v>0</v>
      </c>
      <c r="AY20" s="18"/>
      <c r="AZ20" s="18">
        <f t="shared" si="14"/>
        <v>0</v>
      </c>
      <c r="BA20" s="18">
        <v>27.1511</v>
      </c>
      <c r="BB20" s="18"/>
      <c r="BC20" s="18">
        <f t="shared" si="15"/>
        <v>27.1511</v>
      </c>
      <c r="BD20" s="18">
        <v>0</v>
      </c>
      <c r="BE20" s="18"/>
      <c r="BF20" s="18">
        <f t="shared" si="16"/>
        <v>0</v>
      </c>
    </row>
    <row r="21" spans="1:58" ht="25.5" x14ac:dyDescent="0.25">
      <c r="A21" s="124" t="s">
        <v>1136</v>
      </c>
      <c r="B21" s="124" t="s">
        <v>1468</v>
      </c>
      <c r="C21" s="18" t="s">
        <v>1512</v>
      </c>
      <c r="D21" s="18" t="s">
        <v>1513</v>
      </c>
      <c r="E21" s="18" t="s">
        <v>1483</v>
      </c>
      <c r="F21" s="18" t="s">
        <v>1111</v>
      </c>
      <c r="G21" s="119">
        <v>43100</v>
      </c>
      <c r="H21" s="18">
        <v>2.2000000000000002</v>
      </c>
      <c r="I21" s="18">
        <v>0</v>
      </c>
      <c r="J21" s="18">
        <f t="shared" si="0"/>
        <v>2.2000000000000002</v>
      </c>
      <c r="K21" s="18">
        <v>0</v>
      </c>
      <c r="L21" s="18">
        <v>0</v>
      </c>
      <c r="M21" s="18">
        <f t="shared" si="1"/>
        <v>0</v>
      </c>
      <c r="N21" s="18">
        <v>55.0687</v>
      </c>
      <c r="O21" s="18">
        <v>0</v>
      </c>
      <c r="P21" s="18">
        <f t="shared" si="2"/>
        <v>55.0687</v>
      </c>
      <c r="Q21" s="18">
        <v>6</v>
      </c>
      <c r="R21" s="18">
        <v>0</v>
      </c>
      <c r="S21" s="18">
        <f t="shared" si="3"/>
        <v>6</v>
      </c>
      <c r="T21" s="18">
        <v>1</v>
      </c>
      <c r="U21" s="18">
        <v>0</v>
      </c>
      <c r="V21" s="18">
        <f t="shared" si="4"/>
        <v>1</v>
      </c>
      <c r="W21" s="18">
        <v>2410.44</v>
      </c>
      <c r="X21" s="18">
        <v>0</v>
      </c>
      <c r="Y21" s="18">
        <f t="shared" si="5"/>
        <v>2410.44</v>
      </c>
      <c r="Z21" s="18">
        <v>88.36</v>
      </c>
      <c r="AA21" s="18">
        <v>0</v>
      </c>
      <c r="AB21" s="18">
        <f t="shared" si="6"/>
        <v>88.36</v>
      </c>
      <c r="AC21" s="18">
        <v>228.38</v>
      </c>
      <c r="AD21" s="18">
        <v>228.38</v>
      </c>
      <c r="AE21" s="18">
        <f t="shared" si="7"/>
        <v>228.38</v>
      </c>
      <c r="AF21" s="18">
        <v>140027.26</v>
      </c>
      <c r="AG21" s="18">
        <v>0</v>
      </c>
      <c r="AH21" s="18">
        <f t="shared" si="8"/>
        <v>140027.26</v>
      </c>
      <c r="AI21" s="18">
        <v>220841.05</v>
      </c>
      <c r="AJ21" s="18">
        <v>0</v>
      </c>
      <c r="AK21" s="18">
        <f t="shared" si="9"/>
        <v>220841.05</v>
      </c>
      <c r="AL21" s="18">
        <v>35.5</v>
      </c>
      <c r="AM21" s="18">
        <v>0</v>
      </c>
      <c r="AN21" s="18">
        <f t="shared" si="10"/>
        <v>35.5</v>
      </c>
      <c r="AO21" s="18">
        <v>3.6</v>
      </c>
      <c r="AP21" s="18">
        <v>0</v>
      </c>
      <c r="AQ21" s="18">
        <f t="shared" si="11"/>
        <v>3.6</v>
      </c>
      <c r="AR21" s="18">
        <v>4.5</v>
      </c>
      <c r="AS21" s="18">
        <v>0</v>
      </c>
      <c r="AT21" s="18">
        <f t="shared" si="12"/>
        <v>4.5</v>
      </c>
      <c r="AU21" s="18">
        <v>372702.23</v>
      </c>
      <c r="AV21" s="18">
        <v>0</v>
      </c>
      <c r="AW21" s="18">
        <f t="shared" si="13"/>
        <v>372702.23</v>
      </c>
      <c r="AX21" s="18">
        <v>4.5999999999999999E-3</v>
      </c>
      <c r="AY21" s="18">
        <v>0</v>
      </c>
      <c r="AZ21" s="18">
        <f t="shared" si="14"/>
        <v>4.5999999999999999E-3</v>
      </c>
      <c r="BA21" s="18">
        <v>4.5999999999999999E-3</v>
      </c>
      <c r="BB21" s="18">
        <v>0</v>
      </c>
      <c r="BC21" s="18">
        <f t="shared" si="15"/>
        <v>4.5999999999999999E-3</v>
      </c>
      <c r="BD21" s="18">
        <v>0</v>
      </c>
      <c r="BE21" s="18">
        <v>0</v>
      </c>
      <c r="BF21" s="18">
        <f t="shared" si="16"/>
        <v>0</v>
      </c>
    </row>
    <row r="22" spans="1:58" ht="38.25" x14ac:dyDescent="0.25">
      <c r="A22" s="124" t="s">
        <v>1137</v>
      </c>
      <c r="B22" s="124" t="s">
        <v>1468</v>
      </c>
      <c r="C22" s="18" t="s">
        <v>1514</v>
      </c>
      <c r="D22" s="18" t="s">
        <v>1515</v>
      </c>
      <c r="E22" s="18" t="s">
        <v>1503</v>
      </c>
      <c r="F22" s="18" t="s">
        <v>1111</v>
      </c>
      <c r="G22" s="119">
        <v>43373</v>
      </c>
      <c r="H22" s="18">
        <v>0</v>
      </c>
      <c r="I22" s="18">
        <v>0</v>
      </c>
      <c r="J22" s="18">
        <f t="shared" si="0"/>
        <v>0</v>
      </c>
      <c r="K22" s="18">
        <v>0</v>
      </c>
      <c r="L22" s="18">
        <v>0</v>
      </c>
      <c r="M22" s="18">
        <f t="shared" si="1"/>
        <v>0</v>
      </c>
      <c r="N22" s="18">
        <v>58.478000000000002</v>
      </c>
      <c r="O22" s="18">
        <v>0</v>
      </c>
      <c r="P22" s="18">
        <f t="shared" si="2"/>
        <v>58.478000000000002</v>
      </c>
      <c r="Q22" s="18">
        <v>6</v>
      </c>
      <c r="R22" s="18">
        <v>0</v>
      </c>
      <c r="S22" s="18">
        <f t="shared" si="3"/>
        <v>6</v>
      </c>
      <c r="T22" s="18">
        <v>1</v>
      </c>
      <c r="U22" s="18">
        <v>0</v>
      </c>
      <c r="V22" s="18">
        <f t="shared" si="4"/>
        <v>1</v>
      </c>
      <c r="W22" s="18">
        <v>1990.42</v>
      </c>
      <c r="X22" s="18">
        <v>0</v>
      </c>
      <c r="Y22" s="18">
        <f t="shared" si="5"/>
        <v>1990.42</v>
      </c>
      <c r="Z22" s="18">
        <v>140.22499999999999</v>
      </c>
      <c r="AA22" s="18">
        <v>0</v>
      </c>
      <c r="AB22" s="18">
        <f t="shared" si="6"/>
        <v>140.22499999999999</v>
      </c>
      <c r="AC22" s="18">
        <v>458.851</v>
      </c>
      <c r="AD22" s="18">
        <v>458.851</v>
      </c>
      <c r="AE22" s="18">
        <f t="shared" si="7"/>
        <v>458.851</v>
      </c>
      <c r="AF22" s="18">
        <v>318626.43</v>
      </c>
      <c r="AG22" s="18">
        <v>0</v>
      </c>
      <c r="AH22" s="18">
        <f t="shared" si="8"/>
        <v>318626.43</v>
      </c>
      <c r="AI22" s="18">
        <v>202107.25</v>
      </c>
      <c r="AJ22" s="18">
        <v>0</v>
      </c>
      <c r="AK22" s="18">
        <f t="shared" si="9"/>
        <v>202107.25</v>
      </c>
      <c r="AL22" s="18">
        <v>118.4</v>
      </c>
      <c r="AM22" s="18">
        <v>0</v>
      </c>
      <c r="AN22" s="18">
        <f t="shared" si="10"/>
        <v>118.4</v>
      </c>
      <c r="AO22" s="18">
        <v>5.6</v>
      </c>
      <c r="AP22" s="18">
        <v>0</v>
      </c>
      <c r="AQ22" s="18">
        <f t="shared" si="11"/>
        <v>5.6</v>
      </c>
      <c r="AR22" s="18">
        <v>28</v>
      </c>
      <c r="AS22" s="18">
        <v>0</v>
      </c>
      <c r="AT22" s="18">
        <f t="shared" si="12"/>
        <v>28</v>
      </c>
      <c r="AU22" s="18">
        <v>318626.43</v>
      </c>
      <c r="AV22" s="18">
        <v>0</v>
      </c>
      <c r="AW22" s="18">
        <f t="shared" si="13"/>
        <v>318626.43</v>
      </c>
      <c r="AX22" s="18">
        <v>0</v>
      </c>
      <c r="AY22" s="18">
        <v>0</v>
      </c>
      <c r="AZ22" s="18">
        <f t="shared" si="14"/>
        <v>0</v>
      </c>
      <c r="BA22" s="18">
        <v>0</v>
      </c>
      <c r="BB22" s="18">
        <v>0</v>
      </c>
      <c r="BC22" s="18">
        <f t="shared" si="15"/>
        <v>0</v>
      </c>
      <c r="BD22" s="18">
        <v>0</v>
      </c>
      <c r="BE22" s="18">
        <v>0</v>
      </c>
      <c r="BF22" s="18">
        <f t="shared" si="16"/>
        <v>0</v>
      </c>
    </row>
    <row r="23" spans="1:58" ht="25.5" x14ac:dyDescent="0.25">
      <c r="A23" s="124" t="s">
        <v>1138</v>
      </c>
      <c r="B23" s="124" t="s">
        <v>1468</v>
      </c>
      <c r="C23" s="18" t="s">
        <v>1516</v>
      </c>
      <c r="D23" s="18" t="s">
        <v>1517</v>
      </c>
      <c r="E23" s="18" t="s">
        <v>1477</v>
      </c>
      <c r="F23" s="18" t="s">
        <v>1111</v>
      </c>
      <c r="G23" s="119">
        <v>43190</v>
      </c>
      <c r="H23" s="18">
        <v>0</v>
      </c>
      <c r="I23" s="18">
        <v>0</v>
      </c>
      <c r="J23" s="18">
        <f t="shared" si="0"/>
        <v>0</v>
      </c>
      <c r="K23" s="18">
        <v>0</v>
      </c>
      <c r="L23" s="18">
        <v>0</v>
      </c>
      <c r="M23" s="18">
        <f t="shared" si="1"/>
        <v>0</v>
      </c>
      <c r="N23" s="18">
        <v>55.106000000000002</v>
      </c>
      <c r="O23" s="18">
        <v>0</v>
      </c>
      <c r="P23" s="18">
        <f t="shared" si="2"/>
        <v>55.106000000000002</v>
      </c>
      <c r="Q23" s="18">
        <v>3</v>
      </c>
      <c r="R23" s="18">
        <v>0</v>
      </c>
      <c r="S23" s="18">
        <f t="shared" si="3"/>
        <v>3</v>
      </c>
      <c r="T23" s="18">
        <v>1</v>
      </c>
      <c r="U23" s="18">
        <v>0</v>
      </c>
      <c r="V23" s="18">
        <f t="shared" si="4"/>
        <v>1</v>
      </c>
      <c r="W23" s="18">
        <v>3848.28</v>
      </c>
      <c r="X23" s="18">
        <v>0</v>
      </c>
      <c r="Y23" s="18">
        <f t="shared" si="5"/>
        <v>3848.28</v>
      </c>
      <c r="Z23" s="18">
        <v>197.68</v>
      </c>
      <c r="AA23" s="18">
        <v>0</v>
      </c>
      <c r="AB23" s="18">
        <f t="shared" si="6"/>
        <v>197.68</v>
      </c>
      <c r="AC23" s="18">
        <v>656.69</v>
      </c>
      <c r="AD23" s="18">
        <v>656.69</v>
      </c>
      <c r="AE23" s="18">
        <f t="shared" si="7"/>
        <v>656.69</v>
      </c>
      <c r="AF23" s="18">
        <v>459010</v>
      </c>
      <c r="AG23" s="18">
        <v>0</v>
      </c>
      <c r="AH23" s="18">
        <f t="shared" si="8"/>
        <v>459010</v>
      </c>
      <c r="AI23" s="18">
        <v>459010</v>
      </c>
      <c r="AJ23" s="18">
        <v>0</v>
      </c>
      <c r="AK23" s="18">
        <f t="shared" si="9"/>
        <v>459010</v>
      </c>
      <c r="AL23" s="18">
        <v>246</v>
      </c>
      <c r="AM23" s="18">
        <v>0</v>
      </c>
      <c r="AN23" s="18">
        <f t="shared" si="10"/>
        <v>246</v>
      </c>
      <c r="AO23" s="18">
        <v>10</v>
      </c>
      <c r="AP23" s="18">
        <v>0</v>
      </c>
      <c r="AQ23" s="18">
        <f t="shared" si="11"/>
        <v>10</v>
      </c>
      <c r="AR23" s="18">
        <v>49</v>
      </c>
      <c r="AS23" s="18">
        <v>0</v>
      </c>
      <c r="AT23" s="18">
        <f t="shared" si="12"/>
        <v>49</v>
      </c>
      <c r="AU23" s="18">
        <v>702220</v>
      </c>
      <c r="AV23" s="18">
        <v>0</v>
      </c>
      <c r="AW23" s="18">
        <f t="shared" si="13"/>
        <v>702220</v>
      </c>
      <c r="AX23" s="18">
        <v>0</v>
      </c>
      <c r="AY23" s="18">
        <v>0</v>
      </c>
      <c r="AZ23" s="18">
        <f t="shared" si="14"/>
        <v>0</v>
      </c>
      <c r="BA23" s="18">
        <v>0</v>
      </c>
      <c r="BB23" s="18">
        <v>0</v>
      </c>
      <c r="BC23" s="18">
        <f t="shared" si="15"/>
        <v>0</v>
      </c>
      <c r="BD23" s="18">
        <v>0</v>
      </c>
      <c r="BE23" s="18">
        <v>0</v>
      </c>
      <c r="BF23" s="18">
        <f t="shared" si="16"/>
        <v>0</v>
      </c>
    </row>
    <row r="24" spans="1:58" ht="25.5" x14ac:dyDescent="0.25">
      <c r="A24" s="124" t="s">
        <v>1139</v>
      </c>
      <c r="B24" s="124" t="s">
        <v>1468</v>
      </c>
      <c r="C24" s="18" t="s">
        <v>1518</v>
      </c>
      <c r="D24" s="18" t="s">
        <v>1519</v>
      </c>
      <c r="E24" s="18" t="s">
        <v>1483</v>
      </c>
      <c r="F24" s="18" t="s">
        <v>1111</v>
      </c>
      <c r="G24" s="119">
        <v>43281</v>
      </c>
      <c r="H24" s="18">
        <v>0</v>
      </c>
      <c r="I24" s="18">
        <v>0</v>
      </c>
      <c r="J24" s="18">
        <f t="shared" si="0"/>
        <v>0</v>
      </c>
      <c r="K24" s="18">
        <v>3.57</v>
      </c>
      <c r="L24" s="18">
        <v>3.57</v>
      </c>
      <c r="M24" s="18">
        <f t="shared" si="1"/>
        <v>3.57</v>
      </c>
      <c r="N24" s="18">
        <v>10.17</v>
      </c>
      <c r="O24" s="18">
        <v>10.748100000000001</v>
      </c>
      <c r="P24" s="18">
        <f t="shared" si="2"/>
        <v>10.17</v>
      </c>
      <c r="Q24" s="18">
        <v>2</v>
      </c>
      <c r="R24" s="18">
        <v>2</v>
      </c>
      <c r="S24" s="18">
        <f t="shared" si="3"/>
        <v>2</v>
      </c>
      <c r="T24" s="18">
        <v>1</v>
      </c>
      <c r="U24" s="18">
        <v>1</v>
      </c>
      <c r="V24" s="18">
        <f t="shared" si="4"/>
        <v>1</v>
      </c>
      <c r="W24" s="18">
        <v>244.01</v>
      </c>
      <c r="X24" s="18">
        <v>244.01</v>
      </c>
      <c r="Y24" s="18">
        <f t="shared" si="5"/>
        <v>244.01</v>
      </c>
      <c r="Z24" s="18">
        <v>14.261699999999999</v>
      </c>
      <c r="AA24" s="18">
        <v>0</v>
      </c>
      <c r="AB24" s="18">
        <f t="shared" si="6"/>
        <v>14.261699999999999</v>
      </c>
      <c r="AC24" s="18">
        <v>50.878399999999999</v>
      </c>
      <c r="AD24" s="18">
        <v>52.991999999999997</v>
      </c>
      <c r="AE24" s="18">
        <f t="shared" si="7"/>
        <v>50.878399999999999</v>
      </c>
      <c r="AF24" s="18">
        <v>0</v>
      </c>
      <c r="AG24" s="18">
        <v>0</v>
      </c>
      <c r="AH24" s="18">
        <f t="shared" si="8"/>
        <v>0</v>
      </c>
      <c r="AI24" s="18">
        <v>36616.699999999997</v>
      </c>
      <c r="AJ24" s="18">
        <v>35017.769999999997</v>
      </c>
      <c r="AK24" s="18">
        <f t="shared" si="9"/>
        <v>36616.699999999997</v>
      </c>
      <c r="AL24" s="18">
        <v>915</v>
      </c>
      <c r="AM24" s="18">
        <v>0</v>
      </c>
      <c r="AN24" s="18">
        <f t="shared" si="10"/>
        <v>915</v>
      </c>
      <c r="AO24" s="18">
        <v>14</v>
      </c>
      <c r="AP24" s="18">
        <v>0</v>
      </c>
      <c r="AQ24" s="18">
        <f t="shared" si="11"/>
        <v>14</v>
      </c>
      <c r="AR24" s="18">
        <v>150</v>
      </c>
      <c r="AS24" s="18">
        <v>0</v>
      </c>
      <c r="AT24" s="18">
        <f t="shared" si="12"/>
        <v>150</v>
      </c>
      <c r="AU24" s="18">
        <v>51312.86</v>
      </c>
      <c r="AV24" s="18">
        <v>51869.2</v>
      </c>
      <c r="AW24" s="18">
        <f t="shared" si="13"/>
        <v>51312.86</v>
      </c>
      <c r="AX24" s="18">
        <v>0</v>
      </c>
      <c r="AY24" s="18">
        <v>0</v>
      </c>
      <c r="AZ24" s="18">
        <f t="shared" si="14"/>
        <v>0</v>
      </c>
      <c r="BA24" s="18">
        <v>1.5109999999999999</v>
      </c>
      <c r="BB24" s="18">
        <v>1.5109999999999999</v>
      </c>
      <c r="BC24" s="18">
        <f t="shared" si="15"/>
        <v>1.5109999999999999</v>
      </c>
      <c r="BD24" s="18">
        <v>1.5109999999999999</v>
      </c>
      <c r="BE24" s="18">
        <v>1.5109999999999999</v>
      </c>
      <c r="BF24" s="18">
        <f t="shared" si="16"/>
        <v>1.5109999999999999</v>
      </c>
    </row>
    <row r="25" spans="1:58" ht="38.25" x14ac:dyDescent="0.25">
      <c r="A25" s="124" t="s">
        <v>1140</v>
      </c>
      <c r="B25" s="124" t="s">
        <v>1468</v>
      </c>
      <c r="C25" s="18" t="s">
        <v>1520</v>
      </c>
      <c r="D25" s="18" t="s">
        <v>1521</v>
      </c>
      <c r="E25" s="18" t="s">
        <v>1471</v>
      </c>
      <c r="F25" s="18" t="s">
        <v>1111</v>
      </c>
      <c r="G25" s="119">
        <v>43585</v>
      </c>
      <c r="H25" s="18">
        <v>0</v>
      </c>
      <c r="I25" s="18">
        <v>0</v>
      </c>
      <c r="J25" s="18">
        <f t="shared" si="0"/>
        <v>0</v>
      </c>
      <c r="K25" s="18">
        <v>0</v>
      </c>
      <c r="L25" s="18">
        <v>0</v>
      </c>
      <c r="M25" s="18">
        <f t="shared" si="1"/>
        <v>0</v>
      </c>
      <c r="N25" s="18">
        <v>0.189</v>
      </c>
      <c r="O25" s="18">
        <v>0</v>
      </c>
      <c r="P25" s="18">
        <f t="shared" si="2"/>
        <v>0</v>
      </c>
      <c r="Q25" s="18">
        <v>3</v>
      </c>
      <c r="R25" s="18">
        <v>0</v>
      </c>
      <c r="S25" s="18">
        <f t="shared" si="3"/>
        <v>0</v>
      </c>
      <c r="T25" s="18">
        <v>1</v>
      </c>
      <c r="U25" s="18">
        <v>0</v>
      </c>
      <c r="V25" s="18">
        <f t="shared" si="4"/>
        <v>0</v>
      </c>
      <c r="W25" s="18">
        <v>2173.64</v>
      </c>
      <c r="X25" s="18">
        <v>0</v>
      </c>
      <c r="Y25" s="18">
        <f t="shared" si="5"/>
        <v>0</v>
      </c>
      <c r="Z25" s="18">
        <v>75.061199999999999</v>
      </c>
      <c r="AA25" s="18">
        <v>0</v>
      </c>
      <c r="AB25" s="18">
        <f t="shared" si="6"/>
        <v>0</v>
      </c>
      <c r="AC25" s="18">
        <v>314.06400000000002</v>
      </c>
      <c r="AD25" s="18">
        <v>314.06400000000002</v>
      </c>
      <c r="AE25" s="18">
        <f t="shared" si="7"/>
        <v>0</v>
      </c>
      <c r="AF25" s="18">
        <v>239002.7</v>
      </c>
      <c r="AG25" s="18">
        <v>0</v>
      </c>
      <c r="AH25" s="18">
        <f t="shared" si="8"/>
        <v>0</v>
      </c>
      <c r="AI25" s="18">
        <v>369755.52</v>
      </c>
      <c r="AJ25" s="18">
        <v>0</v>
      </c>
      <c r="AK25" s="18">
        <f t="shared" si="9"/>
        <v>0</v>
      </c>
      <c r="AL25" s="18">
        <v>1054</v>
      </c>
      <c r="AM25" s="18">
        <v>0</v>
      </c>
      <c r="AN25" s="18">
        <f t="shared" si="10"/>
        <v>0</v>
      </c>
      <c r="AO25" s="18">
        <v>9</v>
      </c>
      <c r="AP25" s="18">
        <v>0</v>
      </c>
      <c r="AQ25" s="18">
        <f t="shared" si="11"/>
        <v>0</v>
      </c>
      <c r="AR25" s="18">
        <v>21</v>
      </c>
      <c r="AS25" s="18">
        <v>0</v>
      </c>
      <c r="AT25" s="18">
        <f t="shared" si="12"/>
        <v>0</v>
      </c>
      <c r="AU25" s="18">
        <v>541236.36</v>
      </c>
      <c r="AV25" s="18">
        <v>0</v>
      </c>
      <c r="AW25" s="18">
        <f t="shared" si="13"/>
        <v>0</v>
      </c>
      <c r="AX25" s="18">
        <v>0</v>
      </c>
      <c r="AY25" s="18">
        <v>0</v>
      </c>
      <c r="AZ25" s="18">
        <f t="shared" si="14"/>
        <v>0</v>
      </c>
      <c r="BA25" s="18">
        <v>0</v>
      </c>
      <c r="BB25" s="18">
        <v>0</v>
      </c>
      <c r="BC25" s="18">
        <f t="shared" si="15"/>
        <v>0</v>
      </c>
      <c r="BD25" s="18">
        <v>0</v>
      </c>
      <c r="BE25" s="18">
        <v>0</v>
      </c>
      <c r="BF25" s="18">
        <f t="shared" si="16"/>
        <v>0</v>
      </c>
    </row>
    <row r="26" spans="1:58" ht="25.5" x14ac:dyDescent="0.25">
      <c r="A26" s="124" t="s">
        <v>1141</v>
      </c>
      <c r="B26" s="124" t="s">
        <v>1468</v>
      </c>
      <c r="C26" s="18" t="s">
        <v>1522</v>
      </c>
      <c r="D26" s="18" t="s">
        <v>1523</v>
      </c>
      <c r="E26" s="18" t="s">
        <v>1489</v>
      </c>
      <c r="F26" s="18" t="s">
        <v>1111</v>
      </c>
      <c r="G26" s="119">
        <v>43069</v>
      </c>
      <c r="H26" s="18">
        <v>6.6018999999999997</v>
      </c>
      <c r="I26" s="18">
        <v>0</v>
      </c>
      <c r="J26" s="18">
        <f t="shared" si="0"/>
        <v>6.6018999999999997</v>
      </c>
      <c r="K26" s="18">
        <v>0</v>
      </c>
      <c r="L26" s="18">
        <v>0</v>
      </c>
      <c r="M26" s="18">
        <f t="shared" si="1"/>
        <v>0</v>
      </c>
      <c r="N26" s="18">
        <v>18.52</v>
      </c>
      <c r="O26" s="18">
        <v>38.61</v>
      </c>
      <c r="P26" s="18">
        <f t="shared" si="2"/>
        <v>18.52</v>
      </c>
      <c r="Q26" s="18">
        <v>3</v>
      </c>
      <c r="R26" s="18">
        <v>3</v>
      </c>
      <c r="S26" s="18">
        <f t="shared" si="3"/>
        <v>3</v>
      </c>
      <c r="T26" s="18">
        <v>1</v>
      </c>
      <c r="U26" s="18">
        <v>1</v>
      </c>
      <c r="V26" s="18">
        <f t="shared" si="4"/>
        <v>1</v>
      </c>
      <c r="W26" s="18">
        <v>731.92</v>
      </c>
      <c r="X26" s="18">
        <v>731.92</v>
      </c>
      <c r="Y26" s="18">
        <f t="shared" si="5"/>
        <v>731.92</v>
      </c>
      <c r="Z26" s="18">
        <v>36.692900000000002</v>
      </c>
      <c r="AA26" s="18">
        <v>0</v>
      </c>
      <c r="AB26" s="18">
        <f t="shared" si="6"/>
        <v>36.692900000000002</v>
      </c>
      <c r="AC26" s="18">
        <v>119.133</v>
      </c>
      <c r="AD26" s="18">
        <v>119.133</v>
      </c>
      <c r="AE26" s="18">
        <f t="shared" si="7"/>
        <v>119.133</v>
      </c>
      <c r="AF26" s="18">
        <v>82440.039999999994</v>
      </c>
      <c r="AG26" s="18">
        <v>0</v>
      </c>
      <c r="AH26" s="18">
        <f t="shared" si="8"/>
        <v>82440.039999999994</v>
      </c>
      <c r="AI26" s="18">
        <v>70264.320000000007</v>
      </c>
      <c r="AJ26" s="18">
        <v>72752.850000000006</v>
      </c>
      <c r="AK26" s="18">
        <f t="shared" si="9"/>
        <v>70264.320000000007</v>
      </c>
      <c r="AL26" s="18">
        <v>15.65</v>
      </c>
      <c r="AM26" s="18">
        <v>0</v>
      </c>
      <c r="AN26" s="18">
        <f t="shared" si="10"/>
        <v>15.65</v>
      </c>
      <c r="AO26" s="18">
        <v>1.05</v>
      </c>
      <c r="AP26" s="18">
        <v>0</v>
      </c>
      <c r="AQ26" s="18">
        <f t="shared" si="11"/>
        <v>1.05</v>
      </c>
      <c r="AR26" s="18">
        <v>5.16</v>
      </c>
      <c r="AS26" s="18">
        <v>0</v>
      </c>
      <c r="AT26" s="18">
        <f t="shared" si="12"/>
        <v>5.16</v>
      </c>
      <c r="AU26" s="18">
        <v>128817.92</v>
      </c>
      <c r="AV26" s="18">
        <v>0</v>
      </c>
      <c r="AW26" s="18">
        <f t="shared" si="13"/>
        <v>128817.92</v>
      </c>
      <c r="AX26" s="18">
        <v>6.6E-3</v>
      </c>
      <c r="AY26" s="18">
        <v>7.4999999999999997E-3</v>
      </c>
      <c r="AZ26" s="18">
        <f t="shared" si="14"/>
        <v>6.6E-3</v>
      </c>
      <c r="BA26" s="18">
        <v>6.6E-3</v>
      </c>
      <c r="BB26" s="18">
        <v>7.4999999999999997E-3</v>
      </c>
      <c r="BC26" s="18">
        <f t="shared" si="15"/>
        <v>6.6E-3</v>
      </c>
      <c r="BD26" s="18">
        <v>0</v>
      </c>
      <c r="BE26" s="18">
        <v>0</v>
      </c>
      <c r="BF26" s="18">
        <f t="shared" si="16"/>
        <v>0</v>
      </c>
    </row>
    <row r="27" spans="1:58" ht="25.5" x14ac:dyDescent="0.25">
      <c r="A27" s="124" t="s">
        <v>1142</v>
      </c>
      <c r="B27" s="124" t="s">
        <v>1468</v>
      </c>
      <c r="C27" s="18" t="s">
        <v>1524</v>
      </c>
      <c r="D27" s="18" t="s">
        <v>1525</v>
      </c>
      <c r="E27" s="18" t="s">
        <v>1500</v>
      </c>
      <c r="F27" s="18" t="s">
        <v>1111</v>
      </c>
      <c r="G27" s="119">
        <v>43404</v>
      </c>
      <c r="H27" s="18">
        <v>8.8000000000000005E-3</v>
      </c>
      <c r="I27" s="18">
        <v>0</v>
      </c>
      <c r="J27" s="18">
        <f t="shared" si="0"/>
        <v>8.8000000000000005E-3</v>
      </c>
      <c r="K27" s="18">
        <v>0</v>
      </c>
      <c r="L27" s="18">
        <v>0</v>
      </c>
      <c r="M27" s="18">
        <f t="shared" si="1"/>
        <v>0</v>
      </c>
      <c r="N27" s="18">
        <v>95.74</v>
      </c>
      <c r="O27" s="18">
        <v>0</v>
      </c>
      <c r="P27" s="18">
        <f t="shared" si="2"/>
        <v>95.74</v>
      </c>
      <c r="Q27" s="18">
        <v>4</v>
      </c>
      <c r="R27" s="18">
        <v>0</v>
      </c>
      <c r="S27" s="18">
        <f t="shared" si="3"/>
        <v>4</v>
      </c>
      <c r="T27" s="18">
        <v>1</v>
      </c>
      <c r="U27" s="18">
        <v>0</v>
      </c>
      <c r="V27" s="18">
        <f t="shared" si="4"/>
        <v>1</v>
      </c>
      <c r="W27" s="18">
        <v>4219.68</v>
      </c>
      <c r="X27" s="18">
        <v>0</v>
      </c>
      <c r="Y27" s="18">
        <f t="shared" si="5"/>
        <v>4219.68</v>
      </c>
      <c r="Z27" s="18">
        <v>142</v>
      </c>
      <c r="AA27" s="18">
        <v>0</v>
      </c>
      <c r="AB27" s="18">
        <f t="shared" si="6"/>
        <v>142</v>
      </c>
      <c r="AC27" s="18">
        <v>485</v>
      </c>
      <c r="AD27" s="18">
        <v>485</v>
      </c>
      <c r="AE27" s="18">
        <f t="shared" si="7"/>
        <v>485</v>
      </c>
      <c r="AF27" s="18">
        <v>343721</v>
      </c>
      <c r="AG27" s="18">
        <v>0</v>
      </c>
      <c r="AH27" s="18">
        <f t="shared" si="8"/>
        <v>343721</v>
      </c>
      <c r="AI27" s="18">
        <v>343722</v>
      </c>
      <c r="AJ27" s="18">
        <v>0</v>
      </c>
      <c r="AK27" s="18">
        <f t="shared" si="9"/>
        <v>343722</v>
      </c>
      <c r="AL27" s="18">
        <v>84</v>
      </c>
      <c r="AM27" s="18">
        <v>0</v>
      </c>
      <c r="AN27" s="18">
        <f t="shared" si="10"/>
        <v>84</v>
      </c>
      <c r="AO27" s="18">
        <v>0</v>
      </c>
      <c r="AP27" s="18">
        <v>0</v>
      </c>
      <c r="AQ27" s="18">
        <f t="shared" si="11"/>
        <v>0</v>
      </c>
      <c r="AR27" s="18">
        <v>34</v>
      </c>
      <c r="AS27" s="18">
        <v>0</v>
      </c>
      <c r="AT27" s="18">
        <f t="shared" si="12"/>
        <v>34</v>
      </c>
      <c r="AU27" s="18">
        <v>515000</v>
      </c>
      <c r="AV27" s="18">
        <v>0</v>
      </c>
      <c r="AW27" s="18">
        <f t="shared" si="13"/>
        <v>515000</v>
      </c>
      <c r="AX27" s="18">
        <v>8.3000000000000001E-3</v>
      </c>
      <c r="AY27" s="18">
        <v>0</v>
      </c>
      <c r="AZ27" s="18">
        <f t="shared" si="14"/>
        <v>8.3000000000000001E-3</v>
      </c>
      <c r="BA27" s="18">
        <v>8.3000000000000001E-3</v>
      </c>
      <c r="BB27" s="18">
        <v>0</v>
      </c>
      <c r="BC27" s="18">
        <f t="shared" si="15"/>
        <v>8.3000000000000001E-3</v>
      </c>
      <c r="BD27" s="18">
        <v>0</v>
      </c>
      <c r="BE27" s="18">
        <v>0</v>
      </c>
      <c r="BF27" s="18">
        <f t="shared" si="16"/>
        <v>0</v>
      </c>
    </row>
    <row r="28" spans="1:58" ht="25.5" x14ac:dyDescent="0.25">
      <c r="A28" s="124" t="s">
        <v>1143</v>
      </c>
      <c r="B28" s="124" t="s">
        <v>1468</v>
      </c>
      <c r="C28" s="18" t="s">
        <v>1526</v>
      </c>
      <c r="D28" s="18" t="s">
        <v>1527</v>
      </c>
      <c r="E28" s="18" t="s">
        <v>1500</v>
      </c>
      <c r="F28" s="18" t="s">
        <v>1111</v>
      </c>
      <c r="G28" s="119">
        <v>43616</v>
      </c>
      <c r="H28" s="18">
        <v>8.9885000000000002</v>
      </c>
      <c r="I28" s="18"/>
      <c r="J28" s="18">
        <f t="shared" si="0"/>
        <v>0</v>
      </c>
      <c r="K28" s="18">
        <v>0</v>
      </c>
      <c r="L28" s="18"/>
      <c r="M28" s="18">
        <f t="shared" si="1"/>
        <v>0</v>
      </c>
      <c r="N28" s="18">
        <v>8.9800000000000005E-2</v>
      </c>
      <c r="O28" s="18"/>
      <c r="P28" s="18">
        <f t="shared" si="2"/>
        <v>0</v>
      </c>
      <c r="Q28" s="18">
        <v>4</v>
      </c>
      <c r="R28" s="18"/>
      <c r="S28" s="18">
        <f t="shared" si="3"/>
        <v>0</v>
      </c>
      <c r="T28" s="18">
        <v>1</v>
      </c>
      <c r="U28" s="18"/>
      <c r="V28" s="18">
        <f t="shared" si="4"/>
        <v>0</v>
      </c>
      <c r="W28" s="18">
        <v>523.80999999999995</v>
      </c>
      <c r="X28" s="18"/>
      <c r="Y28" s="18">
        <f t="shared" si="5"/>
        <v>0</v>
      </c>
      <c r="Z28" s="18">
        <v>11.9641</v>
      </c>
      <c r="AA28" s="18"/>
      <c r="AB28" s="18">
        <f t="shared" si="6"/>
        <v>0</v>
      </c>
      <c r="AC28" s="18">
        <v>79.760999999999996</v>
      </c>
      <c r="AD28" s="18"/>
      <c r="AE28" s="18">
        <f t="shared" si="7"/>
        <v>0</v>
      </c>
      <c r="AF28" s="18">
        <v>67.796800000000005</v>
      </c>
      <c r="AG28" s="18"/>
      <c r="AH28" s="18">
        <f t="shared" si="8"/>
        <v>0</v>
      </c>
      <c r="AI28" s="18">
        <v>161333.48000000001</v>
      </c>
      <c r="AJ28" s="18"/>
      <c r="AK28" s="18">
        <f t="shared" si="9"/>
        <v>0</v>
      </c>
      <c r="AL28" s="18">
        <v>496</v>
      </c>
      <c r="AM28" s="18"/>
      <c r="AN28" s="18">
        <f t="shared" si="10"/>
        <v>0</v>
      </c>
      <c r="AO28" s="18">
        <v>4.0999999999999996</v>
      </c>
      <c r="AP28" s="18"/>
      <c r="AQ28" s="18">
        <f t="shared" si="11"/>
        <v>0</v>
      </c>
      <c r="AR28" s="18">
        <v>11</v>
      </c>
      <c r="AS28" s="18"/>
      <c r="AT28" s="18">
        <f t="shared" si="12"/>
        <v>0</v>
      </c>
      <c r="AU28" s="18">
        <v>251428.8</v>
      </c>
      <c r="AV28" s="18"/>
      <c r="AW28" s="18">
        <f t="shared" si="13"/>
        <v>0</v>
      </c>
      <c r="AX28" s="18">
        <v>4.0000000000000001E-3</v>
      </c>
      <c r="AY28" s="18"/>
      <c r="AZ28" s="18">
        <f t="shared" si="14"/>
        <v>0</v>
      </c>
      <c r="BA28" s="18">
        <v>4.0000000000000001E-3</v>
      </c>
      <c r="BB28" s="18"/>
      <c r="BC28" s="18">
        <f t="shared" si="15"/>
        <v>0</v>
      </c>
      <c r="BD28" s="18">
        <v>0</v>
      </c>
      <c r="BE28" s="18"/>
      <c r="BF28" s="18">
        <f t="shared" si="16"/>
        <v>0</v>
      </c>
    </row>
    <row r="29" spans="1:58" ht="38.25" x14ac:dyDescent="0.25">
      <c r="A29" s="124" t="s">
        <v>1144</v>
      </c>
      <c r="B29" s="124" t="s">
        <v>1468</v>
      </c>
      <c r="C29" s="18" t="s">
        <v>1528</v>
      </c>
      <c r="D29" s="18" t="s">
        <v>1529</v>
      </c>
      <c r="E29" s="18" t="s">
        <v>1483</v>
      </c>
      <c r="F29" s="18" t="s">
        <v>1111</v>
      </c>
      <c r="G29" s="119">
        <v>43404</v>
      </c>
      <c r="H29" s="18">
        <v>0</v>
      </c>
      <c r="I29" s="18">
        <v>0</v>
      </c>
      <c r="J29" s="18">
        <f t="shared" si="0"/>
        <v>0</v>
      </c>
      <c r="K29" s="18">
        <v>0</v>
      </c>
      <c r="L29" s="18">
        <v>0</v>
      </c>
      <c r="M29" s="18">
        <f t="shared" si="1"/>
        <v>0</v>
      </c>
      <c r="N29" s="18">
        <v>7.2054</v>
      </c>
      <c r="O29" s="18">
        <v>0</v>
      </c>
      <c r="P29" s="18">
        <f t="shared" si="2"/>
        <v>7.2054</v>
      </c>
      <c r="Q29" s="18">
        <v>3</v>
      </c>
      <c r="R29" s="18">
        <v>0</v>
      </c>
      <c r="S29" s="18">
        <f t="shared" si="3"/>
        <v>3</v>
      </c>
      <c r="T29" s="18">
        <v>1</v>
      </c>
      <c r="U29" s="18">
        <v>0</v>
      </c>
      <c r="V29" s="18">
        <f t="shared" si="4"/>
        <v>1</v>
      </c>
      <c r="W29" s="18">
        <v>2531.91</v>
      </c>
      <c r="X29" s="18">
        <v>0</v>
      </c>
      <c r="Y29" s="18">
        <f t="shared" si="5"/>
        <v>2531.91</v>
      </c>
      <c r="Z29" s="18">
        <v>145.76900000000001</v>
      </c>
      <c r="AA29" s="18">
        <v>0</v>
      </c>
      <c r="AB29" s="18">
        <f t="shared" si="6"/>
        <v>145.76900000000001</v>
      </c>
      <c r="AC29" s="18">
        <v>319.73899999999998</v>
      </c>
      <c r="AD29" s="18">
        <v>319.73899999999998</v>
      </c>
      <c r="AE29" s="18">
        <f t="shared" si="7"/>
        <v>319.73899999999998</v>
      </c>
      <c r="AF29" s="18">
        <v>173971</v>
      </c>
      <c r="AG29" s="18">
        <v>0</v>
      </c>
      <c r="AH29" s="18">
        <f t="shared" si="8"/>
        <v>173971</v>
      </c>
      <c r="AI29" s="18">
        <v>251253</v>
      </c>
      <c r="AJ29" s="18">
        <v>0</v>
      </c>
      <c r="AK29" s="18">
        <f t="shared" si="9"/>
        <v>251253</v>
      </c>
      <c r="AL29" s="18">
        <v>2277.4</v>
      </c>
      <c r="AM29" s="18">
        <v>0</v>
      </c>
      <c r="AN29" s="18">
        <f t="shared" si="10"/>
        <v>2277.4</v>
      </c>
      <c r="AO29" s="18">
        <v>11347.5</v>
      </c>
      <c r="AP29" s="18">
        <v>0</v>
      </c>
      <c r="AQ29" s="18">
        <f t="shared" si="11"/>
        <v>11347.5</v>
      </c>
      <c r="AR29" s="18">
        <v>7.5</v>
      </c>
      <c r="AS29" s="18">
        <v>0</v>
      </c>
      <c r="AT29" s="18">
        <f t="shared" si="12"/>
        <v>7.5</v>
      </c>
      <c r="AU29" s="18">
        <v>333022</v>
      </c>
      <c r="AV29" s="18">
        <v>0</v>
      </c>
      <c r="AW29" s="18">
        <f t="shared" si="13"/>
        <v>333022</v>
      </c>
      <c r="AX29" s="18">
        <v>0</v>
      </c>
      <c r="AY29" s="18">
        <v>0</v>
      </c>
      <c r="AZ29" s="18">
        <f t="shared" si="14"/>
        <v>0</v>
      </c>
      <c r="BA29" s="18">
        <v>0</v>
      </c>
      <c r="BB29" s="18">
        <v>0</v>
      </c>
      <c r="BC29" s="18">
        <f t="shared" si="15"/>
        <v>0</v>
      </c>
      <c r="BD29" s="18">
        <v>0</v>
      </c>
      <c r="BE29" s="18">
        <v>0</v>
      </c>
      <c r="BF29" s="18">
        <f t="shared" si="16"/>
        <v>0</v>
      </c>
    </row>
    <row r="30" spans="1:58" ht="204" x14ac:dyDescent="0.25">
      <c r="A30" s="124" t="s">
        <v>1145</v>
      </c>
      <c r="B30" s="124" t="s">
        <v>1468</v>
      </c>
      <c r="C30" s="18" t="s">
        <v>1530</v>
      </c>
      <c r="D30" s="18" t="s">
        <v>1531</v>
      </c>
      <c r="E30" s="18" t="s">
        <v>1483</v>
      </c>
      <c r="F30" s="18" t="s">
        <v>1111</v>
      </c>
      <c r="G30" s="119">
        <v>43100</v>
      </c>
      <c r="H30" s="18">
        <v>4.95</v>
      </c>
      <c r="I30" s="18">
        <v>0</v>
      </c>
      <c r="J30" s="18">
        <f t="shared" si="0"/>
        <v>4.95</v>
      </c>
      <c r="K30" s="18">
        <v>0</v>
      </c>
      <c r="L30" s="18">
        <v>0</v>
      </c>
      <c r="M30" s="18">
        <f t="shared" si="1"/>
        <v>0</v>
      </c>
      <c r="N30" s="18">
        <v>71.184399999999997</v>
      </c>
      <c r="O30" s="18">
        <v>0</v>
      </c>
      <c r="P30" s="18">
        <f t="shared" si="2"/>
        <v>71.184399999999997</v>
      </c>
      <c r="Q30" s="18">
        <v>6</v>
      </c>
      <c r="R30" s="18">
        <v>0</v>
      </c>
      <c r="S30" s="18">
        <f t="shared" si="3"/>
        <v>6</v>
      </c>
      <c r="T30" s="18">
        <v>1</v>
      </c>
      <c r="U30" s="18">
        <v>0</v>
      </c>
      <c r="V30" s="18">
        <f t="shared" si="4"/>
        <v>1</v>
      </c>
      <c r="W30" s="18">
        <v>1607.3</v>
      </c>
      <c r="X30" s="18">
        <v>0</v>
      </c>
      <c r="Y30" s="18">
        <f t="shared" si="5"/>
        <v>1607.3</v>
      </c>
      <c r="Z30" s="18">
        <v>86.46</v>
      </c>
      <c r="AA30" s="18">
        <v>0</v>
      </c>
      <c r="AB30" s="18">
        <f t="shared" si="6"/>
        <v>86.46</v>
      </c>
      <c r="AC30" s="18">
        <v>348.89</v>
      </c>
      <c r="AD30" s="18">
        <v>348.89</v>
      </c>
      <c r="AE30" s="18">
        <f t="shared" si="7"/>
        <v>348.89</v>
      </c>
      <c r="AF30" s="18">
        <v>262429.71999999997</v>
      </c>
      <c r="AG30" s="18">
        <v>0</v>
      </c>
      <c r="AH30" s="18">
        <f t="shared" si="8"/>
        <v>262429.71999999997</v>
      </c>
      <c r="AI30" s="18">
        <v>311025.13</v>
      </c>
      <c r="AJ30" s="18">
        <v>0</v>
      </c>
      <c r="AK30" s="18">
        <f t="shared" si="9"/>
        <v>311025.13</v>
      </c>
      <c r="AL30" s="18">
        <v>46.1</v>
      </c>
      <c r="AM30" s="18">
        <v>0</v>
      </c>
      <c r="AN30" s="18">
        <f t="shared" si="10"/>
        <v>46.1</v>
      </c>
      <c r="AO30" s="18">
        <v>4.4000000000000004</v>
      </c>
      <c r="AP30" s="18">
        <v>0</v>
      </c>
      <c r="AQ30" s="18">
        <f t="shared" si="11"/>
        <v>4.4000000000000004</v>
      </c>
      <c r="AR30" s="18">
        <v>5.0999999999999996</v>
      </c>
      <c r="AS30" s="18">
        <v>0</v>
      </c>
      <c r="AT30" s="18">
        <f t="shared" si="12"/>
        <v>5.0999999999999996</v>
      </c>
      <c r="AU30" s="18">
        <v>569375.03</v>
      </c>
      <c r="AV30" s="18">
        <v>0</v>
      </c>
      <c r="AW30" s="18">
        <f t="shared" si="13"/>
        <v>569375.03</v>
      </c>
      <c r="AX30" s="18">
        <v>9.9000000000000008E-3</v>
      </c>
      <c r="AY30" s="18">
        <v>0</v>
      </c>
      <c r="AZ30" s="18">
        <f t="shared" si="14"/>
        <v>9.9000000000000008E-3</v>
      </c>
      <c r="BA30" s="18">
        <v>9.9000000000000008E-3</v>
      </c>
      <c r="BB30" s="18">
        <v>0</v>
      </c>
      <c r="BC30" s="18">
        <f t="shared" si="15"/>
        <v>9.9000000000000008E-3</v>
      </c>
      <c r="BD30" s="18">
        <v>0</v>
      </c>
      <c r="BE30" s="18">
        <v>0</v>
      </c>
      <c r="BF30" s="18">
        <f t="shared" si="16"/>
        <v>0</v>
      </c>
    </row>
    <row r="31" spans="1:58" ht="25.5" x14ac:dyDescent="0.25">
      <c r="A31" s="124" t="s">
        <v>1146</v>
      </c>
      <c r="B31" s="124" t="s">
        <v>1468</v>
      </c>
      <c r="C31" s="18" t="s">
        <v>1532</v>
      </c>
      <c r="D31" s="18" t="s">
        <v>1533</v>
      </c>
      <c r="E31" s="18" t="s">
        <v>1500</v>
      </c>
      <c r="F31" s="18" t="s">
        <v>1111</v>
      </c>
      <c r="G31" s="119">
        <v>42825</v>
      </c>
      <c r="H31" s="18">
        <v>0</v>
      </c>
      <c r="I31" s="18">
        <v>0</v>
      </c>
      <c r="J31" s="18">
        <f t="shared" si="0"/>
        <v>0</v>
      </c>
      <c r="K31" s="18">
        <v>13.78</v>
      </c>
      <c r="L31" s="18">
        <v>0</v>
      </c>
      <c r="M31" s="18">
        <f t="shared" si="1"/>
        <v>13.78</v>
      </c>
      <c r="N31" s="18">
        <v>23.33</v>
      </c>
      <c r="O31" s="18">
        <v>0</v>
      </c>
      <c r="P31" s="18">
        <f t="shared" si="2"/>
        <v>23.33</v>
      </c>
      <c r="Q31" s="18">
        <v>5</v>
      </c>
      <c r="R31" s="18">
        <v>0</v>
      </c>
      <c r="S31" s="18">
        <f t="shared" si="3"/>
        <v>5</v>
      </c>
      <c r="T31" s="18">
        <v>1</v>
      </c>
      <c r="U31" s="18">
        <v>0</v>
      </c>
      <c r="V31" s="18">
        <f t="shared" si="4"/>
        <v>1</v>
      </c>
      <c r="W31" s="18">
        <v>792.41</v>
      </c>
      <c r="X31" s="18">
        <v>0</v>
      </c>
      <c r="Y31" s="18">
        <f t="shared" si="5"/>
        <v>792.41</v>
      </c>
      <c r="Z31" s="18">
        <v>43.65</v>
      </c>
      <c r="AA31" s="18">
        <v>0</v>
      </c>
      <c r="AB31" s="18">
        <f t="shared" si="6"/>
        <v>43.65</v>
      </c>
      <c r="AC31" s="18">
        <v>128.72</v>
      </c>
      <c r="AD31" s="18">
        <v>128.72</v>
      </c>
      <c r="AE31" s="18">
        <f t="shared" si="7"/>
        <v>128.72</v>
      </c>
      <c r="AF31" s="18">
        <v>85070</v>
      </c>
      <c r="AG31" s="18">
        <v>0</v>
      </c>
      <c r="AH31" s="18">
        <f t="shared" si="8"/>
        <v>85070</v>
      </c>
      <c r="AI31" s="18">
        <v>104621.89</v>
      </c>
      <c r="AJ31" s="18">
        <v>0</v>
      </c>
      <c r="AK31" s="18">
        <f t="shared" si="9"/>
        <v>104621.89</v>
      </c>
      <c r="AL31" s="18">
        <v>12580</v>
      </c>
      <c r="AM31" s="18">
        <v>0</v>
      </c>
      <c r="AN31" s="18">
        <f t="shared" si="10"/>
        <v>12580</v>
      </c>
      <c r="AO31" s="18">
        <v>0</v>
      </c>
      <c r="AP31" s="18">
        <v>0</v>
      </c>
      <c r="AQ31" s="18">
        <f t="shared" si="11"/>
        <v>0</v>
      </c>
      <c r="AR31" s="18">
        <v>0</v>
      </c>
      <c r="AS31" s="18">
        <v>0</v>
      </c>
      <c r="AT31" s="18">
        <f t="shared" si="12"/>
        <v>0</v>
      </c>
      <c r="AU31" s="18">
        <v>123076.72</v>
      </c>
      <c r="AV31" s="18">
        <v>0</v>
      </c>
      <c r="AW31" s="18">
        <f t="shared" si="13"/>
        <v>123076.72</v>
      </c>
      <c r="AX31" s="18">
        <v>0</v>
      </c>
      <c r="AY31" s="18">
        <v>0</v>
      </c>
      <c r="AZ31" s="18">
        <f t="shared" si="14"/>
        <v>0</v>
      </c>
      <c r="BA31" s="18">
        <v>1.4E-2</v>
      </c>
      <c r="BB31" s="18">
        <v>0</v>
      </c>
      <c r="BC31" s="18">
        <f t="shared" si="15"/>
        <v>1.4E-2</v>
      </c>
      <c r="BD31" s="18">
        <v>1.4E-2</v>
      </c>
      <c r="BE31" s="18">
        <v>0</v>
      </c>
      <c r="BF31" s="18">
        <f t="shared" si="16"/>
        <v>1.4E-2</v>
      </c>
    </row>
    <row r="32" spans="1:58" ht="38.25" x14ac:dyDescent="0.25">
      <c r="A32" s="124" t="s">
        <v>1147</v>
      </c>
      <c r="B32" s="124" t="s">
        <v>1468</v>
      </c>
      <c r="C32" s="18" t="s">
        <v>1534</v>
      </c>
      <c r="D32" s="18" t="s">
        <v>1535</v>
      </c>
      <c r="E32" s="18" t="s">
        <v>1471</v>
      </c>
      <c r="F32" s="18" t="s">
        <v>1111</v>
      </c>
      <c r="G32" s="119">
        <v>43039</v>
      </c>
      <c r="H32" s="18">
        <v>7.88</v>
      </c>
      <c r="I32" s="18">
        <v>0</v>
      </c>
      <c r="J32" s="18">
        <f t="shared" si="0"/>
        <v>7.88</v>
      </c>
      <c r="K32" s="18">
        <v>0</v>
      </c>
      <c r="L32" s="18">
        <v>0</v>
      </c>
      <c r="M32" s="18">
        <f t="shared" si="1"/>
        <v>0</v>
      </c>
      <c r="N32" s="18">
        <v>2.3E-2</v>
      </c>
      <c r="O32" s="18">
        <v>110.7</v>
      </c>
      <c r="P32" s="18">
        <f t="shared" si="2"/>
        <v>2.3E-2</v>
      </c>
      <c r="Q32" s="18">
        <v>3</v>
      </c>
      <c r="R32" s="18">
        <v>3</v>
      </c>
      <c r="S32" s="18">
        <f t="shared" si="3"/>
        <v>3</v>
      </c>
      <c r="T32" s="18">
        <v>1</v>
      </c>
      <c r="U32" s="18">
        <v>1</v>
      </c>
      <c r="V32" s="18">
        <f t="shared" si="4"/>
        <v>1</v>
      </c>
      <c r="W32" s="18">
        <v>1223.56</v>
      </c>
      <c r="X32" s="18">
        <v>1279.3399999999999</v>
      </c>
      <c r="Y32" s="18">
        <f t="shared" si="5"/>
        <v>1223.56</v>
      </c>
      <c r="Z32" s="18">
        <v>117.29900000000001</v>
      </c>
      <c r="AA32" s="18">
        <v>0</v>
      </c>
      <c r="AB32" s="18">
        <f t="shared" si="6"/>
        <v>117.29900000000001</v>
      </c>
      <c r="AC32" s="18">
        <v>592.70000000000005</v>
      </c>
      <c r="AD32" s="18">
        <v>592.70000000000005</v>
      </c>
      <c r="AE32" s="18">
        <f t="shared" si="7"/>
        <v>592.70000000000005</v>
      </c>
      <c r="AF32" s="18">
        <v>475404</v>
      </c>
      <c r="AG32" s="18">
        <v>0</v>
      </c>
      <c r="AH32" s="18">
        <f t="shared" si="8"/>
        <v>475404</v>
      </c>
      <c r="AI32" s="18">
        <v>475404</v>
      </c>
      <c r="AJ32" s="18">
        <v>509207.88</v>
      </c>
      <c r="AK32" s="18">
        <f t="shared" si="9"/>
        <v>475404</v>
      </c>
      <c r="AL32" s="18">
        <v>535</v>
      </c>
      <c r="AM32" s="18">
        <v>0</v>
      </c>
      <c r="AN32" s="18">
        <f t="shared" si="10"/>
        <v>535</v>
      </c>
      <c r="AO32" s="18">
        <v>4</v>
      </c>
      <c r="AP32" s="18">
        <v>0</v>
      </c>
      <c r="AQ32" s="18">
        <f t="shared" si="11"/>
        <v>4</v>
      </c>
      <c r="AR32" s="18">
        <v>7</v>
      </c>
      <c r="AS32" s="18">
        <v>0</v>
      </c>
      <c r="AT32" s="18">
        <f t="shared" si="12"/>
        <v>7</v>
      </c>
      <c r="AU32" s="18">
        <v>237260</v>
      </c>
      <c r="AV32" s="18">
        <v>0</v>
      </c>
      <c r="AW32" s="18">
        <f t="shared" si="13"/>
        <v>237260</v>
      </c>
      <c r="AX32" s="18">
        <v>7.9000000000000008E-3</v>
      </c>
      <c r="AY32" s="18">
        <v>8.6999999999999994E-3</v>
      </c>
      <c r="AZ32" s="18">
        <f t="shared" si="14"/>
        <v>7.9000000000000008E-3</v>
      </c>
      <c r="BA32" s="18">
        <v>7.9000000000000008E-3</v>
      </c>
      <c r="BB32" s="18">
        <v>8.6999999999999994E-3</v>
      </c>
      <c r="BC32" s="18">
        <f t="shared" si="15"/>
        <v>7.9000000000000008E-3</v>
      </c>
      <c r="BD32" s="18">
        <v>0</v>
      </c>
      <c r="BE32" s="18">
        <v>0</v>
      </c>
      <c r="BF32" s="18">
        <f t="shared" si="16"/>
        <v>0</v>
      </c>
    </row>
    <row r="33" spans="1:58" ht="38.25" x14ac:dyDescent="0.25">
      <c r="A33" s="124" t="s">
        <v>1148</v>
      </c>
      <c r="B33" s="124" t="s">
        <v>1468</v>
      </c>
      <c r="C33" s="18" t="s">
        <v>1536</v>
      </c>
      <c r="D33" s="18" t="s">
        <v>1537</v>
      </c>
      <c r="E33" s="18" t="s">
        <v>1477</v>
      </c>
      <c r="F33" s="18" t="s">
        <v>1111</v>
      </c>
      <c r="G33" s="119">
        <v>43312</v>
      </c>
      <c r="H33" s="18">
        <v>0</v>
      </c>
      <c r="I33" s="18"/>
      <c r="J33" s="18">
        <f t="shared" si="0"/>
        <v>0</v>
      </c>
      <c r="K33" s="18">
        <v>0</v>
      </c>
      <c r="L33" s="18"/>
      <c r="M33" s="18">
        <f t="shared" si="1"/>
        <v>0</v>
      </c>
      <c r="N33" s="18">
        <v>22.316299999999998</v>
      </c>
      <c r="O33" s="18"/>
      <c r="P33" s="18">
        <f t="shared" si="2"/>
        <v>22.316299999999998</v>
      </c>
      <c r="Q33" s="18">
        <v>3</v>
      </c>
      <c r="R33" s="18"/>
      <c r="S33" s="18">
        <f t="shared" si="3"/>
        <v>3</v>
      </c>
      <c r="T33" s="18">
        <v>1</v>
      </c>
      <c r="U33" s="18"/>
      <c r="V33" s="18">
        <f t="shared" si="4"/>
        <v>1</v>
      </c>
      <c r="W33" s="18">
        <v>3316.9</v>
      </c>
      <c r="X33" s="18"/>
      <c r="Y33" s="18">
        <f t="shared" si="5"/>
        <v>3316.9</v>
      </c>
      <c r="Z33" s="18">
        <v>26.760999999999999</v>
      </c>
      <c r="AA33" s="18"/>
      <c r="AB33" s="18">
        <f t="shared" si="6"/>
        <v>26.760999999999999</v>
      </c>
      <c r="AC33" s="18">
        <v>102.926</v>
      </c>
      <c r="AD33" s="18"/>
      <c r="AE33" s="18">
        <f t="shared" si="7"/>
        <v>102.926</v>
      </c>
      <c r="AF33" s="18">
        <v>76165</v>
      </c>
      <c r="AG33" s="18"/>
      <c r="AH33" s="18">
        <f t="shared" si="8"/>
        <v>76165</v>
      </c>
      <c r="AI33" s="18">
        <v>520565</v>
      </c>
      <c r="AJ33" s="18"/>
      <c r="AK33" s="18">
        <f t="shared" si="9"/>
        <v>520565</v>
      </c>
      <c r="AL33" s="18">
        <v>74.5</v>
      </c>
      <c r="AM33" s="18"/>
      <c r="AN33" s="18">
        <f t="shared" si="10"/>
        <v>74.5</v>
      </c>
      <c r="AO33" s="18">
        <v>0</v>
      </c>
      <c r="AP33" s="18"/>
      <c r="AQ33" s="18">
        <f t="shared" si="11"/>
        <v>0</v>
      </c>
      <c r="AR33" s="18">
        <v>67.8</v>
      </c>
      <c r="AS33" s="18"/>
      <c r="AT33" s="18">
        <f t="shared" si="12"/>
        <v>67.8</v>
      </c>
      <c r="AU33" s="18">
        <v>1438841.66</v>
      </c>
      <c r="AV33" s="18"/>
      <c r="AW33" s="18">
        <f t="shared" si="13"/>
        <v>1438841.66</v>
      </c>
      <c r="AX33" s="18">
        <v>0</v>
      </c>
      <c r="AY33" s="18"/>
      <c r="AZ33" s="18">
        <f t="shared" si="14"/>
        <v>0</v>
      </c>
      <c r="BA33" s="18">
        <v>0</v>
      </c>
      <c r="BB33" s="18"/>
      <c r="BC33" s="18">
        <f t="shared" si="15"/>
        <v>0</v>
      </c>
      <c r="BD33" s="18">
        <v>0</v>
      </c>
      <c r="BE33" s="18"/>
      <c r="BF33" s="18">
        <f t="shared" si="16"/>
        <v>0</v>
      </c>
    </row>
    <row r="34" spans="1:58" ht="25.5" x14ac:dyDescent="0.25">
      <c r="A34" s="124" t="s">
        <v>1149</v>
      </c>
      <c r="B34" s="124" t="s">
        <v>1468</v>
      </c>
      <c r="C34" s="18" t="s">
        <v>1538</v>
      </c>
      <c r="D34" s="18" t="s">
        <v>1539</v>
      </c>
      <c r="E34" s="18" t="s">
        <v>1471</v>
      </c>
      <c r="F34" s="18" t="s">
        <v>1111</v>
      </c>
      <c r="G34" s="119">
        <v>43069</v>
      </c>
      <c r="H34" s="18">
        <v>0</v>
      </c>
      <c r="I34" s="18">
        <v>0</v>
      </c>
      <c r="J34" s="18">
        <f t="shared" si="0"/>
        <v>0</v>
      </c>
      <c r="K34" s="18">
        <v>19.931000000000001</v>
      </c>
      <c r="L34" s="18">
        <v>0</v>
      </c>
      <c r="M34" s="18">
        <f t="shared" si="1"/>
        <v>19.931000000000001</v>
      </c>
      <c r="N34" s="18">
        <v>0.53100000000000003</v>
      </c>
      <c r="O34" s="18">
        <v>0</v>
      </c>
      <c r="P34" s="18">
        <f t="shared" si="2"/>
        <v>0.53100000000000003</v>
      </c>
      <c r="Q34" s="18">
        <v>2</v>
      </c>
      <c r="R34" s="18">
        <v>0</v>
      </c>
      <c r="S34" s="18">
        <f t="shared" si="3"/>
        <v>2</v>
      </c>
      <c r="T34" s="18">
        <v>1</v>
      </c>
      <c r="U34" s="18">
        <v>0</v>
      </c>
      <c r="V34" s="18">
        <f t="shared" si="4"/>
        <v>1</v>
      </c>
      <c r="W34" s="18">
        <v>877.43499999999995</v>
      </c>
      <c r="X34" s="18">
        <v>0</v>
      </c>
      <c r="Y34" s="18">
        <f t="shared" si="5"/>
        <v>877.43499999999995</v>
      </c>
      <c r="Z34" s="18">
        <v>20.771000000000001</v>
      </c>
      <c r="AA34" s="18">
        <v>0</v>
      </c>
      <c r="AB34" s="18">
        <f t="shared" si="6"/>
        <v>20.771000000000001</v>
      </c>
      <c r="AC34" s="18">
        <v>66.850999999999999</v>
      </c>
      <c r="AD34" s="18">
        <v>66.850999999999999</v>
      </c>
      <c r="AE34" s="18">
        <f t="shared" si="7"/>
        <v>66.850999999999999</v>
      </c>
      <c r="AF34" s="18">
        <v>42402</v>
      </c>
      <c r="AG34" s="18">
        <v>0</v>
      </c>
      <c r="AH34" s="18">
        <f t="shared" si="8"/>
        <v>42402</v>
      </c>
      <c r="AI34" s="18">
        <v>42402</v>
      </c>
      <c r="AJ34" s="18">
        <v>0</v>
      </c>
      <c r="AK34" s="18">
        <f t="shared" si="9"/>
        <v>42402</v>
      </c>
      <c r="AL34" s="18">
        <v>121</v>
      </c>
      <c r="AM34" s="18">
        <v>0</v>
      </c>
      <c r="AN34" s="18">
        <f t="shared" si="10"/>
        <v>121</v>
      </c>
      <c r="AO34" s="18">
        <v>28</v>
      </c>
      <c r="AP34" s="18">
        <v>0</v>
      </c>
      <c r="AQ34" s="18">
        <f t="shared" si="11"/>
        <v>28</v>
      </c>
      <c r="AR34" s="18">
        <v>0</v>
      </c>
      <c r="AS34" s="18">
        <v>0</v>
      </c>
      <c r="AT34" s="18">
        <f t="shared" si="12"/>
        <v>0</v>
      </c>
      <c r="AU34" s="18">
        <v>57.2</v>
      </c>
      <c r="AV34" s="18">
        <v>0</v>
      </c>
      <c r="AW34" s="18">
        <f t="shared" si="13"/>
        <v>57.2</v>
      </c>
      <c r="AX34" s="18">
        <v>0</v>
      </c>
      <c r="AY34" s="18">
        <v>0</v>
      </c>
      <c r="AZ34" s="18">
        <f t="shared" si="14"/>
        <v>0</v>
      </c>
      <c r="BA34" s="18">
        <v>0</v>
      </c>
      <c r="BB34" s="18">
        <v>0</v>
      </c>
      <c r="BC34" s="18">
        <f t="shared" si="15"/>
        <v>0</v>
      </c>
      <c r="BD34" s="18">
        <v>0</v>
      </c>
      <c r="BE34" s="18">
        <v>0</v>
      </c>
      <c r="BF34" s="18">
        <f t="shared" si="16"/>
        <v>0</v>
      </c>
    </row>
    <row r="35" spans="1:58" ht="25.5" x14ac:dyDescent="0.25">
      <c r="A35" s="124" t="s">
        <v>1150</v>
      </c>
      <c r="B35" s="124" t="s">
        <v>1468</v>
      </c>
      <c r="C35" s="18" t="s">
        <v>1540</v>
      </c>
      <c r="D35" s="18" t="s">
        <v>1541</v>
      </c>
      <c r="E35" s="18" t="s">
        <v>1471</v>
      </c>
      <c r="F35" s="18" t="s">
        <v>1111</v>
      </c>
      <c r="G35" s="119">
        <v>43646</v>
      </c>
      <c r="H35" s="18">
        <v>0</v>
      </c>
      <c r="I35" s="18">
        <v>0</v>
      </c>
      <c r="J35" s="18">
        <f t="shared" si="0"/>
        <v>0</v>
      </c>
      <c r="K35" s="18">
        <v>2.72</v>
      </c>
      <c r="L35" s="18">
        <v>0</v>
      </c>
      <c r="M35" s="18">
        <f t="shared" si="1"/>
        <v>0</v>
      </c>
      <c r="N35" s="18">
        <v>92634</v>
      </c>
      <c r="O35" s="18">
        <v>0</v>
      </c>
      <c r="P35" s="18">
        <f t="shared" si="2"/>
        <v>0</v>
      </c>
      <c r="Q35" s="18">
        <v>5</v>
      </c>
      <c r="R35" s="18">
        <v>0</v>
      </c>
      <c r="S35" s="18">
        <f t="shared" si="3"/>
        <v>0</v>
      </c>
      <c r="T35" s="18">
        <v>3</v>
      </c>
      <c r="U35" s="18">
        <v>0</v>
      </c>
      <c r="V35" s="18">
        <f t="shared" si="4"/>
        <v>0</v>
      </c>
      <c r="W35" s="18">
        <v>0</v>
      </c>
      <c r="X35" s="18">
        <v>0</v>
      </c>
      <c r="Y35" s="18">
        <f t="shared" si="5"/>
        <v>0</v>
      </c>
      <c r="Z35" s="18">
        <v>214</v>
      </c>
      <c r="AA35" s="18">
        <v>0</v>
      </c>
      <c r="AB35" s="18">
        <f t="shared" si="6"/>
        <v>0</v>
      </c>
      <c r="AC35" s="18">
        <v>626</v>
      </c>
      <c r="AD35" s="18">
        <v>626</v>
      </c>
      <c r="AE35" s="18">
        <f t="shared" si="7"/>
        <v>0</v>
      </c>
      <c r="AF35" s="18">
        <v>411892</v>
      </c>
      <c r="AG35" s="18">
        <v>0</v>
      </c>
      <c r="AH35" s="18">
        <f t="shared" si="8"/>
        <v>0</v>
      </c>
      <c r="AI35" s="18">
        <v>525000</v>
      </c>
      <c r="AJ35" s="18">
        <v>0</v>
      </c>
      <c r="AK35" s="18">
        <f t="shared" si="9"/>
        <v>0</v>
      </c>
      <c r="AL35" s="18">
        <v>67000</v>
      </c>
      <c r="AM35" s="18">
        <v>0</v>
      </c>
      <c r="AN35" s="18">
        <f t="shared" si="10"/>
        <v>0</v>
      </c>
      <c r="AO35" s="18">
        <v>3400</v>
      </c>
      <c r="AP35" s="18">
        <v>0</v>
      </c>
      <c r="AQ35" s="18">
        <f t="shared" si="11"/>
        <v>0</v>
      </c>
      <c r="AR35" s="18">
        <v>400</v>
      </c>
      <c r="AS35" s="18">
        <v>0</v>
      </c>
      <c r="AT35" s="18">
        <f t="shared" si="12"/>
        <v>0</v>
      </c>
      <c r="AU35" s="18">
        <v>579688</v>
      </c>
      <c r="AV35" s="18">
        <v>0</v>
      </c>
      <c r="AW35" s="18">
        <f t="shared" si="13"/>
        <v>0</v>
      </c>
      <c r="AX35" s="18">
        <v>0</v>
      </c>
      <c r="AY35" s="18">
        <v>0</v>
      </c>
      <c r="AZ35" s="18">
        <f t="shared" si="14"/>
        <v>0</v>
      </c>
      <c r="BA35" s="18">
        <v>8.9999999999999993E-3</v>
      </c>
      <c r="BB35" s="18">
        <v>0</v>
      </c>
      <c r="BC35" s="18">
        <f t="shared" si="15"/>
        <v>0</v>
      </c>
      <c r="BD35" s="18">
        <v>8.9999999999999993E-3</v>
      </c>
      <c r="BE35" s="18">
        <v>0</v>
      </c>
      <c r="BF35" s="18">
        <f t="shared" si="16"/>
        <v>0</v>
      </c>
    </row>
    <row r="36" spans="1:58" ht="25.5" x14ac:dyDescent="0.25">
      <c r="A36" s="124" t="s">
        <v>1151</v>
      </c>
      <c r="B36" s="124" t="s">
        <v>1468</v>
      </c>
      <c r="C36" s="18" t="s">
        <v>1542</v>
      </c>
      <c r="D36" s="18" t="s">
        <v>1543</v>
      </c>
      <c r="E36" s="18" t="s">
        <v>1500</v>
      </c>
      <c r="F36" s="18" t="s">
        <v>1111</v>
      </c>
      <c r="G36" s="119">
        <v>43100</v>
      </c>
      <c r="H36" s="18">
        <v>0</v>
      </c>
      <c r="I36" s="18">
        <v>0</v>
      </c>
      <c r="J36" s="18">
        <f t="shared" si="0"/>
        <v>0</v>
      </c>
      <c r="K36" s="18">
        <v>0</v>
      </c>
      <c r="L36" s="18">
        <v>0</v>
      </c>
      <c r="M36" s="18">
        <f t="shared" si="1"/>
        <v>0</v>
      </c>
      <c r="N36" s="18">
        <v>14.873100000000001</v>
      </c>
      <c r="O36" s="18">
        <v>0</v>
      </c>
      <c r="P36" s="18">
        <f t="shared" si="2"/>
        <v>14.873100000000001</v>
      </c>
      <c r="Q36" s="18">
        <v>2</v>
      </c>
      <c r="R36" s="18">
        <v>0</v>
      </c>
      <c r="S36" s="18">
        <f t="shared" si="3"/>
        <v>2</v>
      </c>
      <c r="T36" s="18">
        <v>1</v>
      </c>
      <c r="U36" s="18">
        <v>0</v>
      </c>
      <c r="V36" s="18">
        <f t="shared" si="4"/>
        <v>1</v>
      </c>
      <c r="W36" s="18">
        <v>654.9</v>
      </c>
      <c r="X36" s="18">
        <v>0</v>
      </c>
      <c r="Y36" s="18">
        <f t="shared" si="5"/>
        <v>654.9</v>
      </c>
      <c r="Z36" s="18">
        <v>31.178999999999998</v>
      </c>
      <c r="AA36" s="18">
        <v>0</v>
      </c>
      <c r="AB36" s="18">
        <f t="shared" si="6"/>
        <v>31.178999999999998</v>
      </c>
      <c r="AC36" s="18">
        <v>94.117999999999995</v>
      </c>
      <c r="AD36" s="18">
        <v>94.117999999999995</v>
      </c>
      <c r="AE36" s="18">
        <f t="shared" si="7"/>
        <v>94.117999999999995</v>
      </c>
      <c r="AF36" s="18">
        <v>62939</v>
      </c>
      <c r="AG36" s="18">
        <v>0</v>
      </c>
      <c r="AH36" s="18">
        <f t="shared" si="8"/>
        <v>62939</v>
      </c>
      <c r="AI36" s="18">
        <v>120642</v>
      </c>
      <c r="AJ36" s="18">
        <v>0</v>
      </c>
      <c r="AK36" s="18">
        <f t="shared" si="9"/>
        <v>120642</v>
      </c>
      <c r="AL36" s="18">
        <v>12</v>
      </c>
      <c r="AM36" s="18">
        <v>0</v>
      </c>
      <c r="AN36" s="18">
        <f t="shared" si="10"/>
        <v>12</v>
      </c>
      <c r="AO36" s="18">
        <v>0</v>
      </c>
      <c r="AP36" s="18">
        <v>0</v>
      </c>
      <c r="AQ36" s="18">
        <f t="shared" si="11"/>
        <v>0</v>
      </c>
      <c r="AR36" s="18">
        <v>0</v>
      </c>
      <c r="AS36" s="18">
        <v>0</v>
      </c>
      <c r="AT36" s="18">
        <f t="shared" si="12"/>
        <v>0</v>
      </c>
      <c r="AU36" s="18">
        <v>59435</v>
      </c>
      <c r="AV36" s="18">
        <v>0</v>
      </c>
      <c r="AW36" s="18">
        <f t="shared" si="13"/>
        <v>59435</v>
      </c>
      <c r="AX36" s="18">
        <v>0</v>
      </c>
      <c r="AY36" s="18">
        <v>0</v>
      </c>
      <c r="AZ36" s="18">
        <f t="shared" si="14"/>
        <v>0</v>
      </c>
      <c r="BA36" s="18">
        <v>0</v>
      </c>
      <c r="BB36" s="18">
        <v>0</v>
      </c>
      <c r="BC36" s="18">
        <f t="shared" si="15"/>
        <v>0</v>
      </c>
      <c r="BD36" s="18">
        <v>0</v>
      </c>
      <c r="BE36" s="18">
        <v>0</v>
      </c>
      <c r="BF36" s="18">
        <f t="shared" si="16"/>
        <v>0</v>
      </c>
    </row>
    <row r="37" spans="1:58" ht="38.25" x14ac:dyDescent="0.25">
      <c r="A37" s="124" t="s">
        <v>1152</v>
      </c>
      <c r="B37" s="124" t="s">
        <v>1468</v>
      </c>
      <c r="C37" s="18" t="s">
        <v>1544</v>
      </c>
      <c r="D37" s="18" t="s">
        <v>1545</v>
      </c>
      <c r="E37" s="18" t="s">
        <v>1471</v>
      </c>
      <c r="F37" s="18" t="s">
        <v>1111</v>
      </c>
      <c r="G37" s="119">
        <v>43251</v>
      </c>
      <c r="H37" s="18">
        <v>0</v>
      </c>
      <c r="I37" s="18">
        <v>0</v>
      </c>
      <c r="J37" s="18">
        <f t="shared" si="0"/>
        <v>0</v>
      </c>
      <c r="K37" s="18">
        <v>0</v>
      </c>
      <c r="L37" s="18">
        <v>0</v>
      </c>
      <c r="M37" s="18">
        <f t="shared" si="1"/>
        <v>0</v>
      </c>
      <c r="N37" s="18">
        <v>43.4</v>
      </c>
      <c r="O37" s="18">
        <v>0</v>
      </c>
      <c r="P37" s="18">
        <f t="shared" si="2"/>
        <v>43.4</v>
      </c>
      <c r="Q37" s="18">
        <v>4</v>
      </c>
      <c r="R37" s="18">
        <v>0</v>
      </c>
      <c r="S37" s="18">
        <f t="shared" si="3"/>
        <v>4</v>
      </c>
      <c r="T37" s="18">
        <v>1</v>
      </c>
      <c r="U37" s="18">
        <v>0</v>
      </c>
      <c r="V37" s="18">
        <f t="shared" si="4"/>
        <v>1</v>
      </c>
      <c r="W37" s="18">
        <v>2723.8</v>
      </c>
      <c r="X37" s="18">
        <v>0</v>
      </c>
      <c r="Y37" s="18">
        <f t="shared" si="5"/>
        <v>2723.8</v>
      </c>
      <c r="Z37" s="18">
        <v>180.32499999999999</v>
      </c>
      <c r="AA37" s="18">
        <v>0</v>
      </c>
      <c r="AB37" s="18">
        <f t="shared" si="6"/>
        <v>180.32499999999999</v>
      </c>
      <c r="AC37" s="18">
        <v>344.77199999999999</v>
      </c>
      <c r="AD37" s="18">
        <v>344772</v>
      </c>
      <c r="AE37" s="18">
        <f t="shared" si="7"/>
        <v>344.77199999999999</v>
      </c>
      <c r="AF37" s="18">
        <v>164447</v>
      </c>
      <c r="AG37" s="18">
        <v>0</v>
      </c>
      <c r="AH37" s="18">
        <f t="shared" si="8"/>
        <v>164447</v>
      </c>
      <c r="AI37" s="18">
        <v>164447</v>
      </c>
      <c r="AJ37" s="18">
        <v>0</v>
      </c>
      <c r="AK37" s="18">
        <f t="shared" si="9"/>
        <v>164447</v>
      </c>
      <c r="AL37" s="18">
        <v>52</v>
      </c>
      <c r="AM37" s="18">
        <v>0</v>
      </c>
      <c r="AN37" s="18">
        <f t="shared" si="10"/>
        <v>52</v>
      </c>
      <c r="AO37" s="18">
        <v>2</v>
      </c>
      <c r="AP37" s="18">
        <v>0</v>
      </c>
      <c r="AQ37" s="18">
        <f t="shared" si="11"/>
        <v>2</v>
      </c>
      <c r="AR37" s="18">
        <v>7</v>
      </c>
      <c r="AS37" s="18">
        <v>0</v>
      </c>
      <c r="AT37" s="18">
        <f t="shared" si="12"/>
        <v>7</v>
      </c>
      <c r="AU37" s="18">
        <v>164447</v>
      </c>
      <c r="AV37" s="18">
        <v>0</v>
      </c>
      <c r="AW37" s="18">
        <f t="shared" si="13"/>
        <v>164447</v>
      </c>
      <c r="AX37" s="18">
        <v>0</v>
      </c>
      <c r="AY37" s="18">
        <v>0</v>
      </c>
      <c r="AZ37" s="18">
        <f t="shared" si="14"/>
        <v>0</v>
      </c>
      <c r="BA37" s="18">
        <v>0</v>
      </c>
      <c r="BB37" s="18">
        <v>0</v>
      </c>
      <c r="BC37" s="18">
        <f t="shared" si="15"/>
        <v>0</v>
      </c>
      <c r="BD37" s="18">
        <v>0</v>
      </c>
      <c r="BE37" s="18">
        <v>0</v>
      </c>
      <c r="BF37" s="18">
        <f t="shared" si="16"/>
        <v>0</v>
      </c>
    </row>
    <row r="38" spans="1:58" ht="25.5" x14ac:dyDescent="0.25">
      <c r="A38" s="124" t="s">
        <v>1153</v>
      </c>
      <c r="B38" s="124" t="s">
        <v>1468</v>
      </c>
      <c r="C38" s="18" t="s">
        <v>1546</v>
      </c>
      <c r="D38" s="18" t="s">
        <v>1547</v>
      </c>
      <c r="E38" s="18" t="s">
        <v>1489</v>
      </c>
      <c r="F38" s="18" t="s">
        <v>1111</v>
      </c>
      <c r="G38" s="119">
        <v>43069</v>
      </c>
      <c r="H38" s="18">
        <v>0</v>
      </c>
      <c r="I38" s="18">
        <v>0</v>
      </c>
      <c r="J38" s="18">
        <f t="shared" si="0"/>
        <v>0</v>
      </c>
      <c r="K38" s="18">
        <v>0</v>
      </c>
      <c r="L38" s="18">
        <v>0</v>
      </c>
      <c r="M38" s="18">
        <f t="shared" si="1"/>
        <v>0</v>
      </c>
      <c r="N38" s="18">
        <v>65.471000000000004</v>
      </c>
      <c r="O38" s="18">
        <v>0</v>
      </c>
      <c r="P38" s="18">
        <f t="shared" si="2"/>
        <v>65.471000000000004</v>
      </c>
      <c r="Q38" s="18">
        <v>3</v>
      </c>
      <c r="R38" s="18">
        <v>0</v>
      </c>
      <c r="S38" s="18">
        <f t="shared" si="3"/>
        <v>3</v>
      </c>
      <c r="T38" s="18">
        <v>1</v>
      </c>
      <c r="U38" s="18">
        <v>0</v>
      </c>
      <c r="V38" s="18">
        <f t="shared" si="4"/>
        <v>1</v>
      </c>
      <c r="W38" s="18">
        <v>1884.1</v>
      </c>
      <c r="X38" s="18">
        <v>0</v>
      </c>
      <c r="Y38" s="18">
        <f t="shared" si="5"/>
        <v>1884.1</v>
      </c>
      <c r="Z38" s="18">
        <v>114.33199999999999</v>
      </c>
      <c r="AA38" s="18">
        <v>0</v>
      </c>
      <c r="AB38" s="18">
        <f t="shared" si="6"/>
        <v>114.33199999999999</v>
      </c>
      <c r="AC38" s="18">
        <v>301.56700000000001</v>
      </c>
      <c r="AD38" s="18">
        <v>301.56700000000001</v>
      </c>
      <c r="AE38" s="18">
        <f t="shared" si="7"/>
        <v>301.56700000000001</v>
      </c>
      <c r="AF38" s="18">
        <v>187235</v>
      </c>
      <c r="AG38" s="18">
        <v>0</v>
      </c>
      <c r="AH38" s="18">
        <f t="shared" si="8"/>
        <v>187235</v>
      </c>
      <c r="AI38" s="18">
        <v>145566</v>
      </c>
      <c r="AJ38" s="18">
        <v>0</v>
      </c>
      <c r="AK38" s="18">
        <f t="shared" si="9"/>
        <v>145566</v>
      </c>
      <c r="AL38" s="18">
        <v>43.22</v>
      </c>
      <c r="AM38" s="18">
        <v>0</v>
      </c>
      <c r="AN38" s="18">
        <f t="shared" si="10"/>
        <v>43.22</v>
      </c>
      <c r="AO38" s="18">
        <v>11.7</v>
      </c>
      <c r="AP38" s="18">
        <v>0</v>
      </c>
      <c r="AQ38" s="18">
        <f t="shared" si="11"/>
        <v>11.7</v>
      </c>
      <c r="AR38" s="18">
        <v>41.19</v>
      </c>
      <c r="AS38" s="18">
        <v>0</v>
      </c>
      <c r="AT38" s="18">
        <f t="shared" si="12"/>
        <v>41.19</v>
      </c>
      <c r="AU38" s="18">
        <v>308598</v>
      </c>
      <c r="AV38" s="18">
        <v>0</v>
      </c>
      <c r="AW38" s="18">
        <f t="shared" si="13"/>
        <v>308598</v>
      </c>
      <c r="AX38" s="18">
        <v>0</v>
      </c>
      <c r="AY38" s="18">
        <v>0</v>
      </c>
      <c r="AZ38" s="18">
        <f t="shared" si="14"/>
        <v>0</v>
      </c>
      <c r="BA38" s="18">
        <v>0</v>
      </c>
      <c r="BB38" s="18">
        <v>0</v>
      </c>
      <c r="BC38" s="18">
        <f t="shared" si="15"/>
        <v>0</v>
      </c>
      <c r="BD38" s="18">
        <v>0</v>
      </c>
      <c r="BE38" s="18">
        <v>0</v>
      </c>
      <c r="BF38" s="18">
        <f t="shared" si="16"/>
        <v>0</v>
      </c>
    </row>
    <row r="39" spans="1:58" ht="38.25" x14ac:dyDescent="0.25">
      <c r="A39" s="124" t="s">
        <v>1154</v>
      </c>
      <c r="B39" s="124" t="s">
        <v>1468</v>
      </c>
      <c r="C39" s="18" t="s">
        <v>1548</v>
      </c>
      <c r="D39" s="18" t="s">
        <v>1549</v>
      </c>
      <c r="E39" s="18" t="s">
        <v>1483</v>
      </c>
      <c r="F39" s="18" t="s">
        <v>1111</v>
      </c>
      <c r="G39" s="119">
        <v>43251</v>
      </c>
      <c r="H39" s="18">
        <v>9.9</v>
      </c>
      <c r="I39" s="18">
        <v>0</v>
      </c>
      <c r="J39" s="18">
        <f t="shared" si="0"/>
        <v>9.9</v>
      </c>
      <c r="K39" s="18">
        <v>0</v>
      </c>
      <c r="L39" s="18">
        <v>0</v>
      </c>
      <c r="M39" s="18">
        <f t="shared" si="1"/>
        <v>0</v>
      </c>
      <c r="N39" s="18">
        <v>57.103000000000002</v>
      </c>
      <c r="O39" s="18">
        <v>0</v>
      </c>
      <c r="P39" s="18">
        <f t="shared" si="2"/>
        <v>57.103000000000002</v>
      </c>
      <c r="Q39" s="18">
        <v>7</v>
      </c>
      <c r="R39" s="18">
        <v>0</v>
      </c>
      <c r="S39" s="18">
        <f t="shared" si="3"/>
        <v>7</v>
      </c>
      <c r="T39" s="18">
        <v>1</v>
      </c>
      <c r="U39" s="18">
        <v>0</v>
      </c>
      <c r="V39" s="18">
        <f t="shared" si="4"/>
        <v>1</v>
      </c>
      <c r="W39" s="18">
        <v>6402.99</v>
      </c>
      <c r="X39" s="18">
        <v>0</v>
      </c>
      <c r="Y39" s="18">
        <f t="shared" si="5"/>
        <v>6402.99</v>
      </c>
      <c r="Z39" s="18">
        <v>204.79220000000001</v>
      </c>
      <c r="AA39" s="18">
        <v>0</v>
      </c>
      <c r="AB39" s="18">
        <f t="shared" si="6"/>
        <v>204.79220000000001</v>
      </c>
      <c r="AC39" s="18">
        <v>431.3</v>
      </c>
      <c r="AD39" s="18">
        <v>431.3</v>
      </c>
      <c r="AE39" s="18">
        <f t="shared" si="7"/>
        <v>431.3</v>
      </c>
      <c r="AF39" s="18">
        <v>226512.51</v>
      </c>
      <c r="AG39" s="18">
        <v>0</v>
      </c>
      <c r="AH39" s="18">
        <f t="shared" si="8"/>
        <v>226512.51</v>
      </c>
      <c r="AI39" s="18">
        <v>356254.71999999997</v>
      </c>
      <c r="AJ39" s="18">
        <v>0</v>
      </c>
      <c r="AK39" s="18">
        <f t="shared" si="9"/>
        <v>356254.71999999997</v>
      </c>
      <c r="AL39" s="18">
        <v>69.2</v>
      </c>
      <c r="AM39" s="18">
        <v>0</v>
      </c>
      <c r="AN39" s="18">
        <f t="shared" si="10"/>
        <v>69.2</v>
      </c>
      <c r="AO39" s="18">
        <v>20</v>
      </c>
      <c r="AP39" s="18">
        <v>0</v>
      </c>
      <c r="AQ39" s="18">
        <f t="shared" si="11"/>
        <v>20</v>
      </c>
      <c r="AR39" s="18">
        <v>40</v>
      </c>
      <c r="AS39" s="18">
        <v>0</v>
      </c>
      <c r="AT39" s="18">
        <f t="shared" si="12"/>
        <v>40</v>
      </c>
      <c r="AU39" s="18">
        <v>590913.06999999995</v>
      </c>
      <c r="AV39" s="18">
        <v>0</v>
      </c>
      <c r="AW39" s="18">
        <f t="shared" si="13"/>
        <v>590913.06999999995</v>
      </c>
      <c r="AX39" s="18">
        <v>9.9000000000000008E-3</v>
      </c>
      <c r="AY39" s="18">
        <v>0</v>
      </c>
      <c r="AZ39" s="18">
        <f t="shared" si="14"/>
        <v>9.9000000000000008E-3</v>
      </c>
      <c r="BA39" s="18">
        <v>9.9000000000000008E-3</v>
      </c>
      <c r="BB39" s="18">
        <v>0</v>
      </c>
      <c r="BC39" s="18">
        <f t="shared" si="15"/>
        <v>9.9000000000000008E-3</v>
      </c>
      <c r="BD39" s="18">
        <v>0</v>
      </c>
      <c r="BE39" s="18">
        <v>0</v>
      </c>
      <c r="BF39" s="18">
        <f t="shared" si="16"/>
        <v>0</v>
      </c>
    </row>
    <row r="40" spans="1:58" ht="38.25" x14ac:dyDescent="0.25">
      <c r="A40" s="124" t="s">
        <v>1155</v>
      </c>
      <c r="B40" s="124" t="s">
        <v>1468</v>
      </c>
      <c r="C40" s="18" t="s">
        <v>1550</v>
      </c>
      <c r="D40" s="18" t="s">
        <v>1551</v>
      </c>
      <c r="E40" s="18" t="s">
        <v>1483</v>
      </c>
      <c r="F40" s="18" t="s">
        <v>1111</v>
      </c>
      <c r="G40" s="119">
        <v>43343</v>
      </c>
      <c r="H40" s="18">
        <v>10.34</v>
      </c>
      <c r="I40" s="18">
        <v>0</v>
      </c>
      <c r="J40" s="18">
        <f t="shared" si="0"/>
        <v>10.34</v>
      </c>
      <c r="K40" s="18">
        <v>20.399999999999999</v>
      </c>
      <c r="L40" s="18">
        <v>0</v>
      </c>
      <c r="M40" s="18">
        <f t="shared" si="1"/>
        <v>20.399999999999999</v>
      </c>
      <c r="N40" s="18">
        <v>89.65</v>
      </c>
      <c r="O40" s="18">
        <v>0</v>
      </c>
      <c r="P40" s="18">
        <f t="shared" si="2"/>
        <v>89.65</v>
      </c>
      <c r="Q40" s="18">
        <v>5</v>
      </c>
      <c r="R40" s="18">
        <v>0</v>
      </c>
      <c r="S40" s="18">
        <f t="shared" si="3"/>
        <v>5</v>
      </c>
      <c r="T40" s="18">
        <v>5</v>
      </c>
      <c r="U40" s="18">
        <v>0</v>
      </c>
      <c r="V40" s="18">
        <f t="shared" si="4"/>
        <v>5</v>
      </c>
      <c r="W40" s="18">
        <v>8876.5400000000009</v>
      </c>
      <c r="X40" s="18">
        <v>0</v>
      </c>
      <c r="Y40" s="18">
        <f t="shared" si="5"/>
        <v>8876.5400000000009</v>
      </c>
      <c r="Z40" s="18">
        <v>271.89999999999998</v>
      </c>
      <c r="AA40" s="18">
        <v>0</v>
      </c>
      <c r="AB40" s="18">
        <f t="shared" si="6"/>
        <v>271.89999999999998</v>
      </c>
      <c r="AC40" s="18">
        <v>627.70000000000005</v>
      </c>
      <c r="AD40" s="18">
        <v>627.70000000000005</v>
      </c>
      <c r="AE40" s="18">
        <f t="shared" si="7"/>
        <v>627.70000000000005</v>
      </c>
      <c r="AF40" s="18">
        <v>297.43400000000003</v>
      </c>
      <c r="AG40" s="18">
        <v>0</v>
      </c>
      <c r="AH40" s="18">
        <f t="shared" si="8"/>
        <v>297.43400000000003</v>
      </c>
      <c r="AI40" s="18">
        <v>526954</v>
      </c>
      <c r="AJ40" s="18">
        <v>0</v>
      </c>
      <c r="AK40" s="18">
        <f t="shared" si="9"/>
        <v>526954</v>
      </c>
      <c r="AL40" s="18">
        <v>121.2</v>
      </c>
      <c r="AM40" s="18">
        <v>0</v>
      </c>
      <c r="AN40" s="18">
        <f t="shared" si="10"/>
        <v>121.2</v>
      </c>
      <c r="AO40" s="18">
        <v>20</v>
      </c>
      <c r="AP40" s="18">
        <v>0</v>
      </c>
      <c r="AQ40" s="18">
        <f t="shared" si="11"/>
        <v>20</v>
      </c>
      <c r="AR40" s="18">
        <v>396.6</v>
      </c>
      <c r="AS40" s="18">
        <v>0</v>
      </c>
      <c r="AT40" s="18">
        <f t="shared" si="12"/>
        <v>396.6</v>
      </c>
      <c r="AU40" s="18">
        <v>820511</v>
      </c>
      <c r="AV40" s="18">
        <v>0</v>
      </c>
      <c r="AW40" s="18">
        <f t="shared" si="13"/>
        <v>820511</v>
      </c>
      <c r="AX40" s="18">
        <v>0.01</v>
      </c>
      <c r="AY40" s="18">
        <v>0</v>
      </c>
      <c r="AZ40" s="18">
        <f t="shared" si="14"/>
        <v>0.01</v>
      </c>
      <c r="BA40" s="18">
        <v>3.7999999999999999E-2</v>
      </c>
      <c r="BB40" s="18">
        <v>0</v>
      </c>
      <c r="BC40" s="18">
        <f t="shared" si="15"/>
        <v>3.7999999999999999E-2</v>
      </c>
      <c r="BD40" s="18">
        <v>2.8000000000000001E-2</v>
      </c>
      <c r="BE40" s="18">
        <v>0</v>
      </c>
      <c r="BF40" s="18">
        <f t="shared" si="16"/>
        <v>2.8000000000000001E-2</v>
      </c>
    </row>
    <row r="41" spans="1:58" ht="25.5" x14ac:dyDescent="0.25">
      <c r="A41" s="124" t="s">
        <v>1156</v>
      </c>
      <c r="B41" s="124" t="s">
        <v>1468</v>
      </c>
      <c r="C41" s="18" t="s">
        <v>1552</v>
      </c>
      <c r="D41" s="18" t="s">
        <v>1553</v>
      </c>
      <c r="E41" s="18" t="s">
        <v>1474</v>
      </c>
      <c r="F41" s="18" t="s">
        <v>1111</v>
      </c>
      <c r="G41" s="119">
        <v>42794</v>
      </c>
      <c r="H41" s="18">
        <v>0</v>
      </c>
      <c r="I41" s="18">
        <v>0</v>
      </c>
      <c r="J41" s="18">
        <f t="shared" si="0"/>
        <v>0</v>
      </c>
      <c r="K41" s="18">
        <v>0</v>
      </c>
      <c r="L41" s="18">
        <v>0</v>
      </c>
      <c r="M41" s="18">
        <f t="shared" si="1"/>
        <v>0</v>
      </c>
      <c r="N41" s="18">
        <v>79</v>
      </c>
      <c r="O41" s="18">
        <v>0</v>
      </c>
      <c r="P41" s="18">
        <f t="shared" si="2"/>
        <v>79</v>
      </c>
      <c r="Q41" s="18">
        <v>2</v>
      </c>
      <c r="R41" s="18">
        <v>0</v>
      </c>
      <c r="S41" s="18">
        <f t="shared" si="3"/>
        <v>2</v>
      </c>
      <c r="T41" s="18">
        <v>1</v>
      </c>
      <c r="U41" s="18">
        <v>0</v>
      </c>
      <c r="V41" s="18">
        <f t="shared" si="4"/>
        <v>1</v>
      </c>
      <c r="W41" s="18">
        <v>3744</v>
      </c>
      <c r="X41" s="18">
        <v>0</v>
      </c>
      <c r="Y41" s="18">
        <f t="shared" si="5"/>
        <v>3744</v>
      </c>
      <c r="Z41" s="18">
        <v>134</v>
      </c>
      <c r="AA41" s="18">
        <v>0</v>
      </c>
      <c r="AB41" s="18">
        <f t="shared" si="6"/>
        <v>134</v>
      </c>
      <c r="AC41" s="18">
        <v>334</v>
      </c>
      <c r="AD41" s="18">
        <v>334</v>
      </c>
      <c r="AE41" s="18">
        <f t="shared" si="7"/>
        <v>334</v>
      </c>
      <c r="AF41" s="18">
        <v>200000</v>
      </c>
      <c r="AG41" s="18">
        <v>0</v>
      </c>
      <c r="AH41" s="18">
        <f t="shared" si="8"/>
        <v>200000</v>
      </c>
      <c r="AI41" s="18">
        <v>200000</v>
      </c>
      <c r="AJ41" s="18">
        <v>0</v>
      </c>
      <c r="AK41" s="18">
        <f t="shared" si="9"/>
        <v>200000</v>
      </c>
      <c r="AL41" s="18">
        <v>0</v>
      </c>
      <c r="AM41" s="18">
        <v>0</v>
      </c>
      <c r="AN41" s="18">
        <f t="shared" si="10"/>
        <v>0</v>
      </c>
      <c r="AO41" s="18">
        <v>800</v>
      </c>
      <c r="AP41" s="18">
        <v>0</v>
      </c>
      <c r="AQ41" s="18">
        <f t="shared" si="11"/>
        <v>800</v>
      </c>
      <c r="AR41" s="18">
        <v>0</v>
      </c>
      <c r="AS41" s="18">
        <v>0</v>
      </c>
      <c r="AT41" s="18">
        <f t="shared" si="12"/>
        <v>0</v>
      </c>
      <c r="AU41" s="18">
        <v>200000</v>
      </c>
      <c r="AV41" s="18">
        <v>0</v>
      </c>
      <c r="AW41" s="18">
        <f t="shared" si="13"/>
        <v>200000</v>
      </c>
      <c r="AX41" s="18">
        <v>0</v>
      </c>
      <c r="AY41" s="18">
        <v>0</v>
      </c>
      <c r="AZ41" s="18">
        <f t="shared" si="14"/>
        <v>0</v>
      </c>
      <c r="BA41" s="18">
        <v>0</v>
      </c>
      <c r="BB41" s="18">
        <v>0</v>
      </c>
      <c r="BC41" s="18">
        <f t="shared" si="15"/>
        <v>0</v>
      </c>
      <c r="BD41" s="18">
        <v>0</v>
      </c>
      <c r="BE41" s="18">
        <v>0</v>
      </c>
      <c r="BF41" s="18">
        <f t="shared" si="16"/>
        <v>0</v>
      </c>
    </row>
    <row r="42" spans="1:58" ht="76.5" x14ac:dyDescent="0.25">
      <c r="A42" s="124" t="s">
        <v>1157</v>
      </c>
      <c r="B42" s="124" t="s">
        <v>1468</v>
      </c>
      <c r="C42" s="18" t="s">
        <v>1554</v>
      </c>
      <c r="D42" s="18" t="s">
        <v>1555</v>
      </c>
      <c r="E42" s="18" t="s">
        <v>1483</v>
      </c>
      <c r="F42" s="18" t="s">
        <v>1111</v>
      </c>
      <c r="G42" s="119">
        <v>43159</v>
      </c>
      <c r="H42" s="18">
        <v>6.39</v>
      </c>
      <c r="I42" s="18">
        <v>0</v>
      </c>
      <c r="J42" s="18">
        <f t="shared" si="0"/>
        <v>6.39</v>
      </c>
      <c r="K42" s="18">
        <v>0</v>
      </c>
      <c r="L42" s="18">
        <v>0</v>
      </c>
      <c r="M42" s="18">
        <f t="shared" si="1"/>
        <v>0</v>
      </c>
      <c r="N42" s="18">
        <v>33.909999999999997</v>
      </c>
      <c r="O42" s="18">
        <v>0</v>
      </c>
      <c r="P42" s="18">
        <f t="shared" si="2"/>
        <v>33.909999999999997</v>
      </c>
      <c r="Q42" s="18">
        <v>4</v>
      </c>
      <c r="R42" s="18">
        <v>0</v>
      </c>
      <c r="S42" s="18">
        <f t="shared" si="3"/>
        <v>4</v>
      </c>
      <c r="T42" s="18">
        <v>1</v>
      </c>
      <c r="U42" s="18">
        <v>0</v>
      </c>
      <c r="V42" s="18">
        <f t="shared" si="4"/>
        <v>1</v>
      </c>
      <c r="W42" s="18">
        <v>1581.8</v>
      </c>
      <c r="X42" s="18">
        <v>0</v>
      </c>
      <c r="Y42" s="18">
        <f t="shared" si="5"/>
        <v>1581.8</v>
      </c>
      <c r="Z42" s="18">
        <v>80.069999999999993</v>
      </c>
      <c r="AA42" s="18">
        <v>0</v>
      </c>
      <c r="AB42" s="18">
        <f t="shared" si="6"/>
        <v>80.069999999999993</v>
      </c>
      <c r="AC42" s="18">
        <v>202.99</v>
      </c>
      <c r="AD42" s="18">
        <v>202.99</v>
      </c>
      <c r="AE42" s="18">
        <f t="shared" si="7"/>
        <v>202.99</v>
      </c>
      <c r="AF42" s="18">
        <v>122917</v>
      </c>
      <c r="AG42" s="18">
        <v>0</v>
      </c>
      <c r="AH42" s="18">
        <f t="shared" si="8"/>
        <v>122917</v>
      </c>
      <c r="AI42" s="18">
        <v>165532</v>
      </c>
      <c r="AJ42" s="18">
        <v>0</v>
      </c>
      <c r="AK42" s="18">
        <f t="shared" si="9"/>
        <v>165532</v>
      </c>
      <c r="AL42" s="18">
        <v>17.2</v>
      </c>
      <c r="AM42" s="18">
        <v>0</v>
      </c>
      <c r="AN42" s="18">
        <f t="shared" si="10"/>
        <v>17.2</v>
      </c>
      <c r="AO42" s="18">
        <v>9</v>
      </c>
      <c r="AP42" s="18">
        <v>0</v>
      </c>
      <c r="AQ42" s="18">
        <f t="shared" si="11"/>
        <v>9</v>
      </c>
      <c r="AR42" s="18">
        <v>1</v>
      </c>
      <c r="AS42" s="18">
        <v>0</v>
      </c>
      <c r="AT42" s="18">
        <f t="shared" si="12"/>
        <v>1</v>
      </c>
      <c r="AU42" s="18">
        <v>118397</v>
      </c>
      <c r="AV42" s="18">
        <v>0</v>
      </c>
      <c r="AW42" s="18">
        <f t="shared" si="13"/>
        <v>118397</v>
      </c>
      <c r="AX42" s="18">
        <v>0.01</v>
      </c>
      <c r="AY42" s="18">
        <v>0</v>
      </c>
      <c r="AZ42" s="18">
        <f t="shared" si="14"/>
        <v>0.01</v>
      </c>
      <c r="BA42" s="18">
        <v>0.01</v>
      </c>
      <c r="BB42" s="18">
        <v>0</v>
      </c>
      <c r="BC42" s="18">
        <f t="shared" si="15"/>
        <v>0.01</v>
      </c>
      <c r="BD42" s="18">
        <v>0</v>
      </c>
      <c r="BE42" s="18">
        <v>0</v>
      </c>
      <c r="BF42" s="18">
        <f t="shared" si="16"/>
        <v>0</v>
      </c>
    </row>
    <row r="43" spans="1:58" ht="38.25" x14ac:dyDescent="0.25">
      <c r="A43" s="124" t="s">
        <v>1158</v>
      </c>
      <c r="B43" s="124" t="s">
        <v>1468</v>
      </c>
      <c r="C43" s="18" t="s">
        <v>1556</v>
      </c>
      <c r="D43" s="18" t="s">
        <v>1557</v>
      </c>
      <c r="E43" s="18" t="s">
        <v>1471</v>
      </c>
      <c r="F43" s="18" t="s">
        <v>1111</v>
      </c>
      <c r="G43" s="119">
        <v>43465</v>
      </c>
      <c r="H43" s="18">
        <v>0</v>
      </c>
      <c r="I43" s="18">
        <v>0</v>
      </c>
      <c r="J43" s="18">
        <f t="shared" si="0"/>
        <v>0</v>
      </c>
      <c r="K43" s="18">
        <v>0</v>
      </c>
      <c r="L43" s="18">
        <v>0</v>
      </c>
      <c r="M43" s="18">
        <f t="shared" si="1"/>
        <v>0</v>
      </c>
      <c r="N43" s="18">
        <v>11.315300000000001</v>
      </c>
      <c r="O43" s="18">
        <v>0</v>
      </c>
      <c r="P43" s="18">
        <f t="shared" si="2"/>
        <v>11.315300000000001</v>
      </c>
      <c r="Q43" s="18">
        <v>2</v>
      </c>
      <c r="R43" s="18">
        <v>0</v>
      </c>
      <c r="S43" s="18">
        <f t="shared" si="3"/>
        <v>2</v>
      </c>
      <c r="T43" s="18">
        <v>1</v>
      </c>
      <c r="U43" s="18">
        <v>0</v>
      </c>
      <c r="V43" s="18">
        <f t="shared" si="4"/>
        <v>1</v>
      </c>
      <c r="W43" s="18">
        <v>602.88</v>
      </c>
      <c r="X43" s="18">
        <v>0</v>
      </c>
      <c r="Y43" s="18">
        <f t="shared" si="5"/>
        <v>602.88</v>
      </c>
      <c r="Z43" s="18">
        <v>22.952100000000002</v>
      </c>
      <c r="AA43" s="18">
        <v>0</v>
      </c>
      <c r="AB43" s="18">
        <f t="shared" si="6"/>
        <v>22.952100000000002</v>
      </c>
      <c r="AC43" s="18">
        <v>63.724299999999999</v>
      </c>
      <c r="AD43" s="18">
        <v>63.724299999999999</v>
      </c>
      <c r="AE43" s="18">
        <f t="shared" si="7"/>
        <v>63.724299999999999</v>
      </c>
      <c r="AF43" s="18">
        <v>40772.199999999997</v>
      </c>
      <c r="AG43" s="18">
        <v>0</v>
      </c>
      <c r="AH43" s="18">
        <f t="shared" si="8"/>
        <v>40772.199999999997</v>
      </c>
      <c r="AI43" s="18">
        <v>47295.75</v>
      </c>
      <c r="AJ43" s="18">
        <v>0</v>
      </c>
      <c r="AK43" s="18">
        <f t="shared" si="9"/>
        <v>47295.75</v>
      </c>
      <c r="AL43" s="18">
        <v>6.423</v>
      </c>
      <c r="AM43" s="18">
        <v>0</v>
      </c>
      <c r="AN43" s="18">
        <f t="shared" si="10"/>
        <v>6.423</v>
      </c>
      <c r="AO43" s="18">
        <v>0</v>
      </c>
      <c r="AP43" s="18">
        <v>0</v>
      </c>
      <c r="AQ43" s="18">
        <f t="shared" si="11"/>
        <v>0</v>
      </c>
      <c r="AR43" s="18">
        <v>0.04</v>
      </c>
      <c r="AS43" s="18">
        <v>0</v>
      </c>
      <c r="AT43" s="18">
        <f t="shared" si="12"/>
        <v>0.04</v>
      </c>
      <c r="AU43" s="18">
        <v>55806.81</v>
      </c>
      <c r="AV43" s="18">
        <v>0</v>
      </c>
      <c r="AW43" s="18">
        <f t="shared" si="13"/>
        <v>55806.81</v>
      </c>
      <c r="AX43" s="18">
        <v>0</v>
      </c>
      <c r="AY43" s="18">
        <v>0</v>
      </c>
      <c r="AZ43" s="18">
        <f t="shared" si="14"/>
        <v>0</v>
      </c>
      <c r="BA43" s="18">
        <v>0</v>
      </c>
      <c r="BB43" s="18">
        <v>0</v>
      </c>
      <c r="BC43" s="18">
        <f t="shared" si="15"/>
        <v>0</v>
      </c>
      <c r="BD43" s="18">
        <v>0</v>
      </c>
      <c r="BE43" s="18">
        <v>0</v>
      </c>
      <c r="BF43" s="18">
        <f t="shared" si="16"/>
        <v>0</v>
      </c>
    </row>
    <row r="44" spans="1:58" ht="51" x14ac:dyDescent="0.25">
      <c r="A44" s="124" t="s">
        <v>1159</v>
      </c>
      <c r="B44" s="124" t="s">
        <v>1468</v>
      </c>
      <c r="C44" s="18" t="s">
        <v>1558</v>
      </c>
      <c r="D44" s="18" t="s">
        <v>1559</v>
      </c>
      <c r="E44" s="18" t="s">
        <v>1483</v>
      </c>
      <c r="F44" s="18" t="s">
        <v>1111</v>
      </c>
      <c r="G44" s="119">
        <v>43281</v>
      </c>
      <c r="H44" s="18">
        <v>9.9</v>
      </c>
      <c r="I44" s="18">
        <v>0</v>
      </c>
      <c r="J44" s="18">
        <f t="shared" si="0"/>
        <v>9.9</v>
      </c>
      <c r="K44" s="18">
        <v>2.1930000000000001</v>
      </c>
      <c r="L44" s="18">
        <v>0</v>
      </c>
      <c r="M44" s="18">
        <f t="shared" si="1"/>
        <v>2.1930000000000001</v>
      </c>
      <c r="N44" s="18">
        <v>46.771500000000003</v>
      </c>
      <c r="O44" s="18">
        <v>0</v>
      </c>
      <c r="P44" s="18">
        <f t="shared" si="2"/>
        <v>46.771500000000003</v>
      </c>
      <c r="Q44" s="18">
        <v>9</v>
      </c>
      <c r="R44" s="18">
        <v>0</v>
      </c>
      <c r="S44" s="18">
        <f t="shared" si="3"/>
        <v>9</v>
      </c>
      <c r="T44" s="18">
        <v>2</v>
      </c>
      <c r="U44" s="18">
        <v>0</v>
      </c>
      <c r="V44" s="18">
        <f t="shared" si="4"/>
        <v>2</v>
      </c>
      <c r="W44" s="18">
        <v>1232.3900000000001</v>
      </c>
      <c r="X44" s="18">
        <v>0</v>
      </c>
      <c r="Y44" s="18">
        <f t="shared" si="5"/>
        <v>1232.3900000000001</v>
      </c>
      <c r="Z44" s="18">
        <v>77.34</v>
      </c>
      <c r="AA44" s="18">
        <v>0</v>
      </c>
      <c r="AB44" s="18">
        <f t="shared" si="6"/>
        <v>77.34</v>
      </c>
      <c r="AC44" s="18">
        <v>250.12</v>
      </c>
      <c r="AD44" s="18">
        <v>250.12</v>
      </c>
      <c r="AE44" s="18">
        <f t="shared" si="7"/>
        <v>250.12</v>
      </c>
      <c r="AF44" s="18">
        <v>172785.35</v>
      </c>
      <c r="AG44" s="18">
        <v>0</v>
      </c>
      <c r="AH44" s="18">
        <f t="shared" si="8"/>
        <v>172785.35</v>
      </c>
      <c r="AI44" s="18">
        <v>147037.64000000001</v>
      </c>
      <c r="AJ44" s="18">
        <v>0</v>
      </c>
      <c r="AK44" s="18">
        <f t="shared" si="9"/>
        <v>147037.64000000001</v>
      </c>
      <c r="AL44" s="18">
        <v>34</v>
      </c>
      <c r="AM44" s="18">
        <v>0</v>
      </c>
      <c r="AN44" s="18">
        <f t="shared" si="10"/>
        <v>34</v>
      </c>
      <c r="AO44" s="18">
        <v>5.3</v>
      </c>
      <c r="AP44" s="18">
        <v>0</v>
      </c>
      <c r="AQ44" s="18">
        <f t="shared" si="11"/>
        <v>5.3</v>
      </c>
      <c r="AR44" s="18">
        <v>8.8000000000000007</v>
      </c>
      <c r="AS44" s="18">
        <v>0</v>
      </c>
      <c r="AT44" s="18">
        <f t="shared" si="12"/>
        <v>8.8000000000000007</v>
      </c>
      <c r="AU44" s="18">
        <v>228369.74</v>
      </c>
      <c r="AV44" s="18">
        <v>0</v>
      </c>
      <c r="AW44" s="18">
        <f t="shared" si="13"/>
        <v>228369.74</v>
      </c>
      <c r="AX44" s="18">
        <v>9.9000000000000008E-3</v>
      </c>
      <c r="AY44" s="18">
        <v>0</v>
      </c>
      <c r="AZ44" s="18">
        <f t="shared" si="14"/>
        <v>9.9000000000000008E-3</v>
      </c>
      <c r="BA44" s="18">
        <v>1.1599999999999999E-2</v>
      </c>
      <c r="BB44" s="18">
        <v>0</v>
      </c>
      <c r="BC44" s="18">
        <f t="shared" si="15"/>
        <v>1.1599999999999999E-2</v>
      </c>
      <c r="BD44" s="18">
        <v>1.6999999999999999E-3</v>
      </c>
      <c r="BE44" s="18">
        <v>0</v>
      </c>
      <c r="BF44" s="18">
        <f t="shared" si="16"/>
        <v>1.6999999999999999E-3</v>
      </c>
    </row>
    <row r="45" spans="1:58" ht="38.25" x14ac:dyDescent="0.25">
      <c r="A45" s="124" t="s">
        <v>1160</v>
      </c>
      <c r="B45" s="124" t="s">
        <v>1468</v>
      </c>
      <c r="C45" s="18" t="s">
        <v>1560</v>
      </c>
      <c r="D45" s="18" t="s">
        <v>1561</v>
      </c>
      <c r="E45" s="18" t="s">
        <v>1483</v>
      </c>
      <c r="F45" s="18" t="s">
        <v>1111</v>
      </c>
      <c r="G45" s="119">
        <v>43251</v>
      </c>
      <c r="H45" s="18">
        <v>9.64</v>
      </c>
      <c r="I45" s="18">
        <v>0</v>
      </c>
      <c r="J45" s="18">
        <f t="shared" si="0"/>
        <v>9.64</v>
      </c>
      <c r="K45" s="18">
        <v>23.16</v>
      </c>
      <c r="L45" s="18">
        <v>0</v>
      </c>
      <c r="M45" s="18">
        <f t="shared" si="1"/>
        <v>23.16</v>
      </c>
      <c r="N45" s="18">
        <v>69.799000000000007</v>
      </c>
      <c r="O45" s="18">
        <v>0</v>
      </c>
      <c r="P45" s="18">
        <f t="shared" si="2"/>
        <v>69.799000000000007</v>
      </c>
      <c r="Q45" s="18">
        <v>5</v>
      </c>
      <c r="R45" s="18">
        <v>0</v>
      </c>
      <c r="S45" s="18">
        <f t="shared" si="3"/>
        <v>5</v>
      </c>
      <c r="T45" s="18">
        <v>2</v>
      </c>
      <c r="U45" s="18">
        <v>0</v>
      </c>
      <c r="V45" s="18">
        <f t="shared" si="4"/>
        <v>2</v>
      </c>
      <c r="W45" s="18">
        <v>3995.43</v>
      </c>
      <c r="X45" s="18">
        <v>0</v>
      </c>
      <c r="Y45" s="18">
        <f t="shared" si="5"/>
        <v>3995.43</v>
      </c>
      <c r="Z45" s="18">
        <v>193.02</v>
      </c>
      <c r="AA45" s="18">
        <v>0</v>
      </c>
      <c r="AB45" s="18">
        <f t="shared" si="6"/>
        <v>193.02</v>
      </c>
      <c r="AC45" s="18">
        <v>483.15</v>
      </c>
      <c r="AD45" s="18">
        <v>483.15</v>
      </c>
      <c r="AE45" s="18">
        <f t="shared" si="7"/>
        <v>483.15</v>
      </c>
      <c r="AF45" s="18">
        <v>290146</v>
      </c>
      <c r="AG45" s="18">
        <v>0</v>
      </c>
      <c r="AH45" s="18">
        <f t="shared" si="8"/>
        <v>290146</v>
      </c>
      <c r="AI45" s="18">
        <v>307826</v>
      </c>
      <c r="AJ45" s="18">
        <v>0</v>
      </c>
      <c r="AK45" s="18">
        <f t="shared" si="9"/>
        <v>307826</v>
      </c>
      <c r="AL45" s="18">
        <v>57</v>
      </c>
      <c r="AM45" s="18">
        <v>0</v>
      </c>
      <c r="AN45" s="18">
        <f t="shared" si="10"/>
        <v>57</v>
      </c>
      <c r="AO45" s="18">
        <v>3</v>
      </c>
      <c r="AP45" s="18">
        <v>0</v>
      </c>
      <c r="AQ45" s="18">
        <f t="shared" si="11"/>
        <v>3</v>
      </c>
      <c r="AR45" s="18">
        <v>1</v>
      </c>
      <c r="AS45" s="18">
        <v>0</v>
      </c>
      <c r="AT45" s="18">
        <f t="shared" si="12"/>
        <v>1</v>
      </c>
      <c r="AU45" s="18">
        <v>607719</v>
      </c>
      <c r="AV45" s="18">
        <v>0</v>
      </c>
      <c r="AW45" s="18">
        <f t="shared" si="13"/>
        <v>607719</v>
      </c>
      <c r="AX45" s="18">
        <v>0.01</v>
      </c>
      <c r="AY45" s="18">
        <v>0</v>
      </c>
      <c r="AZ45" s="18">
        <f t="shared" si="14"/>
        <v>0.01</v>
      </c>
      <c r="BA45" s="18">
        <v>0.01</v>
      </c>
      <c r="BB45" s="18">
        <v>0</v>
      </c>
      <c r="BC45" s="18">
        <f t="shared" si="15"/>
        <v>0.01</v>
      </c>
      <c r="BD45" s="18">
        <v>0</v>
      </c>
      <c r="BE45" s="18">
        <v>0</v>
      </c>
      <c r="BF45" s="18">
        <f t="shared" si="16"/>
        <v>0</v>
      </c>
    </row>
    <row r="46" spans="1:58" ht="25.5" x14ac:dyDescent="0.25">
      <c r="A46" s="124" t="s">
        <v>1161</v>
      </c>
      <c r="B46" s="124" t="s">
        <v>1468</v>
      </c>
      <c r="C46" s="18" t="s">
        <v>1053</v>
      </c>
      <c r="D46" s="18" t="s">
        <v>1562</v>
      </c>
      <c r="E46" s="18" t="s">
        <v>1483</v>
      </c>
      <c r="F46" s="18" t="s">
        <v>1111</v>
      </c>
      <c r="G46" s="119">
        <v>42947</v>
      </c>
      <c r="H46" s="18">
        <v>0</v>
      </c>
      <c r="I46" s="18">
        <v>0</v>
      </c>
      <c r="J46" s="18">
        <f t="shared" si="0"/>
        <v>0</v>
      </c>
      <c r="K46" s="18">
        <v>14.448</v>
      </c>
      <c r="L46" s="18">
        <v>0</v>
      </c>
      <c r="M46" s="18">
        <f t="shared" si="1"/>
        <v>14.448</v>
      </c>
      <c r="N46" s="18">
        <v>13.16</v>
      </c>
      <c r="O46" s="18">
        <v>14.9535</v>
      </c>
      <c r="P46" s="18">
        <f t="shared" si="2"/>
        <v>13.16</v>
      </c>
      <c r="Q46" s="18">
        <v>5</v>
      </c>
      <c r="R46" s="18">
        <v>5</v>
      </c>
      <c r="S46" s="18">
        <f t="shared" si="3"/>
        <v>5</v>
      </c>
      <c r="T46" s="18">
        <v>1</v>
      </c>
      <c r="U46" s="18">
        <v>1</v>
      </c>
      <c r="V46" s="18">
        <f t="shared" si="4"/>
        <v>1</v>
      </c>
      <c r="W46" s="18">
        <v>191.92</v>
      </c>
      <c r="X46" s="18">
        <v>204.43</v>
      </c>
      <c r="Y46" s="18">
        <f t="shared" si="5"/>
        <v>191.92</v>
      </c>
      <c r="Z46" s="18">
        <v>7.29</v>
      </c>
      <c r="AA46" s="18">
        <v>0</v>
      </c>
      <c r="AB46" s="18">
        <f t="shared" si="6"/>
        <v>7.29</v>
      </c>
      <c r="AC46" s="18">
        <v>41.25</v>
      </c>
      <c r="AD46" s="18">
        <v>41.25</v>
      </c>
      <c r="AE46" s="18">
        <f t="shared" si="7"/>
        <v>41.25</v>
      </c>
      <c r="AF46" s="18">
        <v>33960</v>
      </c>
      <c r="AG46" s="18">
        <v>0</v>
      </c>
      <c r="AH46" s="18">
        <f t="shared" si="8"/>
        <v>33960</v>
      </c>
      <c r="AI46" s="18">
        <v>42401</v>
      </c>
      <c r="AJ46" s="18">
        <v>40528.407599999999</v>
      </c>
      <c r="AK46" s="18">
        <f t="shared" si="9"/>
        <v>42401</v>
      </c>
      <c r="AL46" s="18">
        <v>0</v>
      </c>
      <c r="AM46" s="18">
        <v>0</v>
      </c>
      <c r="AN46" s="18">
        <f t="shared" si="10"/>
        <v>0</v>
      </c>
      <c r="AO46" s="18">
        <v>0</v>
      </c>
      <c r="AP46" s="18">
        <v>0</v>
      </c>
      <c r="AQ46" s="18">
        <f t="shared" si="11"/>
        <v>0</v>
      </c>
      <c r="AR46" s="18">
        <v>0</v>
      </c>
      <c r="AS46" s="18">
        <v>0</v>
      </c>
      <c r="AT46" s="18">
        <f t="shared" si="12"/>
        <v>0</v>
      </c>
      <c r="AU46" s="18">
        <v>64784.5</v>
      </c>
      <c r="AV46" s="18">
        <v>0</v>
      </c>
      <c r="AW46" s="18">
        <f t="shared" si="13"/>
        <v>64784.5</v>
      </c>
      <c r="AX46" s="18">
        <v>0</v>
      </c>
      <c r="AY46" s="18">
        <v>0</v>
      </c>
      <c r="AZ46" s="18">
        <f t="shared" si="14"/>
        <v>0</v>
      </c>
      <c r="BA46" s="18">
        <v>1.12E-2</v>
      </c>
      <c r="BB46" s="18">
        <v>1.12E-2</v>
      </c>
      <c r="BC46" s="18">
        <f t="shared" si="15"/>
        <v>1.12E-2</v>
      </c>
      <c r="BD46" s="18">
        <v>1.12E-2</v>
      </c>
      <c r="BE46" s="18">
        <v>1.12E-2</v>
      </c>
      <c r="BF46" s="18">
        <f t="shared" si="16"/>
        <v>1.12E-2</v>
      </c>
    </row>
    <row r="47" spans="1:58" ht="38.25" x14ac:dyDescent="0.25">
      <c r="A47" s="124" t="s">
        <v>1162</v>
      </c>
      <c r="B47" s="124" t="s">
        <v>1468</v>
      </c>
      <c r="C47" s="18" t="s">
        <v>1563</v>
      </c>
      <c r="D47" s="18" t="s">
        <v>1564</v>
      </c>
      <c r="E47" s="18" t="s">
        <v>1489</v>
      </c>
      <c r="F47" s="18" t="s">
        <v>1111</v>
      </c>
      <c r="G47" s="119">
        <v>43220</v>
      </c>
      <c r="H47" s="18">
        <v>0</v>
      </c>
      <c r="I47" s="18">
        <v>0</v>
      </c>
      <c r="J47" s="18">
        <f t="shared" si="0"/>
        <v>0</v>
      </c>
      <c r="K47" s="18">
        <v>0</v>
      </c>
      <c r="L47" s="18">
        <v>0</v>
      </c>
      <c r="M47" s="18">
        <f t="shared" si="1"/>
        <v>0</v>
      </c>
      <c r="N47" s="18">
        <v>909.90099999999995</v>
      </c>
      <c r="O47" s="18">
        <v>0</v>
      </c>
      <c r="P47" s="18">
        <f t="shared" si="2"/>
        <v>909.90099999999995</v>
      </c>
      <c r="Q47" s="18">
        <v>4</v>
      </c>
      <c r="R47" s="18">
        <v>0</v>
      </c>
      <c r="S47" s="18">
        <f t="shared" si="3"/>
        <v>4</v>
      </c>
      <c r="T47" s="18">
        <v>1</v>
      </c>
      <c r="U47" s="18">
        <v>0</v>
      </c>
      <c r="V47" s="18">
        <f t="shared" si="4"/>
        <v>1</v>
      </c>
      <c r="W47" s="18">
        <v>1867.43</v>
      </c>
      <c r="X47" s="18">
        <v>0</v>
      </c>
      <c r="Y47" s="18">
        <f t="shared" si="5"/>
        <v>1867.43</v>
      </c>
      <c r="Z47" s="18">
        <v>246.93299999999999</v>
      </c>
      <c r="AA47" s="18">
        <v>0</v>
      </c>
      <c r="AB47" s="18">
        <f t="shared" si="6"/>
        <v>246.93299999999999</v>
      </c>
      <c r="AC47" s="18">
        <v>761.88800000000003</v>
      </c>
      <c r="AD47" s="18">
        <v>0</v>
      </c>
      <c r="AE47" s="18">
        <f t="shared" si="7"/>
        <v>761.88800000000003</v>
      </c>
      <c r="AF47" s="18">
        <v>514959</v>
      </c>
      <c r="AG47" s="18">
        <v>0</v>
      </c>
      <c r="AH47" s="18">
        <f t="shared" si="8"/>
        <v>514959</v>
      </c>
      <c r="AI47" s="18">
        <v>164910.70000000001</v>
      </c>
      <c r="AJ47" s="18">
        <v>0</v>
      </c>
      <c r="AK47" s="18">
        <f t="shared" si="9"/>
        <v>164910.70000000001</v>
      </c>
      <c r="AL47" s="18">
        <v>548.9</v>
      </c>
      <c r="AM47" s="18">
        <v>0</v>
      </c>
      <c r="AN47" s="18">
        <f t="shared" si="10"/>
        <v>548.9</v>
      </c>
      <c r="AO47" s="18">
        <v>0</v>
      </c>
      <c r="AP47" s="18">
        <v>0</v>
      </c>
      <c r="AQ47" s="18">
        <f t="shared" si="11"/>
        <v>0</v>
      </c>
      <c r="AR47" s="18">
        <v>33.6</v>
      </c>
      <c r="AS47" s="18">
        <v>0</v>
      </c>
      <c r="AT47" s="18">
        <f t="shared" si="12"/>
        <v>33.6</v>
      </c>
      <c r="AU47" s="18">
        <v>252116</v>
      </c>
      <c r="AV47" s="18">
        <v>0</v>
      </c>
      <c r="AW47" s="18">
        <f t="shared" si="13"/>
        <v>252116</v>
      </c>
      <c r="AX47" s="18">
        <v>0</v>
      </c>
      <c r="AY47" s="18">
        <v>0</v>
      </c>
      <c r="AZ47" s="18">
        <f t="shared" si="14"/>
        <v>0</v>
      </c>
      <c r="BA47" s="18">
        <v>0</v>
      </c>
      <c r="BB47" s="18">
        <v>0</v>
      </c>
      <c r="BC47" s="18">
        <f t="shared" si="15"/>
        <v>0</v>
      </c>
      <c r="BD47" s="18">
        <v>0</v>
      </c>
      <c r="BE47" s="18">
        <v>0</v>
      </c>
      <c r="BF47" s="18">
        <f t="shared" si="16"/>
        <v>0</v>
      </c>
    </row>
    <row r="48" spans="1:58" ht="25.5" x14ac:dyDescent="0.25">
      <c r="A48" s="124" t="s">
        <v>1163</v>
      </c>
      <c r="B48" s="124" t="s">
        <v>1468</v>
      </c>
      <c r="C48" s="18" t="s">
        <v>1565</v>
      </c>
      <c r="D48" s="18" t="s">
        <v>1566</v>
      </c>
      <c r="E48" s="18" t="s">
        <v>1489</v>
      </c>
      <c r="F48" s="18" t="s">
        <v>1111</v>
      </c>
      <c r="G48" s="119">
        <v>43281</v>
      </c>
      <c r="H48" s="18">
        <v>0</v>
      </c>
      <c r="I48" s="18">
        <v>0</v>
      </c>
      <c r="J48" s="18">
        <f t="shared" si="0"/>
        <v>0</v>
      </c>
      <c r="K48" s="18">
        <v>3.4239999999999999</v>
      </c>
      <c r="L48" s="18">
        <v>0</v>
      </c>
      <c r="M48" s="18">
        <f t="shared" si="1"/>
        <v>3.4239999999999999</v>
      </c>
      <c r="N48" s="18">
        <v>41.4</v>
      </c>
      <c r="O48" s="18">
        <v>40.665100000000002</v>
      </c>
      <c r="P48" s="18">
        <f t="shared" si="2"/>
        <v>41.4</v>
      </c>
      <c r="Q48" s="18">
        <v>4</v>
      </c>
      <c r="R48" s="18">
        <v>4</v>
      </c>
      <c r="S48" s="18">
        <f t="shared" si="3"/>
        <v>4</v>
      </c>
      <c r="T48" s="18">
        <v>1</v>
      </c>
      <c r="U48" s="18">
        <v>1</v>
      </c>
      <c r="V48" s="18">
        <f t="shared" si="4"/>
        <v>1</v>
      </c>
      <c r="W48" s="18">
        <v>1093.67</v>
      </c>
      <c r="X48" s="18">
        <v>1093.67</v>
      </c>
      <c r="Y48" s="18">
        <f t="shared" si="5"/>
        <v>1093.67</v>
      </c>
      <c r="Z48" s="18">
        <v>45.555999999999997</v>
      </c>
      <c r="AA48" s="18">
        <v>0</v>
      </c>
      <c r="AB48" s="18">
        <f t="shared" si="6"/>
        <v>45.555999999999997</v>
      </c>
      <c r="AC48" s="18">
        <v>195.655</v>
      </c>
      <c r="AD48" s="18">
        <v>195.655</v>
      </c>
      <c r="AE48" s="18">
        <f t="shared" si="7"/>
        <v>195.655</v>
      </c>
      <c r="AF48" s="18">
        <v>150099</v>
      </c>
      <c r="AG48" s="18">
        <v>0</v>
      </c>
      <c r="AH48" s="18">
        <f t="shared" si="8"/>
        <v>150099</v>
      </c>
      <c r="AI48" s="18">
        <v>220597.45</v>
      </c>
      <c r="AJ48" s="18">
        <v>220597.45</v>
      </c>
      <c r="AK48" s="18">
        <f t="shared" si="9"/>
        <v>220597.45</v>
      </c>
      <c r="AL48" s="18">
        <v>22200</v>
      </c>
      <c r="AM48" s="18">
        <v>0</v>
      </c>
      <c r="AN48" s="18">
        <f t="shared" si="10"/>
        <v>22200</v>
      </c>
      <c r="AO48" s="18">
        <v>0</v>
      </c>
      <c r="AP48" s="18">
        <v>0</v>
      </c>
      <c r="AQ48" s="18">
        <f t="shared" si="11"/>
        <v>0</v>
      </c>
      <c r="AR48" s="18">
        <v>0</v>
      </c>
      <c r="AS48" s="18">
        <v>0</v>
      </c>
      <c r="AT48" s="18">
        <f t="shared" si="12"/>
        <v>0</v>
      </c>
      <c r="AU48" s="18">
        <v>191213.35</v>
      </c>
      <c r="AV48" s="18">
        <v>0</v>
      </c>
      <c r="AW48" s="18">
        <f t="shared" si="13"/>
        <v>191213.35</v>
      </c>
      <c r="AX48" s="18">
        <v>0</v>
      </c>
      <c r="AY48" s="18">
        <v>0</v>
      </c>
      <c r="AZ48" s="18">
        <f t="shared" si="14"/>
        <v>0</v>
      </c>
      <c r="BA48" s="18">
        <v>3.3999999999999998E-3</v>
      </c>
      <c r="BB48" s="18">
        <v>3.3999999999999998E-3</v>
      </c>
      <c r="BC48" s="18">
        <f t="shared" si="15"/>
        <v>3.3999999999999998E-3</v>
      </c>
      <c r="BD48" s="18">
        <v>3.3999999999999998E-3</v>
      </c>
      <c r="BE48" s="18">
        <v>3.3999999999999998E-3</v>
      </c>
      <c r="BF48" s="18">
        <f t="shared" si="16"/>
        <v>3.3999999999999998E-3</v>
      </c>
    </row>
    <row r="49" spans="1:58" ht="25.5" x14ac:dyDescent="0.25">
      <c r="A49" s="124" t="s">
        <v>1164</v>
      </c>
      <c r="B49" s="124" t="s">
        <v>1468</v>
      </c>
      <c r="C49" s="18" t="s">
        <v>1567</v>
      </c>
      <c r="D49" s="18" t="s">
        <v>1568</v>
      </c>
      <c r="E49" s="18" t="s">
        <v>1477</v>
      </c>
      <c r="F49" s="18" t="s">
        <v>1111</v>
      </c>
      <c r="G49" s="119">
        <v>43100</v>
      </c>
      <c r="H49" s="18">
        <v>0</v>
      </c>
      <c r="I49" s="18">
        <v>0</v>
      </c>
      <c r="J49" s="18">
        <f t="shared" si="0"/>
        <v>0</v>
      </c>
      <c r="K49" s="18">
        <v>0</v>
      </c>
      <c r="L49" s="18">
        <v>0</v>
      </c>
      <c r="M49" s="18">
        <f t="shared" si="1"/>
        <v>0</v>
      </c>
      <c r="N49" s="18">
        <v>278.62</v>
      </c>
      <c r="O49" s="18">
        <v>0</v>
      </c>
      <c r="P49" s="18">
        <f t="shared" si="2"/>
        <v>278.62</v>
      </c>
      <c r="Q49" s="18">
        <v>3</v>
      </c>
      <c r="R49" s="18">
        <v>0</v>
      </c>
      <c r="S49" s="18">
        <f t="shared" si="3"/>
        <v>3</v>
      </c>
      <c r="T49" s="18">
        <v>1</v>
      </c>
      <c r="U49" s="18">
        <v>0</v>
      </c>
      <c r="V49" s="18">
        <f t="shared" si="4"/>
        <v>1</v>
      </c>
      <c r="W49" s="18">
        <v>7296.89</v>
      </c>
      <c r="X49" s="18">
        <v>0</v>
      </c>
      <c r="Y49" s="18">
        <f t="shared" si="5"/>
        <v>7296.89</v>
      </c>
      <c r="Z49" s="18">
        <v>215.12</v>
      </c>
      <c r="AA49" s="18">
        <v>0</v>
      </c>
      <c r="AB49" s="18">
        <f t="shared" si="6"/>
        <v>215.12</v>
      </c>
      <c r="AC49" s="18">
        <v>858.31</v>
      </c>
      <c r="AD49" s="18">
        <v>858.31</v>
      </c>
      <c r="AE49" s="18">
        <f t="shared" si="7"/>
        <v>858.31</v>
      </c>
      <c r="AF49" s="18">
        <v>643190.30000000005</v>
      </c>
      <c r="AG49" s="18">
        <v>0</v>
      </c>
      <c r="AH49" s="18">
        <f t="shared" si="8"/>
        <v>643190.30000000005</v>
      </c>
      <c r="AI49" s="18">
        <v>643190.30000000005</v>
      </c>
      <c r="AJ49" s="18">
        <v>0</v>
      </c>
      <c r="AK49" s="18">
        <f t="shared" si="9"/>
        <v>643190.30000000005</v>
      </c>
      <c r="AL49" s="18">
        <v>712</v>
      </c>
      <c r="AM49" s="18">
        <v>0</v>
      </c>
      <c r="AN49" s="18">
        <f t="shared" si="10"/>
        <v>712</v>
      </c>
      <c r="AO49" s="18">
        <v>59</v>
      </c>
      <c r="AP49" s="18">
        <v>0</v>
      </c>
      <c r="AQ49" s="18">
        <f t="shared" si="11"/>
        <v>59</v>
      </c>
      <c r="AR49" s="18">
        <v>599</v>
      </c>
      <c r="AS49" s="18">
        <v>0</v>
      </c>
      <c r="AT49" s="18">
        <f t="shared" si="12"/>
        <v>599</v>
      </c>
      <c r="AU49" s="18">
        <v>1232947</v>
      </c>
      <c r="AV49" s="18">
        <v>0</v>
      </c>
      <c r="AW49" s="18">
        <f t="shared" si="13"/>
        <v>1232947</v>
      </c>
      <c r="AX49" s="18">
        <v>0</v>
      </c>
      <c r="AY49" s="18">
        <v>0</v>
      </c>
      <c r="AZ49" s="18">
        <f t="shared" si="14"/>
        <v>0</v>
      </c>
      <c r="BA49" s="18">
        <v>0</v>
      </c>
      <c r="BB49" s="18">
        <v>0</v>
      </c>
      <c r="BC49" s="18">
        <f t="shared" si="15"/>
        <v>0</v>
      </c>
      <c r="BD49" s="18">
        <v>0</v>
      </c>
      <c r="BE49" s="18">
        <v>0</v>
      </c>
      <c r="BF49" s="18">
        <f t="shared" si="16"/>
        <v>0</v>
      </c>
    </row>
    <row r="50" spans="1:58" ht="38.25" x14ac:dyDescent="0.25">
      <c r="A50" s="124" t="s">
        <v>1165</v>
      </c>
      <c r="B50" s="124" t="s">
        <v>1468</v>
      </c>
      <c r="C50" s="18" t="s">
        <v>1569</v>
      </c>
      <c r="D50" s="18" t="s">
        <v>1570</v>
      </c>
      <c r="E50" s="18" t="s">
        <v>1477</v>
      </c>
      <c r="F50" s="18" t="s">
        <v>1111</v>
      </c>
      <c r="G50" s="119">
        <v>43039</v>
      </c>
      <c r="H50" s="18">
        <v>0</v>
      </c>
      <c r="I50" s="18">
        <v>0</v>
      </c>
      <c r="J50" s="18">
        <f t="shared" si="0"/>
        <v>0</v>
      </c>
      <c r="K50" s="18">
        <v>0</v>
      </c>
      <c r="L50" s="18">
        <v>0</v>
      </c>
      <c r="M50" s="18">
        <f t="shared" si="1"/>
        <v>0</v>
      </c>
      <c r="N50" s="18">
        <v>21.968</v>
      </c>
      <c r="O50" s="18">
        <v>0</v>
      </c>
      <c r="P50" s="18">
        <f t="shared" si="2"/>
        <v>21.968</v>
      </c>
      <c r="Q50" s="18">
        <v>3</v>
      </c>
      <c r="R50" s="18">
        <v>0</v>
      </c>
      <c r="S50" s="18">
        <f t="shared" si="3"/>
        <v>3</v>
      </c>
      <c r="T50" s="18">
        <v>1</v>
      </c>
      <c r="U50" s="18">
        <v>0</v>
      </c>
      <c r="V50" s="18">
        <f t="shared" si="4"/>
        <v>1</v>
      </c>
      <c r="W50" s="18">
        <v>1326.53</v>
      </c>
      <c r="X50" s="18">
        <v>0</v>
      </c>
      <c r="Y50" s="18">
        <f t="shared" si="5"/>
        <v>1326.53</v>
      </c>
      <c r="Z50" s="18">
        <v>55.29</v>
      </c>
      <c r="AA50" s="18">
        <v>0</v>
      </c>
      <c r="AB50" s="18">
        <f t="shared" si="6"/>
        <v>55.29</v>
      </c>
      <c r="AC50" s="18">
        <v>133.49</v>
      </c>
      <c r="AD50" s="18">
        <v>133.49</v>
      </c>
      <c r="AE50" s="18">
        <f t="shared" si="7"/>
        <v>133.49</v>
      </c>
      <c r="AF50" s="18">
        <v>78199.600000000006</v>
      </c>
      <c r="AG50" s="18">
        <v>0</v>
      </c>
      <c r="AH50" s="18">
        <f t="shared" si="8"/>
        <v>78199.600000000006</v>
      </c>
      <c r="AI50" s="18">
        <v>78199.600000000006</v>
      </c>
      <c r="AJ50" s="18">
        <v>0</v>
      </c>
      <c r="AK50" s="18">
        <f t="shared" si="9"/>
        <v>78199.600000000006</v>
      </c>
      <c r="AL50" s="18">
        <v>47</v>
      </c>
      <c r="AM50" s="18">
        <v>0</v>
      </c>
      <c r="AN50" s="18">
        <f t="shared" si="10"/>
        <v>47</v>
      </c>
      <c r="AO50" s="18">
        <v>3</v>
      </c>
      <c r="AP50" s="18">
        <v>0</v>
      </c>
      <c r="AQ50" s="18">
        <f t="shared" si="11"/>
        <v>3</v>
      </c>
      <c r="AR50" s="18">
        <v>17</v>
      </c>
      <c r="AS50" s="18">
        <v>0</v>
      </c>
      <c r="AT50" s="18">
        <f t="shared" si="12"/>
        <v>17</v>
      </c>
      <c r="AU50" s="18">
        <v>386885</v>
      </c>
      <c r="AV50" s="18">
        <v>0</v>
      </c>
      <c r="AW50" s="18">
        <f t="shared" si="13"/>
        <v>386885</v>
      </c>
      <c r="AX50" s="18">
        <v>0</v>
      </c>
      <c r="AY50" s="18">
        <v>0</v>
      </c>
      <c r="AZ50" s="18">
        <f t="shared" si="14"/>
        <v>0</v>
      </c>
      <c r="BA50" s="18">
        <v>0</v>
      </c>
      <c r="BB50" s="18">
        <v>0</v>
      </c>
      <c r="BC50" s="18">
        <f t="shared" si="15"/>
        <v>0</v>
      </c>
      <c r="BD50" s="18">
        <v>0</v>
      </c>
      <c r="BE50" s="18">
        <v>0</v>
      </c>
      <c r="BF50" s="18">
        <f t="shared" si="16"/>
        <v>0</v>
      </c>
    </row>
    <row r="51" spans="1:58" ht="38.25" x14ac:dyDescent="0.25">
      <c r="A51" s="124" t="s">
        <v>1166</v>
      </c>
      <c r="B51" s="124" t="s">
        <v>1468</v>
      </c>
      <c r="C51" s="18" t="s">
        <v>1571</v>
      </c>
      <c r="D51" s="18" t="s">
        <v>1572</v>
      </c>
      <c r="E51" s="18" t="s">
        <v>1500</v>
      </c>
      <c r="F51" s="18" t="s">
        <v>1111</v>
      </c>
      <c r="G51" s="119">
        <v>43281</v>
      </c>
      <c r="H51" s="18">
        <v>0</v>
      </c>
      <c r="I51" s="18">
        <v>0</v>
      </c>
      <c r="J51" s="18">
        <f t="shared" si="0"/>
        <v>0</v>
      </c>
      <c r="K51" s="18">
        <v>2.8809999999999998</v>
      </c>
      <c r="L51" s="18">
        <v>0</v>
      </c>
      <c r="M51" s="18">
        <f t="shared" si="1"/>
        <v>2.8809999999999998</v>
      </c>
      <c r="N51" s="18">
        <v>26.26</v>
      </c>
      <c r="O51" s="18">
        <v>0</v>
      </c>
      <c r="P51" s="18">
        <f t="shared" si="2"/>
        <v>26.26</v>
      </c>
      <c r="Q51" s="18">
        <v>4</v>
      </c>
      <c r="R51" s="18">
        <v>0</v>
      </c>
      <c r="S51" s="18">
        <f t="shared" si="3"/>
        <v>4</v>
      </c>
      <c r="T51" s="18">
        <v>1</v>
      </c>
      <c r="U51" s="18">
        <v>0</v>
      </c>
      <c r="V51" s="18">
        <f t="shared" si="4"/>
        <v>1</v>
      </c>
      <c r="W51" s="18">
        <v>367.53</v>
      </c>
      <c r="X51" s="18">
        <v>0</v>
      </c>
      <c r="Y51" s="18">
        <f t="shared" si="5"/>
        <v>367.53</v>
      </c>
      <c r="Z51" s="18">
        <v>17.591000000000001</v>
      </c>
      <c r="AA51" s="18">
        <v>0</v>
      </c>
      <c r="AB51" s="18">
        <f t="shared" si="6"/>
        <v>17.591000000000001</v>
      </c>
      <c r="AC51" s="18">
        <v>110.931</v>
      </c>
      <c r="AD51" s="18">
        <v>110.931</v>
      </c>
      <c r="AE51" s="18">
        <f t="shared" si="7"/>
        <v>110.931</v>
      </c>
      <c r="AF51" s="18">
        <v>93340</v>
      </c>
      <c r="AG51" s="18">
        <v>0</v>
      </c>
      <c r="AH51" s="18">
        <f t="shared" si="8"/>
        <v>93340</v>
      </c>
      <c r="AI51" s="18">
        <v>130364.44</v>
      </c>
      <c r="AJ51" s="18">
        <v>0</v>
      </c>
      <c r="AK51" s="18">
        <f t="shared" si="9"/>
        <v>130364.44</v>
      </c>
      <c r="AL51" s="18">
        <v>14710</v>
      </c>
      <c r="AM51" s="18">
        <v>0</v>
      </c>
      <c r="AN51" s="18">
        <f t="shared" si="10"/>
        <v>14710</v>
      </c>
      <c r="AO51" s="18">
        <v>0</v>
      </c>
      <c r="AP51" s="18">
        <v>0</v>
      </c>
      <c r="AQ51" s="18">
        <f t="shared" si="11"/>
        <v>0</v>
      </c>
      <c r="AR51" s="18">
        <v>750</v>
      </c>
      <c r="AS51" s="18">
        <v>0</v>
      </c>
      <c r="AT51" s="18">
        <f t="shared" si="12"/>
        <v>750</v>
      </c>
      <c r="AU51" s="18">
        <v>126327</v>
      </c>
      <c r="AV51" s="18">
        <v>0</v>
      </c>
      <c r="AW51" s="18">
        <f t="shared" si="13"/>
        <v>126327</v>
      </c>
      <c r="AX51" s="18">
        <v>0</v>
      </c>
      <c r="AY51" s="18">
        <v>0</v>
      </c>
      <c r="AZ51" s="18">
        <f t="shared" si="14"/>
        <v>0</v>
      </c>
      <c r="BA51" s="18">
        <v>3.0000000000000001E-3</v>
      </c>
      <c r="BB51" s="18">
        <v>0</v>
      </c>
      <c r="BC51" s="18">
        <f t="shared" si="15"/>
        <v>3.0000000000000001E-3</v>
      </c>
      <c r="BD51" s="18">
        <v>3.0000000000000001E-3</v>
      </c>
      <c r="BE51" s="18">
        <v>0</v>
      </c>
      <c r="BF51" s="18">
        <f t="shared" si="16"/>
        <v>3.0000000000000001E-3</v>
      </c>
    </row>
    <row r="52" spans="1:58" ht="25.5" x14ac:dyDescent="0.25">
      <c r="A52" s="124" t="s">
        <v>1167</v>
      </c>
      <c r="B52" s="124" t="s">
        <v>1468</v>
      </c>
      <c r="C52" s="18" t="s">
        <v>1573</v>
      </c>
      <c r="D52" s="18" t="s">
        <v>1574</v>
      </c>
      <c r="E52" s="18" t="s">
        <v>1483</v>
      </c>
      <c r="F52" s="18" t="s">
        <v>1111</v>
      </c>
      <c r="G52" s="119">
        <v>43159</v>
      </c>
      <c r="H52" s="18">
        <v>0</v>
      </c>
      <c r="I52" s="18"/>
      <c r="J52" s="18">
        <f t="shared" si="0"/>
        <v>0</v>
      </c>
      <c r="K52" s="18">
        <v>24.617999999999999</v>
      </c>
      <c r="L52" s="18"/>
      <c r="M52" s="18">
        <f t="shared" si="1"/>
        <v>24.617999999999999</v>
      </c>
      <c r="N52" s="18">
        <v>58.957000000000001</v>
      </c>
      <c r="O52" s="18"/>
      <c r="P52" s="18">
        <f t="shared" si="2"/>
        <v>58.957000000000001</v>
      </c>
      <c r="Q52" s="18">
        <v>6</v>
      </c>
      <c r="R52" s="18"/>
      <c r="S52" s="18">
        <f t="shared" si="3"/>
        <v>6</v>
      </c>
      <c r="T52" s="18">
        <v>3</v>
      </c>
      <c r="U52" s="18"/>
      <c r="V52" s="18">
        <f t="shared" si="4"/>
        <v>3</v>
      </c>
      <c r="W52" s="18">
        <v>1102.42</v>
      </c>
      <c r="X52" s="18"/>
      <c r="Y52" s="18">
        <f t="shared" si="5"/>
        <v>1102.42</v>
      </c>
      <c r="Z52" s="18">
        <v>24.82</v>
      </c>
      <c r="AA52" s="18"/>
      <c r="AB52" s="18">
        <f t="shared" si="6"/>
        <v>24.82</v>
      </c>
      <c r="AC52" s="18">
        <v>155.36000000000001</v>
      </c>
      <c r="AD52" s="18"/>
      <c r="AE52" s="18">
        <f t="shared" si="7"/>
        <v>155.36000000000001</v>
      </c>
      <c r="AF52" s="18">
        <v>130540</v>
      </c>
      <c r="AG52" s="18"/>
      <c r="AH52" s="18">
        <f t="shared" si="8"/>
        <v>130540</v>
      </c>
      <c r="AI52" s="18">
        <v>212355.19</v>
      </c>
      <c r="AJ52" s="18"/>
      <c r="AK52" s="18">
        <f t="shared" si="9"/>
        <v>212355.19</v>
      </c>
      <c r="AL52" s="18">
        <v>41.96</v>
      </c>
      <c r="AM52" s="18"/>
      <c r="AN52" s="18">
        <f t="shared" si="10"/>
        <v>41.96</v>
      </c>
      <c r="AO52" s="18">
        <v>3.28</v>
      </c>
      <c r="AP52" s="18"/>
      <c r="AQ52" s="18">
        <f t="shared" si="11"/>
        <v>3.28</v>
      </c>
      <c r="AR52" s="18">
        <v>8.0399999999999991</v>
      </c>
      <c r="AS52" s="18"/>
      <c r="AT52" s="18">
        <f t="shared" si="12"/>
        <v>8.0399999999999991</v>
      </c>
      <c r="AU52" s="18">
        <v>301172.3</v>
      </c>
      <c r="AV52" s="18"/>
      <c r="AW52" s="18">
        <f t="shared" si="13"/>
        <v>301172.3</v>
      </c>
      <c r="AX52" s="18">
        <v>0</v>
      </c>
      <c r="AY52" s="18"/>
      <c r="AZ52" s="18">
        <f t="shared" si="14"/>
        <v>0</v>
      </c>
      <c r="BA52" s="18">
        <v>2.3699999999999999E-2</v>
      </c>
      <c r="BB52" s="18"/>
      <c r="BC52" s="18">
        <f t="shared" si="15"/>
        <v>2.3699999999999999E-2</v>
      </c>
      <c r="BD52" s="18">
        <v>2.3699999999999999E-2</v>
      </c>
      <c r="BE52" s="18"/>
      <c r="BF52" s="18">
        <f t="shared" si="16"/>
        <v>2.3699999999999999E-2</v>
      </c>
    </row>
    <row r="53" spans="1:58" ht="25.5" x14ac:dyDescent="0.25">
      <c r="A53" s="124" t="s">
        <v>1168</v>
      </c>
      <c r="B53" s="124" t="s">
        <v>1468</v>
      </c>
      <c r="C53" s="18" t="s">
        <v>1575</v>
      </c>
      <c r="D53" s="18" t="s">
        <v>1576</v>
      </c>
      <c r="E53" s="18" t="s">
        <v>1500</v>
      </c>
      <c r="F53" s="18" t="s">
        <v>1111</v>
      </c>
      <c r="G53" s="119">
        <v>43039</v>
      </c>
      <c r="H53" s="18">
        <v>0</v>
      </c>
      <c r="I53" s="18">
        <v>0</v>
      </c>
      <c r="J53" s="18">
        <f t="shared" si="0"/>
        <v>0</v>
      </c>
      <c r="K53" s="18">
        <v>0</v>
      </c>
      <c r="L53" s="18">
        <v>0</v>
      </c>
      <c r="M53" s="18">
        <f t="shared" si="1"/>
        <v>0</v>
      </c>
      <c r="N53" s="18">
        <v>105.08</v>
      </c>
      <c r="O53" s="18">
        <v>0</v>
      </c>
      <c r="P53" s="18">
        <f t="shared" si="2"/>
        <v>105.08</v>
      </c>
      <c r="Q53" s="18">
        <v>3</v>
      </c>
      <c r="R53" s="18">
        <v>0</v>
      </c>
      <c r="S53" s="18">
        <f t="shared" si="3"/>
        <v>3</v>
      </c>
      <c r="T53" s="18">
        <v>1</v>
      </c>
      <c r="U53" s="18">
        <v>0</v>
      </c>
      <c r="V53" s="18">
        <f t="shared" si="4"/>
        <v>1</v>
      </c>
      <c r="W53" s="18">
        <v>3750</v>
      </c>
      <c r="X53" s="18">
        <v>0</v>
      </c>
      <c r="Y53" s="18">
        <f t="shared" si="5"/>
        <v>3750</v>
      </c>
      <c r="Z53" s="18">
        <v>214.36799999999999</v>
      </c>
      <c r="AA53" s="18">
        <v>0</v>
      </c>
      <c r="AB53" s="18">
        <f t="shared" si="6"/>
        <v>214.36799999999999</v>
      </c>
      <c r="AC53" s="18">
        <v>593.11800000000005</v>
      </c>
      <c r="AD53" s="18">
        <v>0</v>
      </c>
      <c r="AE53" s="18">
        <f t="shared" si="7"/>
        <v>593.11800000000005</v>
      </c>
      <c r="AF53" s="18">
        <v>378750</v>
      </c>
      <c r="AG53" s="18">
        <v>0</v>
      </c>
      <c r="AH53" s="18">
        <f t="shared" si="8"/>
        <v>378750</v>
      </c>
      <c r="AI53" s="18">
        <v>378750</v>
      </c>
      <c r="AJ53" s="18">
        <v>0</v>
      </c>
      <c r="AK53" s="18">
        <f t="shared" si="9"/>
        <v>378750</v>
      </c>
      <c r="AL53" s="18">
        <v>104.6</v>
      </c>
      <c r="AM53" s="18">
        <v>0</v>
      </c>
      <c r="AN53" s="18">
        <f t="shared" si="10"/>
        <v>104.6</v>
      </c>
      <c r="AO53" s="18">
        <v>8.1</v>
      </c>
      <c r="AP53" s="18">
        <v>0</v>
      </c>
      <c r="AQ53" s="18">
        <f t="shared" si="11"/>
        <v>8.1</v>
      </c>
      <c r="AR53" s="18">
        <v>33.5</v>
      </c>
      <c r="AS53" s="18">
        <v>0</v>
      </c>
      <c r="AT53" s="18">
        <f t="shared" si="12"/>
        <v>33.5</v>
      </c>
      <c r="AU53" s="18">
        <v>543750</v>
      </c>
      <c r="AV53" s="18">
        <v>0</v>
      </c>
      <c r="AW53" s="18">
        <f t="shared" si="13"/>
        <v>543750</v>
      </c>
      <c r="AX53" s="18">
        <v>0</v>
      </c>
      <c r="AY53" s="18">
        <v>0</v>
      </c>
      <c r="AZ53" s="18">
        <f t="shared" si="14"/>
        <v>0</v>
      </c>
      <c r="BA53" s="18">
        <v>0</v>
      </c>
      <c r="BB53" s="18">
        <v>0</v>
      </c>
      <c r="BC53" s="18">
        <f t="shared" si="15"/>
        <v>0</v>
      </c>
      <c r="BD53" s="18">
        <v>0</v>
      </c>
      <c r="BE53" s="18">
        <v>0</v>
      </c>
      <c r="BF53" s="18">
        <f t="shared" si="16"/>
        <v>0</v>
      </c>
    </row>
    <row r="54" spans="1:58" ht="51" x14ac:dyDescent="0.25">
      <c r="A54" s="124" t="s">
        <v>1169</v>
      </c>
      <c r="B54" s="124" t="s">
        <v>1468</v>
      </c>
      <c r="C54" s="18" t="s">
        <v>1577</v>
      </c>
      <c r="D54" s="18" t="s">
        <v>1578</v>
      </c>
      <c r="E54" s="18" t="s">
        <v>1477</v>
      </c>
      <c r="F54" s="18" t="s">
        <v>1111</v>
      </c>
      <c r="G54" s="119">
        <v>43100</v>
      </c>
      <c r="H54" s="18">
        <v>0</v>
      </c>
      <c r="I54" s="18">
        <v>0</v>
      </c>
      <c r="J54" s="18">
        <f t="shared" si="0"/>
        <v>0</v>
      </c>
      <c r="K54" s="18">
        <v>0</v>
      </c>
      <c r="L54" s="18">
        <v>0</v>
      </c>
      <c r="M54" s="18">
        <f t="shared" si="1"/>
        <v>0</v>
      </c>
      <c r="N54" s="18">
        <v>48.15</v>
      </c>
      <c r="O54" s="18">
        <v>0</v>
      </c>
      <c r="P54" s="18">
        <f t="shared" si="2"/>
        <v>48.15</v>
      </c>
      <c r="Q54" s="18">
        <v>2</v>
      </c>
      <c r="R54" s="18">
        <v>0</v>
      </c>
      <c r="S54" s="18">
        <f t="shared" si="3"/>
        <v>2</v>
      </c>
      <c r="T54" s="18">
        <v>1</v>
      </c>
      <c r="U54" s="18">
        <v>0</v>
      </c>
      <c r="V54" s="18">
        <f t="shared" si="4"/>
        <v>1</v>
      </c>
      <c r="W54" s="18">
        <v>846.17</v>
      </c>
      <c r="X54" s="18">
        <v>0</v>
      </c>
      <c r="Y54" s="18">
        <f t="shared" si="5"/>
        <v>846.17</v>
      </c>
      <c r="Z54" s="18">
        <v>50.643000000000001</v>
      </c>
      <c r="AA54" s="18">
        <v>0</v>
      </c>
      <c r="AB54" s="18">
        <f t="shared" si="6"/>
        <v>50.643000000000001</v>
      </c>
      <c r="AC54" s="18">
        <v>186.411</v>
      </c>
      <c r="AD54" s="18">
        <v>186.441</v>
      </c>
      <c r="AE54" s="18">
        <f t="shared" si="7"/>
        <v>186.411</v>
      </c>
      <c r="AF54" s="18">
        <v>135798</v>
      </c>
      <c r="AG54" s="18">
        <v>0</v>
      </c>
      <c r="AH54" s="18">
        <f t="shared" si="8"/>
        <v>135798</v>
      </c>
      <c r="AI54" s="18">
        <v>174294</v>
      </c>
      <c r="AJ54" s="18">
        <v>0</v>
      </c>
      <c r="AK54" s="18">
        <f t="shared" si="9"/>
        <v>174294</v>
      </c>
      <c r="AL54" s="18">
        <v>0</v>
      </c>
      <c r="AM54" s="18">
        <v>0</v>
      </c>
      <c r="AN54" s="18">
        <f t="shared" si="10"/>
        <v>0</v>
      </c>
      <c r="AO54" s="18">
        <v>0</v>
      </c>
      <c r="AP54" s="18">
        <v>0</v>
      </c>
      <c r="AQ54" s="18">
        <f t="shared" si="11"/>
        <v>0</v>
      </c>
      <c r="AR54" s="18">
        <v>0</v>
      </c>
      <c r="AS54" s="18">
        <v>0</v>
      </c>
      <c r="AT54" s="18">
        <f t="shared" si="12"/>
        <v>0</v>
      </c>
      <c r="AU54" s="18">
        <v>135798</v>
      </c>
      <c r="AV54" s="18">
        <v>0</v>
      </c>
      <c r="AW54" s="18">
        <f t="shared" si="13"/>
        <v>135798</v>
      </c>
      <c r="AX54" s="18">
        <v>0</v>
      </c>
      <c r="AY54" s="18">
        <v>0</v>
      </c>
      <c r="AZ54" s="18">
        <f t="shared" si="14"/>
        <v>0</v>
      </c>
      <c r="BA54" s="18">
        <v>0</v>
      </c>
      <c r="BB54" s="18">
        <v>0</v>
      </c>
      <c r="BC54" s="18">
        <f t="shared" si="15"/>
        <v>0</v>
      </c>
      <c r="BD54" s="18">
        <v>0</v>
      </c>
      <c r="BE54" s="18">
        <v>0</v>
      </c>
      <c r="BF54" s="18">
        <f t="shared" si="16"/>
        <v>0</v>
      </c>
    </row>
    <row r="55" spans="1:58" ht="25.5" x14ac:dyDescent="0.25">
      <c r="A55" s="124" t="s">
        <v>1170</v>
      </c>
      <c r="B55" s="124" t="s">
        <v>1468</v>
      </c>
      <c r="C55" s="18" t="s">
        <v>1579</v>
      </c>
      <c r="D55" s="18" t="s">
        <v>1580</v>
      </c>
      <c r="E55" s="18" t="s">
        <v>1500</v>
      </c>
      <c r="F55" s="18" t="s">
        <v>1111</v>
      </c>
      <c r="G55" s="119">
        <v>43100</v>
      </c>
      <c r="H55" s="18">
        <v>0</v>
      </c>
      <c r="I55" s="18">
        <v>0</v>
      </c>
      <c r="J55" s="18">
        <f t="shared" si="0"/>
        <v>0</v>
      </c>
      <c r="K55" s="18">
        <v>0</v>
      </c>
      <c r="L55" s="18">
        <v>0</v>
      </c>
      <c r="M55" s="18">
        <f t="shared" si="1"/>
        <v>0</v>
      </c>
      <c r="N55" s="18">
        <v>12.4</v>
      </c>
      <c r="O55" s="18">
        <v>0</v>
      </c>
      <c r="P55" s="18">
        <f t="shared" si="2"/>
        <v>12.4</v>
      </c>
      <c r="Q55" s="18">
        <v>2</v>
      </c>
      <c r="R55" s="18">
        <v>0</v>
      </c>
      <c r="S55" s="18">
        <f t="shared" si="3"/>
        <v>2</v>
      </c>
      <c r="T55" s="18">
        <v>1</v>
      </c>
      <c r="U55" s="18">
        <v>0</v>
      </c>
      <c r="V55" s="18">
        <f t="shared" si="4"/>
        <v>1</v>
      </c>
      <c r="W55" s="18">
        <v>1445</v>
      </c>
      <c r="X55" s="18">
        <v>0</v>
      </c>
      <c r="Y55" s="18">
        <f t="shared" si="5"/>
        <v>1445</v>
      </c>
      <c r="Z55" s="18">
        <v>52.558</v>
      </c>
      <c r="AA55" s="18">
        <v>0</v>
      </c>
      <c r="AB55" s="18">
        <f t="shared" si="6"/>
        <v>52.558</v>
      </c>
      <c r="AC55" s="18">
        <v>107.827</v>
      </c>
      <c r="AD55" s="18">
        <v>107.827</v>
      </c>
      <c r="AE55" s="18">
        <f t="shared" si="7"/>
        <v>107.827</v>
      </c>
      <c r="AF55" s="18">
        <v>55268.9</v>
      </c>
      <c r="AG55" s="18">
        <v>0</v>
      </c>
      <c r="AH55" s="18">
        <f t="shared" si="8"/>
        <v>55268.9</v>
      </c>
      <c r="AI55" s="18">
        <v>55268.9</v>
      </c>
      <c r="AJ55" s="18">
        <v>0</v>
      </c>
      <c r="AK55" s="18">
        <f t="shared" si="9"/>
        <v>55268.9</v>
      </c>
      <c r="AL55" s="18">
        <v>14</v>
      </c>
      <c r="AM55" s="18">
        <v>0</v>
      </c>
      <c r="AN55" s="18">
        <f t="shared" si="10"/>
        <v>14</v>
      </c>
      <c r="AO55" s="18">
        <v>1</v>
      </c>
      <c r="AP55" s="18">
        <v>0</v>
      </c>
      <c r="AQ55" s="18">
        <f t="shared" si="11"/>
        <v>1</v>
      </c>
      <c r="AR55" s="18">
        <v>1</v>
      </c>
      <c r="AS55" s="18">
        <v>0</v>
      </c>
      <c r="AT55" s="18">
        <f t="shared" si="12"/>
        <v>1</v>
      </c>
      <c r="AU55" s="18">
        <v>53708.3</v>
      </c>
      <c r="AV55" s="18">
        <v>0</v>
      </c>
      <c r="AW55" s="18">
        <f t="shared" si="13"/>
        <v>53708.3</v>
      </c>
      <c r="AX55" s="18">
        <v>0</v>
      </c>
      <c r="AY55" s="18">
        <v>0</v>
      </c>
      <c r="AZ55" s="18">
        <f t="shared" si="14"/>
        <v>0</v>
      </c>
      <c r="BA55" s="18">
        <v>0</v>
      </c>
      <c r="BB55" s="18">
        <v>0</v>
      </c>
      <c r="BC55" s="18">
        <f t="shared" si="15"/>
        <v>0</v>
      </c>
      <c r="BD55" s="18">
        <v>0</v>
      </c>
      <c r="BE55" s="18">
        <v>0</v>
      </c>
      <c r="BF55" s="18">
        <f t="shared" si="16"/>
        <v>0</v>
      </c>
    </row>
    <row r="56" spans="1:58" ht="38.25" x14ac:dyDescent="0.25">
      <c r="A56" s="124" t="s">
        <v>1171</v>
      </c>
      <c r="B56" s="124" t="s">
        <v>1468</v>
      </c>
      <c r="C56" s="18" t="s">
        <v>1581</v>
      </c>
      <c r="D56" s="18" t="s">
        <v>1582</v>
      </c>
      <c r="E56" s="18" t="s">
        <v>1489</v>
      </c>
      <c r="F56" s="18" t="s">
        <v>1111</v>
      </c>
      <c r="G56" s="119">
        <v>43100</v>
      </c>
      <c r="H56" s="18">
        <v>0</v>
      </c>
      <c r="I56" s="18">
        <v>0</v>
      </c>
      <c r="J56" s="18">
        <f t="shared" si="0"/>
        <v>0</v>
      </c>
      <c r="K56" s="18">
        <v>0</v>
      </c>
      <c r="L56" s="18">
        <v>0</v>
      </c>
      <c r="M56" s="18">
        <f t="shared" si="1"/>
        <v>0</v>
      </c>
      <c r="N56" s="18">
        <v>14.794</v>
      </c>
      <c r="O56" s="18">
        <v>0</v>
      </c>
      <c r="P56" s="18">
        <f t="shared" si="2"/>
        <v>14.794</v>
      </c>
      <c r="Q56" s="18">
        <v>4</v>
      </c>
      <c r="R56" s="18">
        <v>0</v>
      </c>
      <c r="S56" s="18">
        <f t="shared" si="3"/>
        <v>4</v>
      </c>
      <c r="T56" s="18">
        <v>1</v>
      </c>
      <c r="U56" s="18">
        <v>0</v>
      </c>
      <c r="V56" s="18">
        <f t="shared" si="4"/>
        <v>1</v>
      </c>
      <c r="W56" s="18">
        <v>697</v>
      </c>
      <c r="X56" s="18">
        <v>0</v>
      </c>
      <c r="Y56" s="18">
        <f t="shared" si="5"/>
        <v>697</v>
      </c>
      <c r="Z56" s="18">
        <v>30.655999999999999</v>
      </c>
      <c r="AA56" s="18">
        <v>0</v>
      </c>
      <c r="AB56" s="18">
        <f t="shared" si="6"/>
        <v>30.655999999999999</v>
      </c>
      <c r="AC56" s="18">
        <v>84.004999999999995</v>
      </c>
      <c r="AD56" s="18">
        <v>84.004999999999995</v>
      </c>
      <c r="AE56" s="18">
        <f t="shared" si="7"/>
        <v>84.004999999999995</v>
      </c>
      <c r="AF56" s="18">
        <v>53348</v>
      </c>
      <c r="AG56" s="18">
        <v>0</v>
      </c>
      <c r="AH56" s="18">
        <f t="shared" si="8"/>
        <v>53348</v>
      </c>
      <c r="AI56" s="18">
        <v>122907</v>
      </c>
      <c r="AJ56" s="18">
        <v>0</v>
      </c>
      <c r="AK56" s="18">
        <f t="shared" si="9"/>
        <v>122907</v>
      </c>
      <c r="AL56" s="18">
        <v>13</v>
      </c>
      <c r="AM56" s="18">
        <v>0</v>
      </c>
      <c r="AN56" s="18">
        <f t="shared" si="10"/>
        <v>13</v>
      </c>
      <c r="AO56" s="18">
        <v>0</v>
      </c>
      <c r="AP56" s="18">
        <v>0</v>
      </c>
      <c r="AQ56" s="18">
        <f t="shared" si="11"/>
        <v>0</v>
      </c>
      <c r="AR56" s="18">
        <v>0</v>
      </c>
      <c r="AS56" s="18">
        <v>0</v>
      </c>
      <c r="AT56" s="18">
        <f t="shared" si="12"/>
        <v>0</v>
      </c>
      <c r="AU56" s="18">
        <v>72000</v>
      </c>
      <c r="AV56" s="18">
        <v>0</v>
      </c>
      <c r="AW56" s="18">
        <f t="shared" si="13"/>
        <v>72000</v>
      </c>
      <c r="AX56" s="18">
        <v>0</v>
      </c>
      <c r="AY56" s="18">
        <v>0</v>
      </c>
      <c r="AZ56" s="18">
        <f t="shared" si="14"/>
        <v>0</v>
      </c>
      <c r="BA56" s="18">
        <v>0</v>
      </c>
      <c r="BB56" s="18">
        <v>0</v>
      </c>
      <c r="BC56" s="18">
        <f t="shared" si="15"/>
        <v>0</v>
      </c>
      <c r="BD56" s="18">
        <v>0</v>
      </c>
      <c r="BE56" s="18">
        <v>0</v>
      </c>
      <c r="BF56" s="18">
        <f t="shared" si="16"/>
        <v>0</v>
      </c>
    </row>
    <row r="57" spans="1:58" ht="25.5" x14ac:dyDescent="0.25">
      <c r="A57" s="124" t="s">
        <v>1172</v>
      </c>
      <c r="B57" s="124" t="s">
        <v>1468</v>
      </c>
      <c r="C57" s="18" t="s">
        <v>1583</v>
      </c>
      <c r="D57" s="18" t="s">
        <v>1584</v>
      </c>
      <c r="E57" s="18" t="s">
        <v>1500</v>
      </c>
      <c r="F57" s="18" t="s">
        <v>1111</v>
      </c>
      <c r="G57" s="119">
        <v>43373</v>
      </c>
      <c r="H57" s="18">
        <v>0</v>
      </c>
      <c r="I57" s="18">
        <v>0</v>
      </c>
      <c r="J57" s="18">
        <f t="shared" si="0"/>
        <v>0</v>
      </c>
      <c r="K57" s="18">
        <v>0</v>
      </c>
      <c r="L57" s="18">
        <v>0</v>
      </c>
      <c r="M57" s="18">
        <f t="shared" si="1"/>
        <v>0</v>
      </c>
      <c r="N57" s="18">
        <v>25.3</v>
      </c>
      <c r="O57" s="18">
        <v>0</v>
      </c>
      <c r="P57" s="18">
        <f t="shared" si="2"/>
        <v>25.3</v>
      </c>
      <c r="Q57" s="18">
        <v>2</v>
      </c>
      <c r="R57" s="18">
        <v>0</v>
      </c>
      <c r="S57" s="18">
        <f t="shared" si="3"/>
        <v>2</v>
      </c>
      <c r="T57" s="18">
        <v>1</v>
      </c>
      <c r="U57" s="18">
        <v>0</v>
      </c>
      <c r="V57" s="18">
        <f t="shared" si="4"/>
        <v>1</v>
      </c>
      <c r="W57" s="18">
        <v>981</v>
      </c>
      <c r="X57" s="18">
        <v>0</v>
      </c>
      <c r="Y57" s="18">
        <f t="shared" si="5"/>
        <v>981</v>
      </c>
      <c r="Z57" s="18">
        <v>23.489000000000001</v>
      </c>
      <c r="AA57" s="18">
        <v>0</v>
      </c>
      <c r="AB57" s="18">
        <f t="shared" si="6"/>
        <v>23.489000000000001</v>
      </c>
      <c r="AC57" s="18">
        <v>123.34</v>
      </c>
      <c r="AD57" s="18">
        <v>0</v>
      </c>
      <c r="AE57" s="18">
        <f t="shared" si="7"/>
        <v>123.34</v>
      </c>
      <c r="AF57" s="18">
        <v>113081</v>
      </c>
      <c r="AG57" s="18">
        <v>0</v>
      </c>
      <c r="AH57" s="18">
        <f t="shared" si="8"/>
        <v>113081</v>
      </c>
      <c r="AI57" s="18">
        <v>113081</v>
      </c>
      <c r="AJ57" s="18">
        <v>0</v>
      </c>
      <c r="AK57" s="18">
        <f t="shared" si="9"/>
        <v>113081</v>
      </c>
      <c r="AL57" s="18">
        <v>32</v>
      </c>
      <c r="AM57" s="18">
        <v>0</v>
      </c>
      <c r="AN57" s="18">
        <f t="shared" si="10"/>
        <v>32</v>
      </c>
      <c r="AO57" s="18">
        <v>1</v>
      </c>
      <c r="AP57" s="18">
        <v>0</v>
      </c>
      <c r="AQ57" s="18">
        <f t="shared" si="11"/>
        <v>1</v>
      </c>
      <c r="AR57" s="18">
        <v>5</v>
      </c>
      <c r="AS57" s="18">
        <v>0</v>
      </c>
      <c r="AT57" s="18">
        <f t="shared" si="12"/>
        <v>5</v>
      </c>
      <c r="AU57" s="18">
        <v>111698.7</v>
      </c>
      <c r="AV57" s="18">
        <v>0</v>
      </c>
      <c r="AW57" s="18">
        <f t="shared" si="13"/>
        <v>111698.7</v>
      </c>
      <c r="AX57" s="18">
        <v>0</v>
      </c>
      <c r="AY57" s="18">
        <v>0</v>
      </c>
      <c r="AZ57" s="18">
        <f t="shared" si="14"/>
        <v>0</v>
      </c>
      <c r="BA57" s="18">
        <v>0</v>
      </c>
      <c r="BB57" s="18">
        <v>0</v>
      </c>
      <c r="BC57" s="18">
        <f t="shared" si="15"/>
        <v>0</v>
      </c>
      <c r="BD57" s="18">
        <v>0</v>
      </c>
      <c r="BE57" s="18">
        <v>0</v>
      </c>
      <c r="BF57" s="18">
        <f t="shared" si="16"/>
        <v>0</v>
      </c>
    </row>
    <row r="58" spans="1:58" ht="51" x14ac:dyDescent="0.25">
      <c r="A58" s="124" t="s">
        <v>1173</v>
      </c>
      <c r="B58" s="124" t="s">
        <v>1468</v>
      </c>
      <c r="C58" s="18" t="s">
        <v>1585</v>
      </c>
      <c r="D58" s="18" t="s">
        <v>1586</v>
      </c>
      <c r="E58" s="18" t="s">
        <v>1483</v>
      </c>
      <c r="F58" s="18" t="s">
        <v>1111</v>
      </c>
      <c r="G58" s="119">
        <v>43434</v>
      </c>
      <c r="H58" s="18">
        <v>0</v>
      </c>
      <c r="I58" s="18"/>
      <c r="J58" s="18">
        <f t="shared" si="0"/>
        <v>0</v>
      </c>
      <c r="K58" s="18">
        <v>0</v>
      </c>
      <c r="L58" s="18"/>
      <c r="M58" s="18">
        <f t="shared" si="1"/>
        <v>0</v>
      </c>
      <c r="N58" s="18">
        <v>81.756</v>
      </c>
      <c r="O58" s="18"/>
      <c r="P58" s="18">
        <f t="shared" si="2"/>
        <v>81.756</v>
      </c>
      <c r="Q58" s="18">
        <v>4</v>
      </c>
      <c r="R58" s="18"/>
      <c r="S58" s="18">
        <f t="shared" si="3"/>
        <v>4</v>
      </c>
      <c r="T58" s="18">
        <v>1</v>
      </c>
      <c r="U58" s="18"/>
      <c r="V58" s="18">
        <f t="shared" si="4"/>
        <v>1</v>
      </c>
      <c r="W58" s="18">
        <v>743</v>
      </c>
      <c r="X58" s="18"/>
      <c r="Y58" s="18">
        <f t="shared" si="5"/>
        <v>743</v>
      </c>
      <c r="Z58" s="18">
        <v>7.97</v>
      </c>
      <c r="AA58" s="18"/>
      <c r="AB58" s="18">
        <f t="shared" si="6"/>
        <v>7.97</v>
      </c>
      <c r="AC58" s="18">
        <v>61.45</v>
      </c>
      <c r="AD58" s="18"/>
      <c r="AE58" s="18">
        <f t="shared" si="7"/>
        <v>61.45</v>
      </c>
      <c r="AF58" s="18">
        <v>53472</v>
      </c>
      <c r="AG58" s="18"/>
      <c r="AH58" s="18">
        <f t="shared" si="8"/>
        <v>53472</v>
      </c>
      <c r="AI58" s="18">
        <v>294542.59999999998</v>
      </c>
      <c r="AJ58" s="18"/>
      <c r="AK58" s="18">
        <f t="shared" si="9"/>
        <v>294542.59999999998</v>
      </c>
      <c r="AL58" s="18">
        <v>56.76</v>
      </c>
      <c r="AM58" s="18"/>
      <c r="AN58" s="18">
        <f t="shared" si="10"/>
        <v>56.76</v>
      </c>
      <c r="AO58" s="18">
        <v>4.24</v>
      </c>
      <c r="AP58" s="18"/>
      <c r="AQ58" s="18">
        <f t="shared" si="11"/>
        <v>4.24</v>
      </c>
      <c r="AR58" s="18">
        <v>9.59</v>
      </c>
      <c r="AS58" s="18"/>
      <c r="AT58" s="18">
        <f t="shared" si="12"/>
        <v>9.59</v>
      </c>
      <c r="AU58" s="18">
        <v>443862</v>
      </c>
      <c r="AV58" s="18"/>
      <c r="AW58" s="18">
        <f t="shared" si="13"/>
        <v>443862</v>
      </c>
      <c r="AX58" s="18">
        <v>0</v>
      </c>
      <c r="AY58" s="18"/>
      <c r="AZ58" s="18">
        <f t="shared" si="14"/>
        <v>0</v>
      </c>
      <c r="BA58" s="18">
        <v>0</v>
      </c>
      <c r="BB58" s="18"/>
      <c r="BC58" s="18">
        <f t="shared" si="15"/>
        <v>0</v>
      </c>
      <c r="BD58" s="18">
        <v>0</v>
      </c>
      <c r="BE58" s="18"/>
      <c r="BF58" s="18">
        <f t="shared" si="16"/>
        <v>0</v>
      </c>
    </row>
    <row r="59" spans="1:58" ht="38.25" x14ac:dyDescent="0.25">
      <c r="A59" s="124" t="s">
        <v>1174</v>
      </c>
      <c r="B59" s="124" t="s">
        <v>1468</v>
      </c>
      <c r="C59" s="18" t="s">
        <v>1587</v>
      </c>
      <c r="D59" s="18" t="s">
        <v>1588</v>
      </c>
      <c r="E59" s="18" t="s">
        <v>1483</v>
      </c>
      <c r="F59" s="18" t="s">
        <v>1111</v>
      </c>
      <c r="G59" s="119">
        <v>42978</v>
      </c>
      <c r="H59" s="18">
        <v>9.6300000000000008</v>
      </c>
      <c r="I59" s="18">
        <v>0</v>
      </c>
      <c r="J59" s="18">
        <f t="shared" si="0"/>
        <v>9.6300000000000008</v>
      </c>
      <c r="K59" s="18">
        <v>0.93</v>
      </c>
      <c r="L59" s="18">
        <v>0</v>
      </c>
      <c r="M59" s="18">
        <f t="shared" si="1"/>
        <v>0.93</v>
      </c>
      <c r="N59" s="18">
        <v>27.3</v>
      </c>
      <c r="O59" s="18">
        <v>0</v>
      </c>
      <c r="P59" s="18">
        <f t="shared" si="2"/>
        <v>27.3</v>
      </c>
      <c r="Q59" s="18">
        <v>5</v>
      </c>
      <c r="R59" s="18">
        <v>0</v>
      </c>
      <c r="S59" s="18">
        <f t="shared" si="3"/>
        <v>5</v>
      </c>
      <c r="T59" s="18">
        <v>1</v>
      </c>
      <c r="U59" s="18">
        <v>0</v>
      </c>
      <c r="V59" s="18">
        <f t="shared" si="4"/>
        <v>1</v>
      </c>
      <c r="W59" s="18">
        <v>925.76</v>
      </c>
      <c r="X59" s="18">
        <v>0</v>
      </c>
      <c r="Y59" s="18">
        <f t="shared" si="5"/>
        <v>925.76</v>
      </c>
      <c r="Z59" s="18">
        <v>87.62</v>
      </c>
      <c r="AA59" s="18">
        <v>0</v>
      </c>
      <c r="AB59" s="18">
        <f t="shared" si="6"/>
        <v>87.62</v>
      </c>
      <c r="AC59" s="18">
        <v>192.97</v>
      </c>
      <c r="AD59" s="18">
        <v>192.97</v>
      </c>
      <c r="AE59" s="18">
        <f t="shared" si="7"/>
        <v>192.97</v>
      </c>
      <c r="AF59" s="18">
        <v>0</v>
      </c>
      <c r="AG59" s="18">
        <v>0</v>
      </c>
      <c r="AH59" s="18">
        <f t="shared" si="8"/>
        <v>0</v>
      </c>
      <c r="AI59" s="18">
        <v>182633</v>
      </c>
      <c r="AJ59" s="18">
        <v>0</v>
      </c>
      <c r="AK59" s="18">
        <f t="shared" si="9"/>
        <v>182633</v>
      </c>
      <c r="AL59" s="18">
        <v>29</v>
      </c>
      <c r="AM59" s="18">
        <v>0</v>
      </c>
      <c r="AN59" s="18">
        <f t="shared" si="10"/>
        <v>29</v>
      </c>
      <c r="AO59" s="18">
        <v>2.7</v>
      </c>
      <c r="AP59" s="18">
        <v>0</v>
      </c>
      <c r="AQ59" s="18">
        <f t="shared" si="11"/>
        <v>2.7</v>
      </c>
      <c r="AR59" s="18">
        <v>8.3000000000000007</v>
      </c>
      <c r="AS59" s="18">
        <v>0</v>
      </c>
      <c r="AT59" s="18">
        <f t="shared" si="12"/>
        <v>8.3000000000000007</v>
      </c>
      <c r="AU59" s="18">
        <v>355392</v>
      </c>
      <c r="AV59" s="18">
        <v>0</v>
      </c>
      <c r="AW59" s="18">
        <f t="shared" si="13"/>
        <v>355392</v>
      </c>
      <c r="AX59" s="18">
        <v>0.01</v>
      </c>
      <c r="AY59" s="18">
        <v>0</v>
      </c>
      <c r="AZ59" s="18">
        <f t="shared" si="14"/>
        <v>0.01</v>
      </c>
      <c r="BA59" s="18">
        <v>1.2E-2</v>
      </c>
      <c r="BB59" s="18">
        <v>0</v>
      </c>
      <c r="BC59" s="18">
        <f t="shared" si="15"/>
        <v>1.2E-2</v>
      </c>
      <c r="BD59" s="18">
        <v>2E-3</v>
      </c>
      <c r="BE59" s="18">
        <v>0</v>
      </c>
      <c r="BF59" s="18">
        <f t="shared" si="16"/>
        <v>2E-3</v>
      </c>
    </row>
    <row r="60" spans="1:58" ht="25.5" x14ac:dyDescent="0.25">
      <c r="A60" s="124" t="s">
        <v>1175</v>
      </c>
      <c r="B60" s="124" t="s">
        <v>1468</v>
      </c>
      <c r="C60" s="18" t="s">
        <v>1589</v>
      </c>
      <c r="D60" s="18" t="s">
        <v>1590</v>
      </c>
      <c r="E60" s="18" t="s">
        <v>1483</v>
      </c>
      <c r="F60" s="18" t="s">
        <v>1111</v>
      </c>
      <c r="G60" s="119">
        <v>42947</v>
      </c>
      <c r="H60" s="18">
        <v>0</v>
      </c>
      <c r="I60" s="18">
        <v>0</v>
      </c>
      <c r="J60" s="18">
        <f t="shared" si="0"/>
        <v>0</v>
      </c>
      <c r="K60" s="18">
        <v>0</v>
      </c>
      <c r="L60" s="18">
        <v>0</v>
      </c>
      <c r="M60" s="18">
        <f t="shared" si="1"/>
        <v>0</v>
      </c>
      <c r="N60" s="18">
        <v>33.692</v>
      </c>
      <c r="O60" s="18">
        <v>0</v>
      </c>
      <c r="P60" s="18">
        <f t="shared" si="2"/>
        <v>33.692</v>
      </c>
      <c r="Q60" s="18">
        <v>1</v>
      </c>
      <c r="R60" s="18">
        <v>0</v>
      </c>
      <c r="S60" s="18">
        <f t="shared" si="3"/>
        <v>1</v>
      </c>
      <c r="T60" s="18">
        <v>1</v>
      </c>
      <c r="U60" s="18">
        <v>0</v>
      </c>
      <c r="V60" s="18">
        <f t="shared" si="4"/>
        <v>1</v>
      </c>
      <c r="W60" s="18">
        <v>814</v>
      </c>
      <c r="X60" s="18">
        <v>0</v>
      </c>
      <c r="Y60" s="18">
        <f t="shared" si="5"/>
        <v>814</v>
      </c>
      <c r="Z60" s="18">
        <v>74.073999999999998</v>
      </c>
      <c r="AA60" s="18">
        <v>0</v>
      </c>
      <c r="AB60" s="18">
        <f t="shared" si="6"/>
        <v>74.073999999999998</v>
      </c>
      <c r="AC60" s="18">
        <v>184.733</v>
      </c>
      <c r="AD60" s="18">
        <v>184.733</v>
      </c>
      <c r="AE60" s="18">
        <f t="shared" si="7"/>
        <v>184.733</v>
      </c>
      <c r="AF60" s="18">
        <v>110658.89</v>
      </c>
      <c r="AG60" s="18">
        <v>0</v>
      </c>
      <c r="AH60" s="18">
        <f t="shared" si="8"/>
        <v>110658.89</v>
      </c>
      <c r="AI60" s="18">
        <v>110658.89</v>
      </c>
      <c r="AJ60" s="18">
        <v>0</v>
      </c>
      <c r="AK60" s="18">
        <f t="shared" si="9"/>
        <v>110658.89</v>
      </c>
      <c r="AL60" s="18">
        <v>18.600000000000001</v>
      </c>
      <c r="AM60" s="18">
        <v>0</v>
      </c>
      <c r="AN60" s="18">
        <f t="shared" si="10"/>
        <v>18.600000000000001</v>
      </c>
      <c r="AO60" s="18">
        <v>1</v>
      </c>
      <c r="AP60" s="18">
        <v>0</v>
      </c>
      <c r="AQ60" s="18">
        <f t="shared" si="11"/>
        <v>1</v>
      </c>
      <c r="AR60" s="18">
        <v>0.1</v>
      </c>
      <c r="AS60" s="18">
        <v>0</v>
      </c>
      <c r="AT60" s="18">
        <f t="shared" si="12"/>
        <v>0.1</v>
      </c>
      <c r="AU60" s="18">
        <v>148335.96</v>
      </c>
      <c r="AV60" s="18">
        <v>0</v>
      </c>
      <c r="AW60" s="18">
        <f t="shared" si="13"/>
        <v>148335.96</v>
      </c>
      <c r="AX60" s="18">
        <v>0</v>
      </c>
      <c r="AY60" s="18">
        <v>0</v>
      </c>
      <c r="AZ60" s="18">
        <f t="shared" si="14"/>
        <v>0</v>
      </c>
      <c r="BA60" s="18">
        <v>0</v>
      </c>
      <c r="BB60" s="18">
        <v>0</v>
      </c>
      <c r="BC60" s="18">
        <f t="shared" si="15"/>
        <v>0</v>
      </c>
      <c r="BD60" s="18">
        <v>0</v>
      </c>
      <c r="BE60" s="18">
        <v>0</v>
      </c>
      <c r="BF60" s="18">
        <f t="shared" si="16"/>
        <v>0</v>
      </c>
    </row>
    <row r="61" spans="1:58" ht="38.25" x14ac:dyDescent="0.25">
      <c r="A61" s="124" t="s">
        <v>1176</v>
      </c>
      <c r="B61" s="124" t="s">
        <v>1468</v>
      </c>
      <c r="C61" s="18" t="s">
        <v>1591</v>
      </c>
      <c r="D61" s="18" t="s">
        <v>1592</v>
      </c>
      <c r="E61" s="18" t="s">
        <v>1483</v>
      </c>
      <c r="F61" s="18" t="s">
        <v>1111</v>
      </c>
      <c r="G61" s="119">
        <v>43069</v>
      </c>
      <c r="H61" s="18">
        <v>0</v>
      </c>
      <c r="I61" s="18">
        <v>0</v>
      </c>
      <c r="J61" s="18">
        <f t="shared" si="0"/>
        <v>0</v>
      </c>
      <c r="K61" s="18">
        <v>0</v>
      </c>
      <c r="L61" s="18">
        <v>0</v>
      </c>
      <c r="M61" s="18">
        <f t="shared" si="1"/>
        <v>0</v>
      </c>
      <c r="N61" s="18">
        <v>26.62</v>
      </c>
      <c r="O61" s="18">
        <v>0</v>
      </c>
      <c r="P61" s="18">
        <f t="shared" si="2"/>
        <v>26.62</v>
      </c>
      <c r="Q61" s="18">
        <v>3</v>
      </c>
      <c r="R61" s="18">
        <v>2</v>
      </c>
      <c r="S61" s="18">
        <f t="shared" si="3"/>
        <v>3</v>
      </c>
      <c r="T61" s="18">
        <v>1</v>
      </c>
      <c r="U61" s="18">
        <v>0</v>
      </c>
      <c r="V61" s="18">
        <f t="shared" si="4"/>
        <v>1</v>
      </c>
      <c r="W61" s="18">
        <v>615.52</v>
      </c>
      <c r="X61" s="18">
        <v>615.52</v>
      </c>
      <c r="Y61" s="18">
        <f t="shared" si="5"/>
        <v>615.52</v>
      </c>
      <c r="Z61" s="18">
        <v>26.841999999999999</v>
      </c>
      <c r="AA61" s="18">
        <v>0</v>
      </c>
      <c r="AB61" s="18">
        <f t="shared" si="6"/>
        <v>26.841999999999999</v>
      </c>
      <c r="AC61" s="18">
        <v>79.078999999999994</v>
      </c>
      <c r="AD61" s="18">
        <v>79.078999999999994</v>
      </c>
      <c r="AE61" s="18">
        <f t="shared" si="7"/>
        <v>79.078999999999994</v>
      </c>
      <c r="AF61" s="18">
        <v>52.237000000000002</v>
      </c>
      <c r="AG61" s="18">
        <v>52.237000000000002</v>
      </c>
      <c r="AH61" s="18">
        <f t="shared" si="8"/>
        <v>52.237000000000002</v>
      </c>
      <c r="AI61" s="18">
        <v>52.237000000000002</v>
      </c>
      <c r="AJ61" s="18">
        <v>52.237000000000002</v>
      </c>
      <c r="AK61" s="18">
        <f t="shared" si="9"/>
        <v>52.237000000000002</v>
      </c>
      <c r="AL61" s="18">
        <v>8.5723000000000003</v>
      </c>
      <c r="AM61" s="18">
        <v>0</v>
      </c>
      <c r="AN61" s="18">
        <f t="shared" si="10"/>
        <v>8.5723000000000003</v>
      </c>
      <c r="AO61" s="18">
        <v>0.43990000000000001</v>
      </c>
      <c r="AP61" s="18">
        <v>0</v>
      </c>
      <c r="AQ61" s="18">
        <f t="shared" si="11"/>
        <v>0.43990000000000001</v>
      </c>
      <c r="AR61" s="18">
        <v>5.28E-2</v>
      </c>
      <c r="AS61" s="18">
        <v>0</v>
      </c>
      <c r="AT61" s="18">
        <f t="shared" si="12"/>
        <v>5.28E-2</v>
      </c>
      <c r="AU61" s="18">
        <v>52.237000000000002</v>
      </c>
      <c r="AV61" s="18">
        <v>52.237000000000002</v>
      </c>
      <c r="AW61" s="18">
        <f t="shared" si="13"/>
        <v>52.237000000000002</v>
      </c>
      <c r="AX61" s="18">
        <v>0</v>
      </c>
      <c r="AY61" s="18">
        <v>0</v>
      </c>
      <c r="AZ61" s="18">
        <f t="shared" si="14"/>
        <v>0</v>
      </c>
      <c r="BA61" s="18">
        <v>0</v>
      </c>
      <c r="BB61" s="18">
        <v>0</v>
      </c>
      <c r="BC61" s="18">
        <f t="shared" si="15"/>
        <v>0</v>
      </c>
      <c r="BD61" s="18">
        <v>0</v>
      </c>
      <c r="BE61" s="18">
        <v>0</v>
      </c>
      <c r="BF61" s="18">
        <f t="shared" si="16"/>
        <v>0</v>
      </c>
    </row>
    <row r="62" spans="1:58" ht="25.5" x14ac:dyDescent="0.25">
      <c r="A62" s="124" t="s">
        <v>1177</v>
      </c>
      <c r="B62" s="124" t="s">
        <v>1468</v>
      </c>
      <c r="C62" s="18" t="s">
        <v>1593</v>
      </c>
      <c r="D62" s="18" t="s">
        <v>1594</v>
      </c>
      <c r="E62" s="18" t="s">
        <v>1483</v>
      </c>
      <c r="F62" s="18" t="s">
        <v>1111</v>
      </c>
      <c r="G62" s="119">
        <v>43069</v>
      </c>
      <c r="H62" s="18">
        <v>0</v>
      </c>
      <c r="I62" s="18"/>
      <c r="J62" s="18">
        <f t="shared" si="0"/>
        <v>0</v>
      </c>
      <c r="K62" s="18">
        <v>8.8960000000000008</v>
      </c>
      <c r="L62" s="18"/>
      <c r="M62" s="18">
        <f t="shared" si="1"/>
        <v>8.8960000000000008</v>
      </c>
      <c r="N62" s="18">
        <v>12.4</v>
      </c>
      <c r="O62" s="18"/>
      <c r="P62" s="18">
        <f t="shared" si="2"/>
        <v>12.4</v>
      </c>
      <c r="Q62" s="18">
        <v>2</v>
      </c>
      <c r="R62" s="18"/>
      <c r="S62" s="18">
        <f t="shared" si="3"/>
        <v>2</v>
      </c>
      <c r="T62" s="18">
        <v>1</v>
      </c>
      <c r="U62" s="18"/>
      <c r="V62" s="18">
        <f t="shared" si="4"/>
        <v>1</v>
      </c>
      <c r="W62" s="18">
        <v>405.6</v>
      </c>
      <c r="X62" s="18"/>
      <c r="Y62" s="18">
        <f t="shared" si="5"/>
        <v>405.6</v>
      </c>
      <c r="Z62" s="18">
        <v>8.8960000000000008</v>
      </c>
      <c r="AA62" s="18"/>
      <c r="AB62" s="18">
        <f t="shared" si="6"/>
        <v>8.8960000000000008</v>
      </c>
      <c r="AC62" s="18">
        <v>70.221000000000004</v>
      </c>
      <c r="AD62" s="18"/>
      <c r="AE62" s="18">
        <f t="shared" si="7"/>
        <v>70.221000000000004</v>
      </c>
      <c r="AF62" s="18">
        <v>61020</v>
      </c>
      <c r="AG62" s="18"/>
      <c r="AH62" s="18">
        <f t="shared" si="8"/>
        <v>61020</v>
      </c>
      <c r="AI62" s="18">
        <v>64228</v>
      </c>
      <c r="AJ62" s="18"/>
      <c r="AK62" s="18">
        <f t="shared" si="9"/>
        <v>64228</v>
      </c>
      <c r="AL62" s="18">
        <v>0</v>
      </c>
      <c r="AM62" s="18"/>
      <c r="AN62" s="18">
        <f t="shared" si="10"/>
        <v>0</v>
      </c>
      <c r="AO62" s="18">
        <v>0</v>
      </c>
      <c r="AP62" s="18"/>
      <c r="AQ62" s="18">
        <f t="shared" si="11"/>
        <v>0</v>
      </c>
      <c r="AR62" s="18">
        <v>0</v>
      </c>
      <c r="AS62" s="18"/>
      <c r="AT62" s="18">
        <f t="shared" si="12"/>
        <v>0</v>
      </c>
      <c r="AU62" s="18">
        <v>142746</v>
      </c>
      <c r="AV62" s="18"/>
      <c r="AW62" s="18">
        <f t="shared" si="13"/>
        <v>142746</v>
      </c>
      <c r="AX62" s="18">
        <v>0</v>
      </c>
      <c r="AY62" s="18"/>
      <c r="AZ62" s="18">
        <f t="shared" si="14"/>
        <v>0</v>
      </c>
      <c r="BA62" s="18">
        <v>1.8499999999999999E-2</v>
      </c>
      <c r="BB62" s="18"/>
      <c r="BC62" s="18">
        <f t="shared" si="15"/>
        <v>1.8499999999999999E-2</v>
      </c>
      <c r="BD62" s="18">
        <v>1.8499999999999999E-2</v>
      </c>
      <c r="BE62" s="18"/>
      <c r="BF62" s="18">
        <f t="shared" si="16"/>
        <v>1.8499999999999999E-2</v>
      </c>
    </row>
    <row r="63" spans="1:58" ht="38.25" x14ac:dyDescent="0.25">
      <c r="A63" s="124" t="s">
        <v>1178</v>
      </c>
      <c r="B63" s="124" t="s">
        <v>1468</v>
      </c>
      <c r="C63" s="18" t="s">
        <v>1569</v>
      </c>
      <c r="D63" s="18" t="s">
        <v>1595</v>
      </c>
      <c r="E63" s="18" t="s">
        <v>1477</v>
      </c>
      <c r="F63" s="18" t="s">
        <v>1111</v>
      </c>
      <c r="G63" s="119">
        <v>43039</v>
      </c>
      <c r="H63" s="18">
        <v>0</v>
      </c>
      <c r="I63" s="18">
        <v>0</v>
      </c>
      <c r="J63" s="18">
        <f t="shared" si="0"/>
        <v>0</v>
      </c>
      <c r="K63" s="18">
        <v>0</v>
      </c>
      <c r="L63" s="18">
        <v>0</v>
      </c>
      <c r="M63" s="18">
        <f t="shared" si="1"/>
        <v>0</v>
      </c>
      <c r="N63" s="18">
        <v>19.443000000000001</v>
      </c>
      <c r="O63" s="18">
        <v>21.922999999999998</v>
      </c>
      <c r="P63" s="18">
        <f t="shared" si="2"/>
        <v>19.443000000000001</v>
      </c>
      <c r="Q63" s="18">
        <v>3</v>
      </c>
      <c r="R63" s="18">
        <v>3</v>
      </c>
      <c r="S63" s="18">
        <f t="shared" si="3"/>
        <v>3</v>
      </c>
      <c r="T63" s="18">
        <v>1</v>
      </c>
      <c r="U63" s="18">
        <v>1</v>
      </c>
      <c r="V63" s="18">
        <f t="shared" si="4"/>
        <v>1</v>
      </c>
      <c r="W63" s="18">
        <v>1269.48</v>
      </c>
      <c r="X63" s="18">
        <v>1260.19</v>
      </c>
      <c r="Y63" s="18">
        <f t="shared" si="5"/>
        <v>1269.48</v>
      </c>
      <c r="Z63" s="18">
        <v>83</v>
      </c>
      <c r="AA63" s="18">
        <v>0</v>
      </c>
      <c r="AB63" s="18">
        <f t="shared" si="6"/>
        <v>83</v>
      </c>
      <c r="AC63" s="18">
        <v>152.5</v>
      </c>
      <c r="AD63" s="18">
        <v>152.5</v>
      </c>
      <c r="AE63" s="18">
        <f t="shared" si="7"/>
        <v>152.5</v>
      </c>
      <c r="AF63" s="18">
        <v>69503.41</v>
      </c>
      <c r="AG63" s="18">
        <v>0</v>
      </c>
      <c r="AH63" s="18">
        <f t="shared" si="8"/>
        <v>69503.41</v>
      </c>
      <c r="AI63" s="18">
        <v>69503.41</v>
      </c>
      <c r="AJ63" s="18">
        <v>68617.289999999994</v>
      </c>
      <c r="AK63" s="18">
        <f t="shared" si="9"/>
        <v>69503.41</v>
      </c>
      <c r="AL63" s="18">
        <v>39</v>
      </c>
      <c r="AM63" s="18">
        <v>0</v>
      </c>
      <c r="AN63" s="18">
        <f t="shared" si="10"/>
        <v>39</v>
      </c>
      <c r="AO63" s="18">
        <v>2</v>
      </c>
      <c r="AP63" s="18">
        <v>0</v>
      </c>
      <c r="AQ63" s="18">
        <f t="shared" si="11"/>
        <v>2</v>
      </c>
      <c r="AR63" s="18">
        <v>11</v>
      </c>
      <c r="AS63" s="18">
        <v>0</v>
      </c>
      <c r="AT63" s="18">
        <f t="shared" si="12"/>
        <v>11</v>
      </c>
      <c r="AU63" s="18">
        <v>111240</v>
      </c>
      <c r="AV63" s="18">
        <v>0</v>
      </c>
      <c r="AW63" s="18">
        <f t="shared" si="13"/>
        <v>111240</v>
      </c>
      <c r="AX63" s="18">
        <v>0</v>
      </c>
      <c r="AY63" s="18">
        <v>0</v>
      </c>
      <c r="AZ63" s="18">
        <f t="shared" si="14"/>
        <v>0</v>
      </c>
      <c r="BA63" s="18">
        <v>0</v>
      </c>
      <c r="BB63" s="18">
        <v>0</v>
      </c>
      <c r="BC63" s="18">
        <f t="shared" si="15"/>
        <v>0</v>
      </c>
      <c r="BD63" s="18">
        <v>0</v>
      </c>
      <c r="BE63" s="18">
        <v>0</v>
      </c>
      <c r="BF63" s="18">
        <f t="shared" si="16"/>
        <v>0</v>
      </c>
    </row>
    <row r="64" spans="1:58" ht="63.75" x14ac:dyDescent="0.25">
      <c r="A64" s="124" t="s">
        <v>1179</v>
      </c>
      <c r="B64" s="124" t="s">
        <v>1115</v>
      </c>
      <c r="C64" s="18" t="s">
        <v>1110</v>
      </c>
      <c r="D64" s="18" t="s">
        <v>1596</v>
      </c>
      <c r="E64" s="18" t="s">
        <v>1474</v>
      </c>
      <c r="F64" s="18" t="s">
        <v>1111</v>
      </c>
      <c r="G64" s="119">
        <v>45291</v>
      </c>
      <c r="H64" s="18"/>
      <c r="I64" s="18"/>
      <c r="J64" s="18" t="str">
        <f t="shared" si="0"/>
        <v/>
      </c>
      <c r="K64" s="18"/>
      <c r="L64" s="18"/>
      <c r="M64" s="18" t="str">
        <f t="shared" si="1"/>
        <v/>
      </c>
      <c r="N64" s="18">
        <v>2147</v>
      </c>
      <c r="O64" s="18"/>
      <c r="P64" s="18">
        <f t="shared" si="2"/>
        <v>0</v>
      </c>
      <c r="Q64" s="18"/>
      <c r="R64" s="18"/>
      <c r="S64" s="18" t="str">
        <f t="shared" si="3"/>
        <v/>
      </c>
      <c r="T64" s="18"/>
      <c r="U64" s="18"/>
      <c r="V64" s="18" t="str">
        <f t="shared" si="4"/>
        <v/>
      </c>
      <c r="W64" s="18"/>
      <c r="X64" s="18"/>
      <c r="Y64" s="18" t="str">
        <f t="shared" si="5"/>
        <v/>
      </c>
      <c r="Z64" s="18"/>
      <c r="AA64" s="18"/>
      <c r="AB64" s="18" t="str">
        <f t="shared" si="6"/>
        <v/>
      </c>
      <c r="AC64" s="18"/>
      <c r="AD64" s="18"/>
      <c r="AE64" s="18" t="str">
        <f t="shared" si="7"/>
        <v/>
      </c>
      <c r="AF64" s="18">
        <v>5021379</v>
      </c>
      <c r="AG64" s="18"/>
      <c r="AH64" s="18">
        <f t="shared" si="8"/>
        <v>0</v>
      </c>
      <c r="AI64" s="18"/>
      <c r="AJ64" s="18"/>
      <c r="AK64" s="18" t="str">
        <f t="shared" si="9"/>
        <v/>
      </c>
      <c r="AL64" s="18"/>
      <c r="AM64" s="18"/>
      <c r="AN64" s="18" t="str">
        <f t="shared" si="10"/>
        <v/>
      </c>
      <c r="AO64" s="18"/>
      <c r="AP64" s="18"/>
      <c r="AQ64" s="18" t="str">
        <f t="shared" si="11"/>
        <v/>
      </c>
      <c r="AR64" s="18"/>
      <c r="AS64" s="18"/>
      <c r="AT64" s="18" t="str">
        <f t="shared" si="12"/>
        <v/>
      </c>
      <c r="AU64" s="18">
        <v>8142177</v>
      </c>
      <c r="AV64" s="18"/>
      <c r="AW64" s="18">
        <f t="shared" si="13"/>
        <v>0</v>
      </c>
      <c r="AX64" s="18"/>
      <c r="AY64" s="18"/>
      <c r="AZ64" s="18" t="str">
        <f t="shared" si="14"/>
        <v/>
      </c>
      <c r="BA64" s="18"/>
      <c r="BB64" s="18"/>
      <c r="BC64" s="18" t="str">
        <f t="shared" si="15"/>
        <v/>
      </c>
      <c r="BD64" s="18"/>
      <c r="BE64" s="18"/>
      <c r="BF64" s="18" t="str">
        <f t="shared" si="16"/>
        <v/>
      </c>
    </row>
    <row r="65" spans="1:58" ht="38.25" x14ac:dyDescent="0.25">
      <c r="A65" s="124" t="s">
        <v>1180</v>
      </c>
      <c r="B65" s="124" t="s">
        <v>1468</v>
      </c>
      <c r="C65" s="18" t="s">
        <v>1597</v>
      </c>
      <c r="D65" s="18" t="s">
        <v>1598</v>
      </c>
      <c r="E65" s="18" t="s">
        <v>1489</v>
      </c>
      <c r="F65" s="18" t="s">
        <v>1111</v>
      </c>
      <c r="G65" s="119">
        <v>43312</v>
      </c>
      <c r="H65" s="18">
        <v>0</v>
      </c>
      <c r="I65" s="18"/>
      <c r="J65" s="18">
        <f t="shared" si="0"/>
        <v>0</v>
      </c>
      <c r="K65" s="18">
        <v>0</v>
      </c>
      <c r="L65" s="18"/>
      <c r="M65" s="18">
        <f t="shared" si="1"/>
        <v>0</v>
      </c>
      <c r="N65" s="18">
        <v>2.8000000000000001E-2</v>
      </c>
      <c r="O65" s="18"/>
      <c r="P65" s="18">
        <f t="shared" si="2"/>
        <v>2.8000000000000001E-2</v>
      </c>
      <c r="Q65" s="18">
        <v>4</v>
      </c>
      <c r="R65" s="18"/>
      <c r="S65" s="18">
        <f t="shared" si="3"/>
        <v>4</v>
      </c>
      <c r="T65" s="18">
        <v>1</v>
      </c>
      <c r="U65" s="18"/>
      <c r="V65" s="18">
        <f t="shared" si="4"/>
        <v>1</v>
      </c>
      <c r="W65" s="18">
        <v>246.4</v>
      </c>
      <c r="X65" s="18"/>
      <c r="Y65" s="18">
        <f t="shared" si="5"/>
        <v>246.4</v>
      </c>
      <c r="Z65" s="18">
        <v>9.1969999999999992</v>
      </c>
      <c r="AA65" s="18"/>
      <c r="AB65" s="18">
        <f t="shared" si="6"/>
        <v>9.1969999999999992</v>
      </c>
      <c r="AC65" s="18">
        <v>49.088000000000001</v>
      </c>
      <c r="AD65" s="18"/>
      <c r="AE65" s="18">
        <f t="shared" si="7"/>
        <v>49.088000000000001</v>
      </c>
      <c r="AF65" s="18">
        <v>27.92</v>
      </c>
      <c r="AG65" s="18"/>
      <c r="AH65" s="18">
        <f t="shared" si="8"/>
        <v>27.92</v>
      </c>
      <c r="AI65" s="18">
        <v>71430</v>
      </c>
      <c r="AJ65" s="18"/>
      <c r="AK65" s="18">
        <f t="shared" si="9"/>
        <v>71430</v>
      </c>
      <c r="AL65" s="18">
        <v>0.16189999999999999</v>
      </c>
      <c r="AM65" s="18"/>
      <c r="AN65" s="18">
        <f t="shared" si="10"/>
        <v>0.16189999999999999</v>
      </c>
      <c r="AO65" s="18">
        <v>8.0000000000000004E-4</v>
      </c>
      <c r="AP65" s="18"/>
      <c r="AQ65" s="18">
        <f t="shared" si="11"/>
        <v>8.0000000000000004E-4</v>
      </c>
      <c r="AR65" s="18">
        <v>1E-3</v>
      </c>
      <c r="AS65" s="18"/>
      <c r="AT65" s="18">
        <f t="shared" si="12"/>
        <v>1E-3</v>
      </c>
      <c r="AU65" s="18">
        <v>71622.399999999994</v>
      </c>
      <c r="AV65" s="18"/>
      <c r="AW65" s="18">
        <f t="shared" si="13"/>
        <v>71622.399999999994</v>
      </c>
      <c r="AX65" s="18">
        <v>0</v>
      </c>
      <c r="AY65" s="18"/>
      <c r="AZ65" s="18">
        <f t="shared" si="14"/>
        <v>0</v>
      </c>
      <c r="BA65" s="18">
        <v>0</v>
      </c>
      <c r="BB65" s="18"/>
      <c r="BC65" s="18">
        <f t="shared" si="15"/>
        <v>0</v>
      </c>
      <c r="BD65" s="18">
        <v>0</v>
      </c>
      <c r="BE65" s="18"/>
      <c r="BF65" s="18">
        <f t="shared" si="16"/>
        <v>0</v>
      </c>
    </row>
    <row r="66" spans="1:58" ht="38.25" x14ac:dyDescent="0.25">
      <c r="A66" s="124" t="s">
        <v>1181</v>
      </c>
      <c r="B66" s="124" t="s">
        <v>1468</v>
      </c>
      <c r="C66" s="18" t="s">
        <v>1093</v>
      </c>
      <c r="D66" s="18" t="s">
        <v>1599</v>
      </c>
      <c r="E66" s="18" t="s">
        <v>1471</v>
      </c>
      <c r="F66" s="18" t="s">
        <v>1111</v>
      </c>
      <c r="G66" s="119">
        <v>43008</v>
      </c>
      <c r="H66" s="18">
        <v>0</v>
      </c>
      <c r="I66" s="18">
        <v>0</v>
      </c>
      <c r="J66" s="18">
        <f t="shared" si="0"/>
        <v>0</v>
      </c>
      <c r="K66" s="18">
        <v>0</v>
      </c>
      <c r="L66" s="18">
        <v>0</v>
      </c>
      <c r="M66" s="18">
        <f t="shared" si="1"/>
        <v>0</v>
      </c>
      <c r="N66" s="18">
        <v>11.66</v>
      </c>
      <c r="O66" s="18">
        <v>12.8064</v>
      </c>
      <c r="P66" s="18">
        <f t="shared" si="2"/>
        <v>11.66</v>
      </c>
      <c r="Q66" s="18">
        <v>7</v>
      </c>
      <c r="R66" s="18">
        <v>7</v>
      </c>
      <c r="S66" s="18">
        <f t="shared" si="3"/>
        <v>7</v>
      </c>
      <c r="T66" s="18">
        <v>1</v>
      </c>
      <c r="U66" s="18">
        <v>1</v>
      </c>
      <c r="V66" s="18">
        <f t="shared" si="4"/>
        <v>1</v>
      </c>
      <c r="W66" s="18">
        <v>907</v>
      </c>
      <c r="X66" s="18">
        <v>907</v>
      </c>
      <c r="Y66" s="18">
        <f t="shared" si="5"/>
        <v>907</v>
      </c>
      <c r="Z66" s="18">
        <v>62.56</v>
      </c>
      <c r="AA66" s="18">
        <v>0</v>
      </c>
      <c r="AB66" s="18">
        <f t="shared" si="6"/>
        <v>62.56</v>
      </c>
      <c r="AC66" s="18">
        <v>142.66</v>
      </c>
      <c r="AD66" s="18">
        <v>142.66300000000001</v>
      </c>
      <c r="AE66" s="18">
        <f t="shared" si="7"/>
        <v>142.66</v>
      </c>
      <c r="AF66" s="18">
        <v>80100</v>
      </c>
      <c r="AG66" s="18">
        <v>0</v>
      </c>
      <c r="AH66" s="18">
        <f t="shared" si="8"/>
        <v>80100</v>
      </c>
      <c r="AI66" s="18">
        <v>65304</v>
      </c>
      <c r="AJ66" s="18">
        <v>73467</v>
      </c>
      <c r="AK66" s="18">
        <f t="shared" si="9"/>
        <v>65304</v>
      </c>
      <c r="AL66" s="18">
        <v>8.1999999999999993</v>
      </c>
      <c r="AM66" s="18">
        <v>0</v>
      </c>
      <c r="AN66" s="18">
        <f t="shared" si="10"/>
        <v>8.1999999999999993</v>
      </c>
      <c r="AO66" s="18">
        <v>0.42</v>
      </c>
      <c r="AP66" s="18">
        <v>0</v>
      </c>
      <c r="AQ66" s="18">
        <f t="shared" si="11"/>
        <v>0.42</v>
      </c>
      <c r="AR66" s="18">
        <v>0.05</v>
      </c>
      <c r="AS66" s="18">
        <v>0</v>
      </c>
      <c r="AT66" s="18">
        <f t="shared" si="12"/>
        <v>0.05</v>
      </c>
      <c r="AU66" s="18">
        <v>108840</v>
      </c>
      <c r="AV66" s="18">
        <v>0</v>
      </c>
      <c r="AW66" s="18">
        <f t="shared" si="13"/>
        <v>108840</v>
      </c>
      <c r="AX66" s="18">
        <v>0</v>
      </c>
      <c r="AY66" s="18">
        <v>0</v>
      </c>
      <c r="AZ66" s="18">
        <f t="shared" si="14"/>
        <v>0</v>
      </c>
      <c r="BA66" s="18">
        <v>0</v>
      </c>
      <c r="BB66" s="18">
        <v>0</v>
      </c>
      <c r="BC66" s="18">
        <f t="shared" si="15"/>
        <v>0</v>
      </c>
      <c r="BD66" s="18">
        <v>0</v>
      </c>
      <c r="BE66" s="18">
        <v>0</v>
      </c>
      <c r="BF66" s="18">
        <f t="shared" si="16"/>
        <v>0</v>
      </c>
    </row>
    <row r="67" spans="1:58" ht="25.5" x14ac:dyDescent="0.25">
      <c r="A67" s="124" t="s">
        <v>1182</v>
      </c>
      <c r="B67" s="124" t="s">
        <v>1468</v>
      </c>
      <c r="C67" s="18" t="s">
        <v>1093</v>
      </c>
      <c r="D67" s="18" t="s">
        <v>1600</v>
      </c>
      <c r="E67" s="18" t="s">
        <v>1500</v>
      </c>
      <c r="F67" s="18" t="s">
        <v>1111</v>
      </c>
      <c r="G67" s="119">
        <v>43434</v>
      </c>
      <c r="H67" s="18">
        <v>0</v>
      </c>
      <c r="I67" s="18"/>
      <c r="J67" s="18">
        <f t="shared" si="0"/>
        <v>0</v>
      </c>
      <c r="K67" s="18">
        <v>0</v>
      </c>
      <c r="L67" s="18"/>
      <c r="M67" s="18">
        <f t="shared" si="1"/>
        <v>0</v>
      </c>
      <c r="N67" s="18">
        <v>10.84</v>
      </c>
      <c r="O67" s="18"/>
      <c r="P67" s="18">
        <f t="shared" si="2"/>
        <v>10.84</v>
      </c>
      <c r="Q67" s="18">
        <v>7</v>
      </c>
      <c r="R67" s="18"/>
      <c r="S67" s="18">
        <f t="shared" si="3"/>
        <v>7</v>
      </c>
      <c r="T67" s="18">
        <v>1</v>
      </c>
      <c r="U67" s="18"/>
      <c r="V67" s="18">
        <f t="shared" si="4"/>
        <v>1</v>
      </c>
      <c r="W67" s="18">
        <v>771.84</v>
      </c>
      <c r="X67" s="18"/>
      <c r="Y67" s="18">
        <f t="shared" si="5"/>
        <v>771.84</v>
      </c>
      <c r="Z67" s="18">
        <v>50.17</v>
      </c>
      <c r="AA67" s="18"/>
      <c r="AB67" s="18">
        <f t="shared" si="6"/>
        <v>50.17</v>
      </c>
      <c r="AC67" s="18">
        <v>112.43</v>
      </c>
      <c r="AD67" s="18"/>
      <c r="AE67" s="18">
        <f t="shared" si="7"/>
        <v>112.43</v>
      </c>
      <c r="AF67" s="18">
        <v>85674.240000000005</v>
      </c>
      <c r="AG67" s="18"/>
      <c r="AH67" s="18">
        <f t="shared" si="8"/>
        <v>85674.240000000005</v>
      </c>
      <c r="AI67" s="18">
        <v>58659.839999999997</v>
      </c>
      <c r="AJ67" s="18"/>
      <c r="AK67" s="18">
        <f t="shared" si="9"/>
        <v>58659.839999999997</v>
      </c>
      <c r="AL67" s="18">
        <v>7.6</v>
      </c>
      <c r="AM67" s="18"/>
      <c r="AN67" s="18">
        <f t="shared" si="10"/>
        <v>7.6</v>
      </c>
      <c r="AO67" s="18">
        <v>0.4</v>
      </c>
      <c r="AP67" s="18"/>
      <c r="AQ67" s="18">
        <f t="shared" si="11"/>
        <v>0.4</v>
      </c>
      <c r="AR67" s="18">
        <v>0.05</v>
      </c>
      <c r="AS67" s="18"/>
      <c r="AT67" s="18">
        <f t="shared" si="12"/>
        <v>0.05</v>
      </c>
      <c r="AU67" s="18">
        <v>111</v>
      </c>
      <c r="AV67" s="18"/>
      <c r="AW67" s="18">
        <f t="shared" si="13"/>
        <v>111</v>
      </c>
      <c r="AX67" s="18">
        <v>0</v>
      </c>
      <c r="AY67" s="18"/>
      <c r="AZ67" s="18">
        <f t="shared" si="14"/>
        <v>0</v>
      </c>
      <c r="BA67" s="18">
        <v>0</v>
      </c>
      <c r="BB67" s="18"/>
      <c r="BC67" s="18">
        <f t="shared" si="15"/>
        <v>0</v>
      </c>
      <c r="BD67" s="18">
        <v>0</v>
      </c>
      <c r="BE67" s="18"/>
      <c r="BF67" s="18">
        <f t="shared" si="16"/>
        <v>0</v>
      </c>
    </row>
    <row r="68" spans="1:58" ht="25.5" x14ac:dyDescent="0.25">
      <c r="A68" s="124" t="s">
        <v>1183</v>
      </c>
      <c r="B68" s="124" t="s">
        <v>1468</v>
      </c>
      <c r="C68" s="18" t="s">
        <v>1093</v>
      </c>
      <c r="D68" s="18" t="s">
        <v>1601</v>
      </c>
      <c r="E68" s="18" t="s">
        <v>1471</v>
      </c>
      <c r="F68" s="18" t="s">
        <v>1111</v>
      </c>
      <c r="G68" s="119">
        <v>43434</v>
      </c>
      <c r="H68" s="18">
        <v>0</v>
      </c>
      <c r="I68" s="18"/>
      <c r="J68" s="18">
        <f t="shared" si="0"/>
        <v>0</v>
      </c>
      <c r="K68" s="18">
        <v>0</v>
      </c>
      <c r="L68" s="18"/>
      <c r="M68" s="18">
        <f t="shared" si="1"/>
        <v>0</v>
      </c>
      <c r="N68" s="18">
        <v>5.7160000000000002</v>
      </c>
      <c r="O68" s="18"/>
      <c r="P68" s="18">
        <f t="shared" si="2"/>
        <v>5.7160000000000002</v>
      </c>
      <c r="Q68" s="18">
        <v>8</v>
      </c>
      <c r="R68" s="18"/>
      <c r="S68" s="18">
        <f t="shared" si="3"/>
        <v>8</v>
      </c>
      <c r="T68" s="18">
        <v>1</v>
      </c>
      <c r="U68" s="18"/>
      <c r="V68" s="18">
        <f t="shared" si="4"/>
        <v>1</v>
      </c>
      <c r="W68" s="18">
        <v>721.45</v>
      </c>
      <c r="X68" s="18"/>
      <c r="Y68" s="18">
        <f t="shared" si="5"/>
        <v>721.45</v>
      </c>
      <c r="Z68" s="18">
        <v>47.98</v>
      </c>
      <c r="AA68" s="18"/>
      <c r="AB68" s="18">
        <f t="shared" si="6"/>
        <v>47.98</v>
      </c>
      <c r="AC68" s="18">
        <v>141.57</v>
      </c>
      <c r="AD68" s="18"/>
      <c r="AE68" s="18">
        <f t="shared" si="7"/>
        <v>141.57</v>
      </c>
      <c r="AF68" s="18">
        <v>80109.81</v>
      </c>
      <c r="AG68" s="18"/>
      <c r="AH68" s="18">
        <f t="shared" si="8"/>
        <v>80109.81</v>
      </c>
      <c r="AI68" s="18">
        <v>111</v>
      </c>
      <c r="AJ68" s="18"/>
      <c r="AK68" s="18">
        <f t="shared" si="9"/>
        <v>111</v>
      </c>
      <c r="AL68" s="18">
        <v>12</v>
      </c>
      <c r="AM68" s="18"/>
      <c r="AN68" s="18">
        <f t="shared" si="10"/>
        <v>12</v>
      </c>
      <c r="AO68" s="18">
        <v>1</v>
      </c>
      <c r="AP68" s="18"/>
      <c r="AQ68" s="18">
        <f t="shared" si="11"/>
        <v>1</v>
      </c>
      <c r="AR68" s="18">
        <v>0</v>
      </c>
      <c r="AS68" s="18"/>
      <c r="AT68" s="18">
        <f t="shared" si="12"/>
        <v>0</v>
      </c>
      <c r="AU68" s="18">
        <v>111.04</v>
      </c>
      <c r="AV68" s="18"/>
      <c r="AW68" s="18">
        <f t="shared" si="13"/>
        <v>111.04</v>
      </c>
      <c r="AX68" s="18">
        <v>0</v>
      </c>
      <c r="AY68" s="18"/>
      <c r="AZ68" s="18">
        <f t="shared" si="14"/>
        <v>0</v>
      </c>
      <c r="BA68" s="18">
        <v>0</v>
      </c>
      <c r="BB68" s="18"/>
      <c r="BC68" s="18">
        <f t="shared" si="15"/>
        <v>0</v>
      </c>
      <c r="BD68" s="18">
        <v>0</v>
      </c>
      <c r="BE68" s="18"/>
      <c r="BF68" s="18">
        <f t="shared" si="16"/>
        <v>0</v>
      </c>
    </row>
    <row r="69" spans="1:58" ht="25.5" x14ac:dyDescent="0.25">
      <c r="A69" s="124" t="s">
        <v>1184</v>
      </c>
      <c r="B69" s="124" t="s">
        <v>1468</v>
      </c>
      <c r="C69" s="18" t="s">
        <v>1093</v>
      </c>
      <c r="D69" s="18" t="s">
        <v>1602</v>
      </c>
      <c r="E69" s="18" t="s">
        <v>1477</v>
      </c>
      <c r="F69" s="18" t="s">
        <v>1111</v>
      </c>
      <c r="G69" s="119">
        <v>43434</v>
      </c>
      <c r="H69" s="18">
        <v>0</v>
      </c>
      <c r="I69" s="18"/>
      <c r="J69" s="18">
        <f t="shared" si="0"/>
        <v>0</v>
      </c>
      <c r="K69" s="18">
        <v>0</v>
      </c>
      <c r="L69" s="18"/>
      <c r="M69" s="18">
        <f t="shared" si="1"/>
        <v>0</v>
      </c>
      <c r="N69" s="18">
        <v>42.027000000000001</v>
      </c>
      <c r="O69" s="18"/>
      <c r="P69" s="18">
        <f t="shared" si="2"/>
        <v>42.027000000000001</v>
      </c>
      <c r="Q69" s="18">
        <v>5</v>
      </c>
      <c r="R69" s="18"/>
      <c r="S69" s="18">
        <f t="shared" si="3"/>
        <v>5</v>
      </c>
      <c r="T69" s="18">
        <v>1</v>
      </c>
      <c r="U69" s="18"/>
      <c r="V69" s="18">
        <f t="shared" si="4"/>
        <v>1</v>
      </c>
      <c r="W69" s="18">
        <v>738.67</v>
      </c>
      <c r="X69" s="18"/>
      <c r="Y69" s="18">
        <f t="shared" si="5"/>
        <v>738.67</v>
      </c>
      <c r="Z69" s="18">
        <v>47.32</v>
      </c>
      <c r="AA69" s="18"/>
      <c r="AB69" s="18">
        <f t="shared" si="6"/>
        <v>47.32</v>
      </c>
      <c r="AC69" s="18">
        <v>94.54</v>
      </c>
      <c r="AD69" s="18"/>
      <c r="AE69" s="18">
        <f t="shared" si="7"/>
        <v>94.54</v>
      </c>
      <c r="AF69" s="18">
        <v>47215</v>
      </c>
      <c r="AG69" s="18"/>
      <c r="AH69" s="18">
        <f t="shared" si="8"/>
        <v>47215</v>
      </c>
      <c r="AI69" s="18">
        <v>157998.96</v>
      </c>
      <c r="AJ69" s="18"/>
      <c r="AK69" s="18">
        <f t="shared" si="9"/>
        <v>157998.96</v>
      </c>
      <c r="AL69" s="18">
        <v>22.03</v>
      </c>
      <c r="AM69" s="18"/>
      <c r="AN69" s="18">
        <f t="shared" si="10"/>
        <v>22.03</v>
      </c>
      <c r="AO69" s="18">
        <v>1.1299999999999999</v>
      </c>
      <c r="AP69" s="18"/>
      <c r="AQ69" s="18">
        <f t="shared" si="11"/>
        <v>1.1299999999999999</v>
      </c>
      <c r="AR69" s="18">
        <v>0.14000000000000001</v>
      </c>
      <c r="AS69" s="18"/>
      <c r="AT69" s="18">
        <f t="shared" si="12"/>
        <v>0.14000000000000001</v>
      </c>
      <c r="AU69" s="18">
        <v>284.38</v>
      </c>
      <c r="AV69" s="18"/>
      <c r="AW69" s="18">
        <f t="shared" si="13"/>
        <v>284.38</v>
      </c>
      <c r="AX69" s="18">
        <v>0</v>
      </c>
      <c r="AY69" s="18"/>
      <c r="AZ69" s="18">
        <f t="shared" si="14"/>
        <v>0</v>
      </c>
      <c r="BA69" s="18">
        <v>0</v>
      </c>
      <c r="BB69" s="18"/>
      <c r="BC69" s="18">
        <f t="shared" si="15"/>
        <v>0</v>
      </c>
      <c r="BD69" s="18">
        <v>0</v>
      </c>
      <c r="BE69" s="18"/>
      <c r="BF69" s="18">
        <f t="shared" si="16"/>
        <v>0</v>
      </c>
    </row>
    <row r="70" spans="1:58" ht="25.5" x14ac:dyDescent="0.25">
      <c r="A70" s="124" t="s">
        <v>1185</v>
      </c>
      <c r="B70" s="124" t="s">
        <v>1468</v>
      </c>
      <c r="C70" s="18" t="s">
        <v>1093</v>
      </c>
      <c r="D70" s="18" t="s">
        <v>1603</v>
      </c>
      <c r="E70" s="18" t="s">
        <v>1503</v>
      </c>
      <c r="F70" s="18" t="s">
        <v>1111</v>
      </c>
      <c r="G70" s="119">
        <v>43434</v>
      </c>
      <c r="H70" s="18">
        <v>0</v>
      </c>
      <c r="I70" s="18"/>
      <c r="J70" s="18">
        <f t="shared" ref="J70:J133" si="17">IF(H70="","",IF($F70="Projekt riadne ukončený (K)",I70,IF($G70&lt;=J$4,H70,0)))</f>
        <v>0</v>
      </c>
      <c r="K70" s="18">
        <v>1.65</v>
      </c>
      <c r="L70" s="18"/>
      <c r="M70" s="18">
        <f t="shared" ref="M70:M133" si="18">IF(K70="","",IF($F70="Projekt riadne ukončený (K)",L70,IF($G70&lt;=M$4,K70,0)))</f>
        <v>1.65</v>
      </c>
      <c r="N70" s="18">
        <v>7.1479999999999997</v>
      </c>
      <c r="O70" s="18"/>
      <c r="P70" s="18">
        <f t="shared" ref="P70:P133" si="19">IF(N70="","",IF($F70="Projekt riadne ukončený (K)",O70,IF($G70&lt;=P$4,N70,0)))</f>
        <v>7.1479999999999997</v>
      </c>
      <c r="Q70" s="18">
        <v>7</v>
      </c>
      <c r="R70" s="18"/>
      <c r="S70" s="18">
        <f t="shared" ref="S70:S133" si="20">IF(Q70="","",IF($F70="Projekt riadne ukončený (K)",R70,IF($G70&lt;=S$4,Q70,0)))</f>
        <v>7</v>
      </c>
      <c r="T70" s="18">
        <v>1</v>
      </c>
      <c r="U70" s="18"/>
      <c r="V70" s="18">
        <f t="shared" ref="V70:V133" si="21">IF(T70="","",IF($F70="Projekt riadne ukončený (K)",U70,IF($G70&lt;=V$4,T70,0)))</f>
        <v>1</v>
      </c>
      <c r="W70" s="18">
        <v>374.53</v>
      </c>
      <c r="X70" s="18"/>
      <c r="Y70" s="18">
        <f t="shared" ref="Y70:Y133" si="22">IF(W70="","",IF($F70="Projekt riadne ukončený (K)",X70,IF($G70&lt;=Y$4,W70,0)))</f>
        <v>374.53</v>
      </c>
      <c r="Z70" s="18">
        <v>24.55</v>
      </c>
      <c r="AA70" s="18"/>
      <c r="AB70" s="18">
        <f t="shared" ref="AB70:AB133" si="23">IF(Z70="","",IF($F70="Projekt riadne ukončený (K)",AA70,IF($G70&lt;=AB$4,Z70,0)))</f>
        <v>24.55</v>
      </c>
      <c r="AC70" s="18">
        <v>123.15</v>
      </c>
      <c r="AD70" s="18"/>
      <c r="AE70" s="18">
        <f t="shared" ref="AE70:AE133" si="24">IF(AC70="","",IF($F70="Projekt riadne ukončený (K)",AD70,IF($G70&lt;=AE$4,AC70,0)))</f>
        <v>123.15</v>
      </c>
      <c r="AF70" s="18">
        <v>98596</v>
      </c>
      <c r="AG70" s="18"/>
      <c r="AH70" s="18">
        <f t="shared" ref="AH70:AH133" si="25">IF(AF70="","",IF($F70="Projekt riadne ukončený (K)",AG70,IF($G70&lt;=AH$4,AF70,0)))</f>
        <v>98596</v>
      </c>
      <c r="AI70" s="18">
        <v>40438.35</v>
      </c>
      <c r="AJ70" s="18"/>
      <c r="AK70" s="18">
        <f t="shared" ref="AK70:AK133" si="26">IF(AI70="","",IF($F70="Projekt riadne ukončený (K)",AJ70,IF($G70&lt;=AK$4,AI70,0)))</f>
        <v>40438.35</v>
      </c>
      <c r="AL70" s="18">
        <v>5.8398000000000003</v>
      </c>
      <c r="AM70" s="18"/>
      <c r="AN70" s="18">
        <f t="shared" ref="AN70:AN133" si="27">IF(AL70="","",IF($F70="Projekt riadne ukončený (K)",AM70,IF($G70&lt;=AN$4,AL70,0)))</f>
        <v>5.8398000000000003</v>
      </c>
      <c r="AO70" s="18">
        <v>0.29949999999999999</v>
      </c>
      <c r="AP70" s="18"/>
      <c r="AQ70" s="18">
        <f t="shared" ref="AQ70:AQ133" si="28">IF(AO70="","",IF($F70="Projekt riadne ukončený (K)",AP70,IF($G70&lt;=AQ$4,AO70,0)))</f>
        <v>0.29949999999999999</v>
      </c>
      <c r="AR70" s="18">
        <v>3.5900000000000001E-2</v>
      </c>
      <c r="AS70" s="18"/>
      <c r="AT70" s="18">
        <f t="shared" ref="AT70:AT133" si="29">IF(AR70="","",IF($F70="Projekt riadne ukončený (K)",AS70,IF($G70&lt;=AT$4,AR70,0)))</f>
        <v>3.5900000000000001E-2</v>
      </c>
      <c r="AU70" s="18">
        <v>107.27</v>
      </c>
      <c r="AV70" s="18"/>
      <c r="AW70" s="18">
        <f t="shared" ref="AW70:AW133" si="30">IF(AU70="","",IF($F70="Projekt riadne ukončený (K)",AV70,IF($G70&lt;=AW$4,AU70,0)))</f>
        <v>107.27</v>
      </c>
      <c r="AX70" s="18">
        <v>4.8000000000000001E-2</v>
      </c>
      <c r="AY70" s="18"/>
      <c r="AZ70" s="18">
        <f t="shared" ref="AZ70:AZ133" si="31">IF(AX70="","",IF($F70="Projekt riadne ukončený (K)",AY70,IF($G70&lt;=AZ$4,AX70,0)))</f>
        <v>4.8000000000000001E-2</v>
      </c>
      <c r="BA70" s="18">
        <v>4.8000000000000001E-2</v>
      </c>
      <c r="BB70" s="18"/>
      <c r="BC70" s="18">
        <f t="shared" ref="BC70:BC133" si="32">IF(BA70="","",IF($F70="Projekt riadne ukončený (K)",BB70,IF($G70&lt;=BC$4,BA70,0)))</f>
        <v>4.8000000000000001E-2</v>
      </c>
      <c r="BD70" s="18">
        <v>4.8000000000000001E-2</v>
      </c>
      <c r="BE70" s="18"/>
      <c r="BF70" s="18">
        <f t="shared" ref="BF70:BF133" si="33">IF(BD70="","",IF($F70="Projekt riadne ukončený (K)",BE70,IF($G70&lt;=BF$4,BD70,0)))</f>
        <v>4.8000000000000001E-2</v>
      </c>
    </row>
    <row r="71" spans="1:58" ht="25.5" x14ac:dyDescent="0.25">
      <c r="A71" s="124" t="s">
        <v>1186</v>
      </c>
      <c r="B71" s="124" t="s">
        <v>1468</v>
      </c>
      <c r="C71" s="18" t="s">
        <v>1093</v>
      </c>
      <c r="D71" s="18" t="s">
        <v>1604</v>
      </c>
      <c r="E71" s="18" t="s">
        <v>1500</v>
      </c>
      <c r="F71" s="18" t="s">
        <v>1111</v>
      </c>
      <c r="G71" s="119">
        <v>43434</v>
      </c>
      <c r="H71" s="18">
        <v>0</v>
      </c>
      <c r="I71" s="18"/>
      <c r="J71" s="18">
        <f t="shared" si="17"/>
        <v>0</v>
      </c>
      <c r="K71" s="18">
        <v>0</v>
      </c>
      <c r="L71" s="18"/>
      <c r="M71" s="18">
        <f t="shared" si="18"/>
        <v>0</v>
      </c>
      <c r="N71" s="18">
        <v>13.56</v>
      </c>
      <c r="O71" s="18"/>
      <c r="P71" s="18">
        <f t="shared" si="19"/>
        <v>13.56</v>
      </c>
      <c r="Q71" s="18">
        <v>7</v>
      </c>
      <c r="R71" s="18"/>
      <c r="S71" s="18">
        <f t="shared" si="20"/>
        <v>7</v>
      </c>
      <c r="T71" s="18">
        <v>1</v>
      </c>
      <c r="U71" s="18"/>
      <c r="V71" s="18">
        <f t="shared" si="21"/>
        <v>1</v>
      </c>
      <c r="W71" s="18">
        <v>451.4</v>
      </c>
      <c r="X71" s="18"/>
      <c r="Y71" s="18">
        <f t="shared" si="22"/>
        <v>451.4</v>
      </c>
      <c r="Z71" s="18">
        <v>31.59</v>
      </c>
      <c r="AA71" s="18"/>
      <c r="AB71" s="18">
        <f t="shared" si="23"/>
        <v>31.59</v>
      </c>
      <c r="AC71" s="18">
        <v>96.42</v>
      </c>
      <c r="AD71" s="18"/>
      <c r="AE71" s="18">
        <f t="shared" si="24"/>
        <v>96.42</v>
      </c>
      <c r="AF71" s="18">
        <v>64829</v>
      </c>
      <c r="AG71" s="18"/>
      <c r="AH71" s="18">
        <f t="shared" si="25"/>
        <v>64829</v>
      </c>
      <c r="AI71" s="18">
        <v>75751.72</v>
      </c>
      <c r="AJ71" s="18"/>
      <c r="AK71" s="18">
        <f t="shared" si="26"/>
        <v>75751.72</v>
      </c>
      <c r="AL71" s="18">
        <v>8.43</v>
      </c>
      <c r="AM71" s="18"/>
      <c r="AN71" s="18">
        <f t="shared" si="27"/>
        <v>8.43</v>
      </c>
      <c r="AO71" s="18">
        <v>0.432</v>
      </c>
      <c r="AP71" s="18"/>
      <c r="AQ71" s="18">
        <f t="shared" si="28"/>
        <v>0.432</v>
      </c>
      <c r="AR71" s="18">
        <v>5.1999999999999998E-2</v>
      </c>
      <c r="AS71" s="18"/>
      <c r="AT71" s="18">
        <f t="shared" si="29"/>
        <v>5.1999999999999998E-2</v>
      </c>
      <c r="AU71" s="18">
        <v>220.2</v>
      </c>
      <c r="AV71" s="18"/>
      <c r="AW71" s="18">
        <f t="shared" si="30"/>
        <v>220.2</v>
      </c>
      <c r="AX71" s="18">
        <v>0</v>
      </c>
      <c r="AY71" s="18"/>
      <c r="AZ71" s="18">
        <f t="shared" si="31"/>
        <v>0</v>
      </c>
      <c r="BA71" s="18">
        <v>0</v>
      </c>
      <c r="BB71" s="18"/>
      <c r="BC71" s="18">
        <f t="shared" si="32"/>
        <v>0</v>
      </c>
      <c r="BD71" s="18">
        <v>0</v>
      </c>
      <c r="BE71" s="18"/>
      <c r="BF71" s="18">
        <f t="shared" si="33"/>
        <v>0</v>
      </c>
    </row>
    <row r="72" spans="1:58" ht="25.5" x14ac:dyDescent="0.25">
      <c r="A72" s="124" t="s">
        <v>1187</v>
      </c>
      <c r="B72" s="124" t="s">
        <v>1468</v>
      </c>
      <c r="C72" s="18" t="s">
        <v>1093</v>
      </c>
      <c r="D72" s="18" t="s">
        <v>1605</v>
      </c>
      <c r="E72" s="18" t="s">
        <v>1477</v>
      </c>
      <c r="F72" s="18" t="s">
        <v>1111</v>
      </c>
      <c r="G72" s="119">
        <v>43434</v>
      </c>
      <c r="H72" s="18">
        <v>0</v>
      </c>
      <c r="I72" s="18"/>
      <c r="J72" s="18">
        <f t="shared" si="17"/>
        <v>0</v>
      </c>
      <c r="K72" s="18">
        <v>1.45</v>
      </c>
      <c r="L72" s="18"/>
      <c r="M72" s="18">
        <f t="shared" si="18"/>
        <v>1.45</v>
      </c>
      <c r="N72" s="18">
        <v>17.271999999999998</v>
      </c>
      <c r="O72" s="18"/>
      <c r="P72" s="18">
        <f t="shared" si="19"/>
        <v>17.271999999999998</v>
      </c>
      <c r="Q72" s="18">
        <v>4</v>
      </c>
      <c r="R72" s="18"/>
      <c r="S72" s="18">
        <f t="shared" si="20"/>
        <v>4</v>
      </c>
      <c r="T72" s="18">
        <v>1</v>
      </c>
      <c r="U72" s="18"/>
      <c r="V72" s="18">
        <f t="shared" si="21"/>
        <v>1</v>
      </c>
      <c r="W72" s="18">
        <v>493.2</v>
      </c>
      <c r="X72" s="18"/>
      <c r="Y72" s="18">
        <f t="shared" si="22"/>
        <v>493.2</v>
      </c>
      <c r="Z72" s="18">
        <v>35.770000000000003</v>
      </c>
      <c r="AA72" s="18"/>
      <c r="AB72" s="18">
        <f t="shared" si="23"/>
        <v>35.770000000000003</v>
      </c>
      <c r="AC72" s="18">
        <v>108.45</v>
      </c>
      <c r="AD72" s="18"/>
      <c r="AE72" s="18">
        <f t="shared" si="24"/>
        <v>108.45</v>
      </c>
      <c r="AF72" s="18">
        <v>72689</v>
      </c>
      <c r="AG72" s="18"/>
      <c r="AH72" s="18">
        <f t="shared" si="25"/>
        <v>72689</v>
      </c>
      <c r="AI72" s="18">
        <v>74095</v>
      </c>
      <c r="AJ72" s="18"/>
      <c r="AK72" s="18">
        <f t="shared" si="26"/>
        <v>74095</v>
      </c>
      <c r="AL72" s="18">
        <v>10.3</v>
      </c>
      <c r="AM72" s="18"/>
      <c r="AN72" s="18">
        <f t="shared" si="27"/>
        <v>10.3</v>
      </c>
      <c r="AO72" s="18">
        <v>0.56000000000000005</v>
      </c>
      <c r="AP72" s="18"/>
      <c r="AQ72" s="18">
        <f t="shared" si="28"/>
        <v>0.56000000000000005</v>
      </c>
      <c r="AR72" s="18">
        <v>0.06</v>
      </c>
      <c r="AS72" s="18"/>
      <c r="AT72" s="18">
        <f t="shared" si="29"/>
        <v>0.06</v>
      </c>
      <c r="AU72" s="18">
        <v>202.81</v>
      </c>
      <c r="AV72" s="18"/>
      <c r="AW72" s="18">
        <f t="shared" si="30"/>
        <v>202.81</v>
      </c>
      <c r="AX72" s="18">
        <v>0</v>
      </c>
      <c r="AY72" s="18"/>
      <c r="AZ72" s="18">
        <f t="shared" si="31"/>
        <v>0</v>
      </c>
      <c r="BA72" s="18">
        <v>1.6000000000000001E-3</v>
      </c>
      <c r="BB72" s="18"/>
      <c r="BC72" s="18">
        <f t="shared" si="32"/>
        <v>1.6000000000000001E-3</v>
      </c>
      <c r="BD72" s="18">
        <v>1.6000000000000001E-3</v>
      </c>
      <c r="BE72" s="18"/>
      <c r="BF72" s="18">
        <f t="shared" si="33"/>
        <v>1.6000000000000001E-3</v>
      </c>
    </row>
    <row r="73" spans="1:58" ht="25.5" x14ac:dyDescent="0.25">
      <c r="A73" s="124" t="s">
        <v>1188</v>
      </c>
      <c r="B73" s="124" t="s">
        <v>1468</v>
      </c>
      <c r="C73" s="18" t="s">
        <v>1093</v>
      </c>
      <c r="D73" s="18" t="s">
        <v>1606</v>
      </c>
      <c r="E73" s="18" t="s">
        <v>1503</v>
      </c>
      <c r="F73" s="18" t="s">
        <v>1111</v>
      </c>
      <c r="G73" s="119">
        <v>43434</v>
      </c>
      <c r="H73" s="18">
        <v>0</v>
      </c>
      <c r="I73" s="18"/>
      <c r="J73" s="18">
        <f t="shared" si="17"/>
        <v>0</v>
      </c>
      <c r="K73" s="18">
        <v>0</v>
      </c>
      <c r="L73" s="18"/>
      <c r="M73" s="18">
        <f t="shared" si="18"/>
        <v>0</v>
      </c>
      <c r="N73" s="18">
        <v>12.01</v>
      </c>
      <c r="O73" s="18"/>
      <c r="P73" s="18">
        <f t="shared" si="19"/>
        <v>12.01</v>
      </c>
      <c r="Q73" s="18">
        <v>7</v>
      </c>
      <c r="R73" s="18"/>
      <c r="S73" s="18">
        <f t="shared" si="20"/>
        <v>7</v>
      </c>
      <c r="T73" s="18">
        <v>1</v>
      </c>
      <c r="U73" s="18"/>
      <c r="V73" s="18">
        <f t="shared" si="21"/>
        <v>1</v>
      </c>
      <c r="W73" s="18">
        <v>500.22</v>
      </c>
      <c r="X73" s="18"/>
      <c r="Y73" s="18">
        <f t="shared" si="22"/>
        <v>500.22</v>
      </c>
      <c r="Z73" s="18">
        <v>35.520000000000003</v>
      </c>
      <c r="AA73" s="18"/>
      <c r="AB73" s="18">
        <f t="shared" si="23"/>
        <v>35.520000000000003</v>
      </c>
      <c r="AC73" s="18">
        <v>135.08000000000001</v>
      </c>
      <c r="AD73" s="18"/>
      <c r="AE73" s="18">
        <f t="shared" si="24"/>
        <v>135.08000000000001</v>
      </c>
      <c r="AF73" s="18">
        <v>109548.18</v>
      </c>
      <c r="AG73" s="18"/>
      <c r="AH73" s="18">
        <f t="shared" si="25"/>
        <v>109548.18</v>
      </c>
      <c r="AI73" s="18">
        <v>66029.039999999994</v>
      </c>
      <c r="AJ73" s="18"/>
      <c r="AK73" s="18">
        <f t="shared" si="26"/>
        <v>66029.039999999994</v>
      </c>
      <c r="AL73" s="18">
        <v>8.6999999999999993</v>
      </c>
      <c r="AM73" s="18"/>
      <c r="AN73" s="18">
        <f t="shared" si="27"/>
        <v>8.6999999999999993</v>
      </c>
      <c r="AO73" s="18">
        <v>0.44</v>
      </c>
      <c r="AP73" s="18"/>
      <c r="AQ73" s="18">
        <f t="shared" si="28"/>
        <v>0.44</v>
      </c>
      <c r="AR73" s="18">
        <v>0.05</v>
      </c>
      <c r="AS73" s="18"/>
      <c r="AT73" s="18">
        <f t="shared" si="29"/>
        <v>0.05</v>
      </c>
      <c r="AU73" s="18">
        <v>109548.18</v>
      </c>
      <c r="AV73" s="18"/>
      <c r="AW73" s="18">
        <f t="shared" si="30"/>
        <v>109548.18</v>
      </c>
      <c r="AX73" s="18">
        <v>0</v>
      </c>
      <c r="AY73" s="18"/>
      <c r="AZ73" s="18">
        <f t="shared" si="31"/>
        <v>0</v>
      </c>
      <c r="BA73" s="18">
        <v>0</v>
      </c>
      <c r="BB73" s="18"/>
      <c r="BC73" s="18">
        <f t="shared" si="32"/>
        <v>0</v>
      </c>
      <c r="BD73" s="18">
        <v>0</v>
      </c>
      <c r="BE73" s="18"/>
      <c r="BF73" s="18">
        <f t="shared" si="33"/>
        <v>0</v>
      </c>
    </row>
    <row r="74" spans="1:58" ht="25.5" x14ac:dyDescent="0.25">
      <c r="A74" s="124" t="s">
        <v>1189</v>
      </c>
      <c r="B74" s="124" t="s">
        <v>1468</v>
      </c>
      <c r="C74" s="18" t="s">
        <v>1093</v>
      </c>
      <c r="D74" s="18" t="s">
        <v>1607</v>
      </c>
      <c r="E74" s="18" t="s">
        <v>1500</v>
      </c>
      <c r="F74" s="18" t="s">
        <v>1111</v>
      </c>
      <c r="G74" s="119">
        <v>43434</v>
      </c>
      <c r="H74" s="18">
        <v>0</v>
      </c>
      <c r="I74" s="18"/>
      <c r="J74" s="18">
        <f t="shared" si="17"/>
        <v>0</v>
      </c>
      <c r="K74" s="18">
        <v>0</v>
      </c>
      <c r="L74" s="18"/>
      <c r="M74" s="18">
        <f t="shared" si="18"/>
        <v>0</v>
      </c>
      <c r="N74" s="18">
        <v>27.748000000000001</v>
      </c>
      <c r="O74" s="18"/>
      <c r="P74" s="18">
        <f t="shared" si="19"/>
        <v>27.748000000000001</v>
      </c>
      <c r="Q74" s="18">
        <v>6</v>
      </c>
      <c r="R74" s="18"/>
      <c r="S74" s="18">
        <f t="shared" si="20"/>
        <v>6</v>
      </c>
      <c r="T74" s="18">
        <v>1</v>
      </c>
      <c r="U74" s="18"/>
      <c r="V74" s="18">
        <f t="shared" si="21"/>
        <v>1</v>
      </c>
      <c r="W74" s="18">
        <v>693.81</v>
      </c>
      <c r="X74" s="18"/>
      <c r="Y74" s="18">
        <f t="shared" si="22"/>
        <v>693.81</v>
      </c>
      <c r="Z74" s="18">
        <v>51.63</v>
      </c>
      <c r="AA74" s="18"/>
      <c r="AB74" s="18">
        <f t="shared" si="23"/>
        <v>51.63</v>
      </c>
      <c r="AC74" s="18">
        <v>155.87</v>
      </c>
      <c r="AD74" s="18"/>
      <c r="AE74" s="18">
        <f t="shared" si="24"/>
        <v>155.87</v>
      </c>
      <c r="AF74" s="18">
        <v>104233</v>
      </c>
      <c r="AG74" s="18"/>
      <c r="AH74" s="18">
        <f t="shared" si="25"/>
        <v>104233</v>
      </c>
      <c r="AI74" s="18">
        <v>95622.66</v>
      </c>
      <c r="AJ74" s="18"/>
      <c r="AK74" s="18">
        <f t="shared" si="26"/>
        <v>95622.66</v>
      </c>
      <c r="AL74" s="18">
        <v>7.4535999999999998</v>
      </c>
      <c r="AM74" s="18"/>
      <c r="AN74" s="18">
        <f t="shared" si="27"/>
        <v>7.4535999999999998</v>
      </c>
      <c r="AO74" s="18">
        <v>0.38179999999999997</v>
      </c>
      <c r="AP74" s="18"/>
      <c r="AQ74" s="18">
        <f t="shared" si="28"/>
        <v>0.38179999999999997</v>
      </c>
      <c r="AR74" s="18">
        <v>4.58E-2</v>
      </c>
      <c r="AS74" s="18"/>
      <c r="AT74" s="18">
        <f t="shared" si="29"/>
        <v>4.58E-2</v>
      </c>
      <c r="AU74" s="18">
        <v>165.19</v>
      </c>
      <c r="AV74" s="18"/>
      <c r="AW74" s="18">
        <f t="shared" si="30"/>
        <v>165.19</v>
      </c>
      <c r="AX74" s="18">
        <v>0</v>
      </c>
      <c r="AY74" s="18"/>
      <c r="AZ74" s="18">
        <f t="shared" si="31"/>
        <v>0</v>
      </c>
      <c r="BA74" s="18">
        <v>0</v>
      </c>
      <c r="BB74" s="18"/>
      <c r="BC74" s="18">
        <f t="shared" si="32"/>
        <v>0</v>
      </c>
      <c r="BD74" s="18">
        <v>0</v>
      </c>
      <c r="BE74" s="18"/>
      <c r="BF74" s="18">
        <f t="shared" si="33"/>
        <v>0</v>
      </c>
    </row>
    <row r="75" spans="1:58" ht="25.5" x14ac:dyDescent="0.25">
      <c r="A75" s="124" t="s">
        <v>1190</v>
      </c>
      <c r="B75" s="124" t="s">
        <v>1468</v>
      </c>
      <c r="C75" s="18" t="s">
        <v>1093</v>
      </c>
      <c r="D75" s="18" t="s">
        <v>1608</v>
      </c>
      <c r="E75" s="18" t="s">
        <v>1477</v>
      </c>
      <c r="F75" s="18" t="s">
        <v>1111</v>
      </c>
      <c r="G75" s="119">
        <v>43434</v>
      </c>
      <c r="H75" s="18">
        <v>0</v>
      </c>
      <c r="I75" s="18"/>
      <c r="J75" s="18">
        <f t="shared" si="17"/>
        <v>0</v>
      </c>
      <c r="K75" s="18">
        <v>0</v>
      </c>
      <c r="L75" s="18"/>
      <c r="M75" s="18">
        <f t="shared" si="18"/>
        <v>0</v>
      </c>
      <c r="N75" s="18">
        <v>13.6</v>
      </c>
      <c r="O75" s="18"/>
      <c r="P75" s="18">
        <f t="shared" si="19"/>
        <v>13.6</v>
      </c>
      <c r="Q75" s="18">
        <v>4</v>
      </c>
      <c r="R75" s="18"/>
      <c r="S75" s="18">
        <f t="shared" si="20"/>
        <v>4</v>
      </c>
      <c r="T75" s="18">
        <v>1</v>
      </c>
      <c r="U75" s="18"/>
      <c r="V75" s="18">
        <f t="shared" si="21"/>
        <v>1</v>
      </c>
      <c r="W75" s="18">
        <v>212.42</v>
      </c>
      <c r="X75" s="18"/>
      <c r="Y75" s="18">
        <f t="shared" si="22"/>
        <v>212.42</v>
      </c>
      <c r="Z75" s="18">
        <v>12.15</v>
      </c>
      <c r="AA75" s="18"/>
      <c r="AB75" s="18">
        <f t="shared" si="23"/>
        <v>12.15</v>
      </c>
      <c r="AC75" s="18">
        <v>39.35</v>
      </c>
      <c r="AD75" s="18"/>
      <c r="AE75" s="18">
        <f t="shared" si="24"/>
        <v>39.35</v>
      </c>
      <c r="AF75" s="18">
        <v>27200</v>
      </c>
      <c r="AG75" s="18"/>
      <c r="AH75" s="18">
        <f t="shared" si="25"/>
        <v>27200</v>
      </c>
      <c r="AI75" s="18">
        <v>45900</v>
      </c>
      <c r="AJ75" s="18"/>
      <c r="AK75" s="18">
        <f t="shared" si="26"/>
        <v>45900</v>
      </c>
      <c r="AL75" s="18">
        <v>0</v>
      </c>
      <c r="AM75" s="18"/>
      <c r="AN75" s="18">
        <f t="shared" si="27"/>
        <v>0</v>
      </c>
      <c r="AO75" s="18">
        <v>0</v>
      </c>
      <c r="AP75" s="18"/>
      <c r="AQ75" s="18">
        <f t="shared" si="28"/>
        <v>0</v>
      </c>
      <c r="AR75" s="18">
        <v>0</v>
      </c>
      <c r="AS75" s="18"/>
      <c r="AT75" s="18">
        <f t="shared" si="29"/>
        <v>0</v>
      </c>
      <c r="AU75" s="18">
        <v>564.11</v>
      </c>
      <c r="AV75" s="18"/>
      <c r="AW75" s="18">
        <f t="shared" si="30"/>
        <v>564.11</v>
      </c>
      <c r="AX75" s="18">
        <v>0</v>
      </c>
      <c r="AY75" s="18"/>
      <c r="AZ75" s="18">
        <f t="shared" si="31"/>
        <v>0</v>
      </c>
      <c r="BA75" s="18">
        <v>0</v>
      </c>
      <c r="BB75" s="18"/>
      <c r="BC75" s="18">
        <f t="shared" si="32"/>
        <v>0</v>
      </c>
      <c r="BD75" s="18">
        <v>0</v>
      </c>
      <c r="BE75" s="18"/>
      <c r="BF75" s="18">
        <f t="shared" si="33"/>
        <v>0</v>
      </c>
    </row>
    <row r="76" spans="1:58" ht="25.5" x14ac:dyDescent="0.25">
      <c r="A76" s="124" t="s">
        <v>1191</v>
      </c>
      <c r="B76" s="124" t="s">
        <v>1468</v>
      </c>
      <c r="C76" s="18" t="s">
        <v>1093</v>
      </c>
      <c r="D76" s="18" t="s">
        <v>1609</v>
      </c>
      <c r="E76" s="18" t="s">
        <v>1503</v>
      </c>
      <c r="F76" s="18" t="s">
        <v>1111</v>
      </c>
      <c r="G76" s="119">
        <v>43434</v>
      </c>
      <c r="H76" s="18">
        <v>0</v>
      </c>
      <c r="I76" s="18"/>
      <c r="J76" s="18">
        <f t="shared" si="17"/>
        <v>0</v>
      </c>
      <c r="K76" s="18">
        <v>0</v>
      </c>
      <c r="L76" s="18"/>
      <c r="M76" s="18">
        <f t="shared" si="18"/>
        <v>0</v>
      </c>
      <c r="N76" s="18">
        <v>36.1965</v>
      </c>
      <c r="O76" s="18"/>
      <c r="P76" s="18">
        <f t="shared" si="19"/>
        <v>36.1965</v>
      </c>
      <c r="Q76" s="18">
        <v>7</v>
      </c>
      <c r="R76" s="18"/>
      <c r="S76" s="18">
        <f t="shared" si="20"/>
        <v>7</v>
      </c>
      <c r="T76" s="18">
        <v>1</v>
      </c>
      <c r="U76" s="18"/>
      <c r="V76" s="18">
        <f t="shared" si="21"/>
        <v>1</v>
      </c>
      <c r="W76" s="18">
        <v>414</v>
      </c>
      <c r="X76" s="18"/>
      <c r="Y76" s="18">
        <f t="shared" si="22"/>
        <v>414</v>
      </c>
      <c r="Z76" s="18">
        <v>21.58</v>
      </c>
      <c r="AA76" s="18"/>
      <c r="AB76" s="18">
        <f t="shared" si="23"/>
        <v>21.58</v>
      </c>
      <c r="AC76" s="18">
        <v>91.65</v>
      </c>
      <c r="AD76" s="18"/>
      <c r="AE76" s="18">
        <f t="shared" si="24"/>
        <v>91.65</v>
      </c>
      <c r="AF76" s="18">
        <v>70066</v>
      </c>
      <c r="AG76" s="18"/>
      <c r="AH76" s="18">
        <f t="shared" si="25"/>
        <v>70066</v>
      </c>
      <c r="AI76" s="18">
        <v>56980.43</v>
      </c>
      <c r="AJ76" s="18"/>
      <c r="AK76" s="18">
        <f t="shared" si="26"/>
        <v>56980.43</v>
      </c>
      <c r="AL76" s="18">
        <v>6.6710000000000003</v>
      </c>
      <c r="AM76" s="18"/>
      <c r="AN76" s="18">
        <f t="shared" si="27"/>
        <v>6.6710000000000003</v>
      </c>
      <c r="AO76" s="18">
        <v>0.34200000000000003</v>
      </c>
      <c r="AP76" s="18"/>
      <c r="AQ76" s="18">
        <f t="shared" si="28"/>
        <v>0.34200000000000003</v>
      </c>
      <c r="AR76" s="18">
        <v>4.1000000000000002E-2</v>
      </c>
      <c r="AS76" s="18"/>
      <c r="AT76" s="18">
        <f t="shared" si="29"/>
        <v>4.1000000000000002E-2</v>
      </c>
      <c r="AU76" s="18">
        <v>76262.94</v>
      </c>
      <c r="AV76" s="18"/>
      <c r="AW76" s="18">
        <f t="shared" si="30"/>
        <v>76262.94</v>
      </c>
      <c r="AX76" s="18">
        <v>0</v>
      </c>
      <c r="AY76" s="18"/>
      <c r="AZ76" s="18">
        <f t="shared" si="31"/>
        <v>0</v>
      </c>
      <c r="BA76" s="18">
        <v>0</v>
      </c>
      <c r="BB76" s="18"/>
      <c r="BC76" s="18">
        <f t="shared" si="32"/>
        <v>0</v>
      </c>
      <c r="BD76" s="18">
        <v>0</v>
      </c>
      <c r="BE76" s="18"/>
      <c r="BF76" s="18">
        <f t="shared" si="33"/>
        <v>0</v>
      </c>
    </row>
    <row r="77" spans="1:58" ht="25.5" x14ac:dyDescent="0.25">
      <c r="A77" s="124" t="s">
        <v>1192</v>
      </c>
      <c r="B77" s="124" t="s">
        <v>1468</v>
      </c>
      <c r="C77" s="18" t="s">
        <v>1093</v>
      </c>
      <c r="D77" s="18" t="s">
        <v>1610</v>
      </c>
      <c r="E77" s="18" t="s">
        <v>1500</v>
      </c>
      <c r="F77" s="18" t="s">
        <v>1111</v>
      </c>
      <c r="G77" s="119">
        <v>43434</v>
      </c>
      <c r="H77" s="18">
        <v>0</v>
      </c>
      <c r="I77" s="18"/>
      <c r="J77" s="18">
        <f t="shared" si="17"/>
        <v>0</v>
      </c>
      <c r="K77" s="18">
        <v>0</v>
      </c>
      <c r="L77" s="18"/>
      <c r="M77" s="18">
        <f t="shared" si="18"/>
        <v>0</v>
      </c>
      <c r="N77" s="18">
        <v>9.3010000000000002</v>
      </c>
      <c r="O77" s="18"/>
      <c r="P77" s="18">
        <f t="shared" si="19"/>
        <v>9.3010000000000002</v>
      </c>
      <c r="Q77" s="18">
        <v>6</v>
      </c>
      <c r="R77" s="18"/>
      <c r="S77" s="18">
        <f t="shared" si="20"/>
        <v>6</v>
      </c>
      <c r="T77" s="18">
        <v>1</v>
      </c>
      <c r="U77" s="18"/>
      <c r="V77" s="18">
        <f t="shared" si="21"/>
        <v>1</v>
      </c>
      <c r="W77" s="18">
        <v>748.02</v>
      </c>
      <c r="X77" s="18"/>
      <c r="Y77" s="18">
        <f t="shared" si="22"/>
        <v>748.02</v>
      </c>
      <c r="Z77" s="18">
        <v>52.55</v>
      </c>
      <c r="AA77" s="18"/>
      <c r="AB77" s="18">
        <f t="shared" si="23"/>
        <v>52.55</v>
      </c>
      <c r="AC77" s="18">
        <v>181.37</v>
      </c>
      <c r="AD77" s="18"/>
      <c r="AE77" s="18">
        <f t="shared" si="24"/>
        <v>181.37</v>
      </c>
      <c r="AF77" s="18">
        <v>128815</v>
      </c>
      <c r="AG77" s="18"/>
      <c r="AH77" s="18">
        <f t="shared" si="25"/>
        <v>128815</v>
      </c>
      <c r="AI77" s="18">
        <v>167624.64000000001</v>
      </c>
      <c r="AJ77" s="18"/>
      <c r="AK77" s="18">
        <f t="shared" si="26"/>
        <v>167624.64000000001</v>
      </c>
      <c r="AL77" s="18">
        <v>7.5990000000000002</v>
      </c>
      <c r="AM77" s="18"/>
      <c r="AN77" s="18">
        <f t="shared" si="27"/>
        <v>7.5990000000000002</v>
      </c>
      <c r="AO77" s="18">
        <v>0.3896</v>
      </c>
      <c r="AP77" s="18"/>
      <c r="AQ77" s="18">
        <f t="shared" si="28"/>
        <v>0.3896</v>
      </c>
      <c r="AR77" s="18">
        <v>4.6699999999999998E-2</v>
      </c>
      <c r="AS77" s="18"/>
      <c r="AT77" s="18">
        <f t="shared" si="29"/>
        <v>4.6699999999999998E-2</v>
      </c>
      <c r="AU77" s="18">
        <v>150.63999999999999</v>
      </c>
      <c r="AV77" s="18"/>
      <c r="AW77" s="18">
        <f t="shared" si="30"/>
        <v>150.63999999999999</v>
      </c>
      <c r="AX77" s="18">
        <v>0</v>
      </c>
      <c r="AY77" s="18"/>
      <c r="AZ77" s="18">
        <f t="shared" si="31"/>
        <v>0</v>
      </c>
      <c r="BA77" s="18">
        <v>0</v>
      </c>
      <c r="BB77" s="18"/>
      <c r="BC77" s="18">
        <f t="shared" si="32"/>
        <v>0</v>
      </c>
      <c r="BD77" s="18">
        <v>0</v>
      </c>
      <c r="BE77" s="18"/>
      <c r="BF77" s="18">
        <f t="shared" si="33"/>
        <v>0</v>
      </c>
    </row>
    <row r="78" spans="1:58" ht="25.5" x14ac:dyDescent="0.25">
      <c r="A78" s="124" t="s">
        <v>1193</v>
      </c>
      <c r="B78" s="124" t="s">
        <v>1468</v>
      </c>
      <c r="C78" s="18" t="s">
        <v>1093</v>
      </c>
      <c r="D78" s="18" t="s">
        <v>1611</v>
      </c>
      <c r="E78" s="18" t="s">
        <v>1503</v>
      </c>
      <c r="F78" s="18" t="s">
        <v>1111</v>
      </c>
      <c r="G78" s="119">
        <v>43434</v>
      </c>
      <c r="H78" s="18">
        <v>0</v>
      </c>
      <c r="I78" s="18"/>
      <c r="J78" s="18">
        <f t="shared" si="17"/>
        <v>0</v>
      </c>
      <c r="K78" s="18">
        <v>0</v>
      </c>
      <c r="L78" s="18"/>
      <c r="M78" s="18">
        <f t="shared" si="18"/>
        <v>0</v>
      </c>
      <c r="N78" s="18">
        <v>32.469900000000003</v>
      </c>
      <c r="O78" s="18"/>
      <c r="P78" s="18">
        <f t="shared" si="19"/>
        <v>32.469900000000003</v>
      </c>
      <c r="Q78" s="18">
        <v>6</v>
      </c>
      <c r="R78" s="18"/>
      <c r="S78" s="18">
        <f t="shared" si="20"/>
        <v>6</v>
      </c>
      <c r="T78" s="18">
        <v>1</v>
      </c>
      <c r="U78" s="18"/>
      <c r="V78" s="18">
        <f t="shared" si="21"/>
        <v>1</v>
      </c>
      <c r="W78" s="18">
        <v>751</v>
      </c>
      <c r="X78" s="18"/>
      <c r="Y78" s="18">
        <f t="shared" si="22"/>
        <v>751</v>
      </c>
      <c r="Z78" s="18">
        <v>45.99</v>
      </c>
      <c r="AA78" s="18"/>
      <c r="AB78" s="18">
        <f t="shared" si="23"/>
        <v>45.99</v>
      </c>
      <c r="AC78" s="18">
        <v>168.69</v>
      </c>
      <c r="AD78" s="18"/>
      <c r="AE78" s="18">
        <f t="shared" si="24"/>
        <v>168.69</v>
      </c>
      <c r="AF78" s="18">
        <v>122700</v>
      </c>
      <c r="AG78" s="18"/>
      <c r="AH78" s="18">
        <f t="shared" si="25"/>
        <v>122700</v>
      </c>
      <c r="AI78" s="18">
        <v>64320</v>
      </c>
      <c r="AJ78" s="18"/>
      <c r="AK78" s="18">
        <f t="shared" si="26"/>
        <v>64320</v>
      </c>
      <c r="AL78" s="18">
        <v>2.5966</v>
      </c>
      <c r="AM78" s="18"/>
      <c r="AN78" s="18">
        <f t="shared" si="27"/>
        <v>2.5966</v>
      </c>
      <c r="AO78" s="18">
        <v>0.1328</v>
      </c>
      <c r="AP78" s="18"/>
      <c r="AQ78" s="18">
        <f t="shared" si="28"/>
        <v>0.1328</v>
      </c>
      <c r="AR78" s="18">
        <v>1.5800000000000002E-2</v>
      </c>
      <c r="AS78" s="18"/>
      <c r="AT78" s="18">
        <f t="shared" si="29"/>
        <v>1.5800000000000002E-2</v>
      </c>
      <c r="AU78" s="18">
        <v>89834.62</v>
      </c>
      <c r="AV78" s="18"/>
      <c r="AW78" s="18">
        <f t="shared" si="30"/>
        <v>89834.62</v>
      </c>
      <c r="AX78" s="18">
        <v>0</v>
      </c>
      <c r="AY78" s="18"/>
      <c r="AZ78" s="18">
        <f t="shared" si="31"/>
        <v>0</v>
      </c>
      <c r="BA78" s="18">
        <v>0</v>
      </c>
      <c r="BB78" s="18"/>
      <c r="BC78" s="18">
        <f t="shared" si="32"/>
        <v>0</v>
      </c>
      <c r="BD78" s="18">
        <v>0</v>
      </c>
      <c r="BE78" s="18"/>
      <c r="BF78" s="18">
        <f t="shared" si="33"/>
        <v>0</v>
      </c>
    </row>
    <row r="79" spans="1:58" ht="25.5" x14ac:dyDescent="0.25">
      <c r="A79" s="124" t="s">
        <v>1194</v>
      </c>
      <c r="B79" s="124" t="s">
        <v>1468</v>
      </c>
      <c r="C79" s="18" t="s">
        <v>1093</v>
      </c>
      <c r="D79" s="18" t="s">
        <v>1612</v>
      </c>
      <c r="E79" s="18" t="s">
        <v>1503</v>
      </c>
      <c r="F79" s="18" t="s">
        <v>1111</v>
      </c>
      <c r="G79" s="119">
        <v>43434</v>
      </c>
      <c r="H79" s="18">
        <v>0</v>
      </c>
      <c r="I79" s="18"/>
      <c r="J79" s="18">
        <f t="shared" si="17"/>
        <v>0</v>
      </c>
      <c r="K79" s="18">
        <v>0</v>
      </c>
      <c r="L79" s="18"/>
      <c r="M79" s="18">
        <f t="shared" si="18"/>
        <v>0</v>
      </c>
      <c r="N79" s="18">
        <v>12.619400000000001</v>
      </c>
      <c r="O79" s="18"/>
      <c r="P79" s="18">
        <f t="shared" si="19"/>
        <v>12.619400000000001</v>
      </c>
      <c r="Q79" s="18">
        <v>5</v>
      </c>
      <c r="R79" s="18"/>
      <c r="S79" s="18">
        <f t="shared" si="20"/>
        <v>5</v>
      </c>
      <c r="T79" s="18">
        <v>1</v>
      </c>
      <c r="U79" s="18"/>
      <c r="V79" s="18">
        <f t="shared" si="21"/>
        <v>1</v>
      </c>
      <c r="W79" s="18">
        <v>924.87</v>
      </c>
      <c r="X79" s="18"/>
      <c r="Y79" s="18">
        <f t="shared" si="22"/>
        <v>924.87</v>
      </c>
      <c r="Z79" s="18">
        <v>56.7</v>
      </c>
      <c r="AA79" s="18"/>
      <c r="AB79" s="18">
        <f t="shared" si="23"/>
        <v>56.7</v>
      </c>
      <c r="AC79" s="18">
        <v>115.71</v>
      </c>
      <c r="AD79" s="18"/>
      <c r="AE79" s="18">
        <f t="shared" si="24"/>
        <v>115.71</v>
      </c>
      <c r="AF79" s="18">
        <v>59008</v>
      </c>
      <c r="AG79" s="18"/>
      <c r="AH79" s="18">
        <f t="shared" si="25"/>
        <v>59008</v>
      </c>
      <c r="AI79" s="18">
        <v>72074.25</v>
      </c>
      <c r="AJ79" s="18"/>
      <c r="AK79" s="18">
        <f t="shared" si="26"/>
        <v>72074.25</v>
      </c>
      <c r="AL79" s="18">
        <v>10.6221</v>
      </c>
      <c r="AM79" s="18"/>
      <c r="AN79" s="18">
        <f t="shared" si="27"/>
        <v>10.6221</v>
      </c>
      <c r="AO79" s="18">
        <v>0.54469999999999996</v>
      </c>
      <c r="AP79" s="18"/>
      <c r="AQ79" s="18">
        <f t="shared" si="28"/>
        <v>0.54469999999999996</v>
      </c>
      <c r="AR79" s="18">
        <v>6.54E-2</v>
      </c>
      <c r="AS79" s="18"/>
      <c r="AT79" s="18">
        <f t="shared" si="29"/>
        <v>6.54E-2</v>
      </c>
      <c r="AU79" s="18">
        <v>113759.01</v>
      </c>
      <c r="AV79" s="18"/>
      <c r="AW79" s="18">
        <f t="shared" si="30"/>
        <v>113759.01</v>
      </c>
      <c r="AX79" s="18">
        <v>0</v>
      </c>
      <c r="AY79" s="18"/>
      <c r="AZ79" s="18">
        <f t="shared" si="31"/>
        <v>0</v>
      </c>
      <c r="BA79" s="18">
        <v>0</v>
      </c>
      <c r="BB79" s="18"/>
      <c r="BC79" s="18">
        <f t="shared" si="32"/>
        <v>0</v>
      </c>
      <c r="BD79" s="18">
        <v>0</v>
      </c>
      <c r="BE79" s="18"/>
      <c r="BF79" s="18">
        <f t="shared" si="33"/>
        <v>0</v>
      </c>
    </row>
    <row r="80" spans="1:58" ht="25.5" x14ac:dyDescent="0.25">
      <c r="A80" s="124" t="s">
        <v>1195</v>
      </c>
      <c r="B80" s="124" t="s">
        <v>1468</v>
      </c>
      <c r="C80" s="18" t="s">
        <v>1093</v>
      </c>
      <c r="D80" s="18" t="s">
        <v>1613</v>
      </c>
      <c r="E80" s="18" t="s">
        <v>1477</v>
      </c>
      <c r="F80" s="18" t="s">
        <v>1111</v>
      </c>
      <c r="G80" s="119">
        <v>43434</v>
      </c>
      <c r="H80" s="18">
        <v>0</v>
      </c>
      <c r="I80" s="18"/>
      <c r="J80" s="18">
        <f t="shared" si="17"/>
        <v>0</v>
      </c>
      <c r="K80" s="18">
        <v>0</v>
      </c>
      <c r="L80" s="18"/>
      <c r="M80" s="18">
        <f t="shared" si="18"/>
        <v>0</v>
      </c>
      <c r="N80" s="18">
        <v>18.02</v>
      </c>
      <c r="O80" s="18"/>
      <c r="P80" s="18">
        <f t="shared" si="19"/>
        <v>18.02</v>
      </c>
      <c r="Q80" s="18">
        <v>5</v>
      </c>
      <c r="R80" s="18"/>
      <c r="S80" s="18">
        <f t="shared" si="20"/>
        <v>5</v>
      </c>
      <c r="T80" s="18">
        <v>1</v>
      </c>
      <c r="U80" s="18"/>
      <c r="V80" s="18">
        <f t="shared" si="21"/>
        <v>1</v>
      </c>
      <c r="W80" s="18">
        <v>936.24</v>
      </c>
      <c r="X80" s="18"/>
      <c r="Y80" s="18">
        <f t="shared" si="22"/>
        <v>936.24</v>
      </c>
      <c r="Z80" s="18">
        <v>70.08</v>
      </c>
      <c r="AA80" s="18"/>
      <c r="AB80" s="18">
        <f t="shared" si="23"/>
        <v>70.08</v>
      </c>
      <c r="AC80" s="18">
        <v>147.66999999999999</v>
      </c>
      <c r="AD80" s="18"/>
      <c r="AE80" s="18">
        <f t="shared" si="24"/>
        <v>147.66999999999999</v>
      </c>
      <c r="AF80" s="18">
        <v>64413.31</v>
      </c>
      <c r="AG80" s="18"/>
      <c r="AH80" s="18">
        <f t="shared" si="25"/>
        <v>64413.31</v>
      </c>
      <c r="AI80" s="18">
        <v>69</v>
      </c>
      <c r="AJ80" s="18"/>
      <c r="AK80" s="18">
        <f t="shared" si="26"/>
        <v>69</v>
      </c>
      <c r="AL80" s="18">
        <v>4.5</v>
      </c>
      <c r="AM80" s="18"/>
      <c r="AN80" s="18">
        <f t="shared" si="27"/>
        <v>4.5</v>
      </c>
      <c r="AO80" s="18">
        <v>0.48</v>
      </c>
      <c r="AP80" s="18"/>
      <c r="AQ80" s="18">
        <f t="shared" si="28"/>
        <v>0.48</v>
      </c>
      <c r="AR80" s="18">
        <v>0.1</v>
      </c>
      <c r="AS80" s="18"/>
      <c r="AT80" s="18">
        <f t="shared" si="29"/>
        <v>0.1</v>
      </c>
      <c r="AU80" s="18">
        <v>68.8</v>
      </c>
      <c r="AV80" s="18"/>
      <c r="AW80" s="18">
        <f t="shared" si="30"/>
        <v>68.8</v>
      </c>
      <c r="AX80" s="18">
        <v>0</v>
      </c>
      <c r="AY80" s="18"/>
      <c r="AZ80" s="18">
        <f t="shared" si="31"/>
        <v>0</v>
      </c>
      <c r="BA80" s="18">
        <v>0</v>
      </c>
      <c r="BB80" s="18"/>
      <c r="BC80" s="18">
        <f t="shared" si="32"/>
        <v>0</v>
      </c>
      <c r="BD80" s="18">
        <v>0</v>
      </c>
      <c r="BE80" s="18"/>
      <c r="BF80" s="18">
        <f t="shared" si="33"/>
        <v>0</v>
      </c>
    </row>
    <row r="81" spans="1:58" ht="25.5" x14ac:dyDescent="0.25">
      <c r="A81" s="124" t="s">
        <v>1196</v>
      </c>
      <c r="B81" s="124" t="s">
        <v>1468</v>
      </c>
      <c r="C81" s="18" t="s">
        <v>1093</v>
      </c>
      <c r="D81" s="18" t="s">
        <v>1614</v>
      </c>
      <c r="E81" s="18" t="s">
        <v>1503</v>
      </c>
      <c r="F81" s="18" t="s">
        <v>1111</v>
      </c>
      <c r="G81" s="119">
        <v>43434</v>
      </c>
      <c r="H81" s="18">
        <v>4.1449999999999996</v>
      </c>
      <c r="I81" s="18"/>
      <c r="J81" s="18">
        <f t="shared" si="17"/>
        <v>4.1449999999999996</v>
      </c>
      <c r="K81" s="18">
        <v>0</v>
      </c>
      <c r="L81" s="18"/>
      <c r="M81" s="18">
        <f t="shared" si="18"/>
        <v>0</v>
      </c>
      <c r="N81" s="18">
        <v>36.619999999999997</v>
      </c>
      <c r="O81" s="18"/>
      <c r="P81" s="18">
        <f t="shared" si="19"/>
        <v>36.619999999999997</v>
      </c>
      <c r="Q81" s="18">
        <v>7</v>
      </c>
      <c r="R81" s="18"/>
      <c r="S81" s="18">
        <f t="shared" si="20"/>
        <v>7</v>
      </c>
      <c r="T81" s="18">
        <v>1</v>
      </c>
      <c r="U81" s="18"/>
      <c r="V81" s="18">
        <f t="shared" si="21"/>
        <v>1</v>
      </c>
      <c r="W81" s="18">
        <v>1029.5999999999999</v>
      </c>
      <c r="X81" s="18"/>
      <c r="Y81" s="18">
        <f t="shared" si="22"/>
        <v>1029.5999999999999</v>
      </c>
      <c r="Z81" s="18">
        <v>51.17</v>
      </c>
      <c r="AA81" s="18"/>
      <c r="AB81" s="18">
        <f t="shared" si="23"/>
        <v>51.17</v>
      </c>
      <c r="AC81" s="18">
        <v>207.12</v>
      </c>
      <c r="AD81" s="18"/>
      <c r="AE81" s="18">
        <f t="shared" si="24"/>
        <v>207.12</v>
      </c>
      <c r="AF81" s="18">
        <v>155951</v>
      </c>
      <c r="AG81" s="18"/>
      <c r="AH81" s="18">
        <f t="shared" si="25"/>
        <v>155951</v>
      </c>
      <c r="AI81" s="18">
        <v>125764.98</v>
      </c>
      <c r="AJ81" s="18"/>
      <c r="AK81" s="18">
        <f t="shared" si="26"/>
        <v>125764.98</v>
      </c>
      <c r="AL81" s="18">
        <v>31.532</v>
      </c>
      <c r="AM81" s="18"/>
      <c r="AN81" s="18">
        <f t="shared" si="27"/>
        <v>31.532</v>
      </c>
      <c r="AO81" s="18">
        <v>3.3809999999999998</v>
      </c>
      <c r="AP81" s="18"/>
      <c r="AQ81" s="18">
        <f t="shared" si="28"/>
        <v>3.3809999999999998</v>
      </c>
      <c r="AR81" s="18">
        <v>12.387</v>
      </c>
      <c r="AS81" s="18"/>
      <c r="AT81" s="18">
        <f t="shared" si="29"/>
        <v>12.387</v>
      </c>
      <c r="AU81" s="18">
        <v>193554.5</v>
      </c>
      <c r="AV81" s="18"/>
      <c r="AW81" s="18">
        <f t="shared" si="30"/>
        <v>193554.5</v>
      </c>
      <c r="AX81" s="18">
        <v>5.0000000000000001E-3</v>
      </c>
      <c r="AY81" s="18"/>
      <c r="AZ81" s="18">
        <f t="shared" si="31"/>
        <v>5.0000000000000001E-3</v>
      </c>
      <c r="BA81" s="18">
        <v>5.0000000000000001E-3</v>
      </c>
      <c r="BB81" s="18"/>
      <c r="BC81" s="18">
        <f t="shared" si="32"/>
        <v>5.0000000000000001E-3</v>
      </c>
      <c r="BD81" s="18">
        <v>0</v>
      </c>
      <c r="BE81" s="18"/>
      <c r="BF81" s="18">
        <f t="shared" si="33"/>
        <v>0</v>
      </c>
    </row>
    <row r="82" spans="1:58" ht="38.25" x14ac:dyDescent="0.25">
      <c r="A82" s="124" t="s">
        <v>1197</v>
      </c>
      <c r="B82" s="124" t="s">
        <v>1468</v>
      </c>
      <c r="C82" s="18" t="s">
        <v>1093</v>
      </c>
      <c r="D82" s="18" t="s">
        <v>1615</v>
      </c>
      <c r="E82" s="18" t="s">
        <v>1503</v>
      </c>
      <c r="F82" s="18" t="s">
        <v>1111</v>
      </c>
      <c r="G82" s="119">
        <v>43434</v>
      </c>
      <c r="H82" s="18">
        <v>0</v>
      </c>
      <c r="I82" s="18"/>
      <c r="J82" s="18">
        <f t="shared" si="17"/>
        <v>0</v>
      </c>
      <c r="K82" s="18">
        <v>0</v>
      </c>
      <c r="L82" s="18"/>
      <c r="M82" s="18">
        <f t="shared" si="18"/>
        <v>0</v>
      </c>
      <c r="N82" s="18">
        <v>14.84</v>
      </c>
      <c r="O82" s="18"/>
      <c r="P82" s="18">
        <f t="shared" si="19"/>
        <v>14.84</v>
      </c>
      <c r="Q82" s="18">
        <v>6</v>
      </c>
      <c r="R82" s="18"/>
      <c r="S82" s="18">
        <f t="shared" si="20"/>
        <v>6</v>
      </c>
      <c r="T82" s="18">
        <v>1</v>
      </c>
      <c r="U82" s="18"/>
      <c r="V82" s="18">
        <f t="shared" si="21"/>
        <v>1</v>
      </c>
      <c r="W82" s="18">
        <v>724</v>
      </c>
      <c r="X82" s="18"/>
      <c r="Y82" s="18">
        <f t="shared" si="22"/>
        <v>724</v>
      </c>
      <c r="Z82" s="18">
        <v>41.97</v>
      </c>
      <c r="AA82" s="18"/>
      <c r="AB82" s="18">
        <f t="shared" si="23"/>
        <v>41.97</v>
      </c>
      <c r="AC82" s="18">
        <v>132.52000000000001</v>
      </c>
      <c r="AD82" s="18"/>
      <c r="AE82" s="18">
        <f t="shared" si="24"/>
        <v>132.52000000000001</v>
      </c>
      <c r="AF82" s="18">
        <v>90546</v>
      </c>
      <c r="AG82" s="18"/>
      <c r="AH82" s="18">
        <f t="shared" si="25"/>
        <v>90546</v>
      </c>
      <c r="AI82" s="18">
        <v>81642.240000000005</v>
      </c>
      <c r="AJ82" s="18"/>
      <c r="AK82" s="18">
        <f t="shared" si="26"/>
        <v>81642.240000000005</v>
      </c>
      <c r="AL82" s="18">
        <v>16.9237</v>
      </c>
      <c r="AM82" s="18"/>
      <c r="AN82" s="18">
        <f t="shared" si="27"/>
        <v>16.9237</v>
      </c>
      <c r="AO82" s="18">
        <v>0.8679</v>
      </c>
      <c r="AP82" s="18"/>
      <c r="AQ82" s="18">
        <f t="shared" si="28"/>
        <v>0.8679</v>
      </c>
      <c r="AR82" s="18">
        <v>0.1041</v>
      </c>
      <c r="AS82" s="18"/>
      <c r="AT82" s="18">
        <f t="shared" si="29"/>
        <v>0.1041</v>
      </c>
      <c r="AU82" s="18">
        <v>113161.2</v>
      </c>
      <c r="AV82" s="18"/>
      <c r="AW82" s="18">
        <f t="shared" si="30"/>
        <v>113161.2</v>
      </c>
      <c r="AX82" s="18">
        <v>0</v>
      </c>
      <c r="AY82" s="18"/>
      <c r="AZ82" s="18">
        <f t="shared" si="31"/>
        <v>0</v>
      </c>
      <c r="BA82" s="18">
        <v>0</v>
      </c>
      <c r="BB82" s="18"/>
      <c r="BC82" s="18">
        <f t="shared" si="32"/>
        <v>0</v>
      </c>
      <c r="BD82" s="18">
        <v>0</v>
      </c>
      <c r="BE82" s="18"/>
      <c r="BF82" s="18">
        <f t="shared" si="33"/>
        <v>0</v>
      </c>
    </row>
    <row r="83" spans="1:58" ht="25.5" x14ac:dyDescent="0.25">
      <c r="A83" s="124" t="s">
        <v>1198</v>
      </c>
      <c r="B83" s="124" t="s">
        <v>1468</v>
      </c>
      <c r="C83" s="18" t="s">
        <v>1093</v>
      </c>
      <c r="D83" s="18" t="s">
        <v>1616</v>
      </c>
      <c r="E83" s="18" t="s">
        <v>1477</v>
      </c>
      <c r="F83" s="18" t="s">
        <v>1111</v>
      </c>
      <c r="G83" s="119">
        <v>43434</v>
      </c>
      <c r="H83" s="18">
        <v>0</v>
      </c>
      <c r="I83" s="18"/>
      <c r="J83" s="18">
        <f t="shared" si="17"/>
        <v>0</v>
      </c>
      <c r="K83" s="18">
        <v>1.891</v>
      </c>
      <c r="L83" s="18"/>
      <c r="M83" s="18">
        <f t="shared" si="18"/>
        <v>1.891</v>
      </c>
      <c r="N83" s="18">
        <v>8.1739999999999995</v>
      </c>
      <c r="O83" s="18"/>
      <c r="P83" s="18">
        <f t="shared" si="19"/>
        <v>8.1739999999999995</v>
      </c>
      <c r="Q83" s="18">
        <v>5</v>
      </c>
      <c r="R83" s="18"/>
      <c r="S83" s="18">
        <f t="shared" si="20"/>
        <v>5</v>
      </c>
      <c r="T83" s="18">
        <v>1</v>
      </c>
      <c r="U83" s="18"/>
      <c r="V83" s="18">
        <f t="shared" si="21"/>
        <v>1</v>
      </c>
      <c r="W83" s="18">
        <v>474</v>
      </c>
      <c r="X83" s="18"/>
      <c r="Y83" s="18">
        <f t="shared" si="22"/>
        <v>474</v>
      </c>
      <c r="Z83" s="18">
        <v>27.78</v>
      </c>
      <c r="AA83" s="18"/>
      <c r="AB83" s="18">
        <f t="shared" si="23"/>
        <v>27.78</v>
      </c>
      <c r="AC83" s="18">
        <v>99.94</v>
      </c>
      <c r="AD83" s="18"/>
      <c r="AE83" s="18">
        <f t="shared" si="24"/>
        <v>99.94</v>
      </c>
      <c r="AF83" s="18">
        <v>72165</v>
      </c>
      <c r="AG83" s="18"/>
      <c r="AH83" s="18">
        <f t="shared" si="25"/>
        <v>72165</v>
      </c>
      <c r="AI83" s="18">
        <v>45813.22</v>
      </c>
      <c r="AJ83" s="18"/>
      <c r="AK83" s="18">
        <f t="shared" si="26"/>
        <v>45813.22</v>
      </c>
      <c r="AL83" s="18">
        <v>3.9491000000000001</v>
      </c>
      <c r="AM83" s="18"/>
      <c r="AN83" s="18">
        <f t="shared" si="27"/>
        <v>3.9491000000000001</v>
      </c>
      <c r="AO83" s="18">
        <v>0.34210000000000002</v>
      </c>
      <c r="AP83" s="18"/>
      <c r="AQ83" s="18">
        <f t="shared" si="28"/>
        <v>0.34210000000000002</v>
      </c>
      <c r="AR83" s="18">
        <v>4.1099999999999998E-2</v>
      </c>
      <c r="AS83" s="18"/>
      <c r="AT83" s="18">
        <f t="shared" si="29"/>
        <v>4.1099999999999998E-2</v>
      </c>
      <c r="AU83" s="18">
        <v>100.05800000000001</v>
      </c>
      <c r="AV83" s="18"/>
      <c r="AW83" s="18">
        <f t="shared" si="30"/>
        <v>100.05800000000001</v>
      </c>
      <c r="AX83" s="18">
        <v>0.68</v>
      </c>
      <c r="AY83" s="18"/>
      <c r="AZ83" s="18">
        <f t="shared" si="31"/>
        <v>0.68</v>
      </c>
      <c r="BA83" s="18">
        <v>0.68</v>
      </c>
      <c r="BB83" s="18"/>
      <c r="BC83" s="18">
        <f t="shared" si="32"/>
        <v>0.68</v>
      </c>
      <c r="BD83" s="18">
        <v>1.24</v>
      </c>
      <c r="BE83" s="18"/>
      <c r="BF83" s="18">
        <f t="shared" si="33"/>
        <v>1.24</v>
      </c>
    </row>
    <row r="84" spans="1:58" ht="25.5" x14ac:dyDescent="0.25">
      <c r="A84" s="124" t="s">
        <v>1199</v>
      </c>
      <c r="B84" s="124" t="s">
        <v>1468</v>
      </c>
      <c r="C84" s="18" t="s">
        <v>1093</v>
      </c>
      <c r="D84" s="18" t="s">
        <v>1617</v>
      </c>
      <c r="E84" s="18" t="s">
        <v>1503</v>
      </c>
      <c r="F84" s="18" t="s">
        <v>1111</v>
      </c>
      <c r="G84" s="119">
        <v>43434</v>
      </c>
      <c r="H84" s="18">
        <v>0</v>
      </c>
      <c r="I84" s="18"/>
      <c r="J84" s="18">
        <f t="shared" si="17"/>
        <v>0</v>
      </c>
      <c r="K84" s="18">
        <v>2.15</v>
      </c>
      <c r="L84" s="18"/>
      <c r="M84" s="18">
        <f t="shared" si="18"/>
        <v>2.15</v>
      </c>
      <c r="N84" s="18">
        <v>16.05</v>
      </c>
      <c r="O84" s="18"/>
      <c r="P84" s="18">
        <f t="shared" si="19"/>
        <v>16.05</v>
      </c>
      <c r="Q84" s="18">
        <v>8</v>
      </c>
      <c r="R84" s="18"/>
      <c r="S84" s="18">
        <f t="shared" si="20"/>
        <v>8</v>
      </c>
      <c r="T84" s="18">
        <v>1</v>
      </c>
      <c r="U84" s="18"/>
      <c r="V84" s="18">
        <f t="shared" si="21"/>
        <v>1</v>
      </c>
      <c r="W84" s="18">
        <v>481.86</v>
      </c>
      <c r="X84" s="18"/>
      <c r="Y84" s="18">
        <f t="shared" si="22"/>
        <v>481.86</v>
      </c>
      <c r="Z84" s="18">
        <v>29.95</v>
      </c>
      <c r="AA84" s="18"/>
      <c r="AB84" s="18">
        <f t="shared" si="23"/>
        <v>29.95</v>
      </c>
      <c r="AC84" s="18">
        <v>104.04</v>
      </c>
      <c r="AD84" s="18"/>
      <c r="AE84" s="18">
        <f t="shared" si="24"/>
        <v>104.04</v>
      </c>
      <c r="AF84" s="18">
        <v>74091</v>
      </c>
      <c r="AG84" s="18"/>
      <c r="AH84" s="18">
        <f t="shared" si="25"/>
        <v>74091</v>
      </c>
      <c r="AI84" s="18">
        <v>85997.55</v>
      </c>
      <c r="AJ84" s="18"/>
      <c r="AK84" s="18">
        <f t="shared" si="26"/>
        <v>85997.55</v>
      </c>
      <c r="AL84" s="18">
        <v>24.273599999999998</v>
      </c>
      <c r="AM84" s="18"/>
      <c r="AN84" s="18">
        <f t="shared" si="27"/>
        <v>24.273599999999998</v>
      </c>
      <c r="AO84" s="18">
        <v>1.2447999999999999</v>
      </c>
      <c r="AP84" s="18"/>
      <c r="AQ84" s="18">
        <f t="shared" si="28"/>
        <v>1.2447999999999999</v>
      </c>
      <c r="AR84" s="18">
        <v>0.14929999999999999</v>
      </c>
      <c r="AS84" s="18"/>
      <c r="AT84" s="18">
        <f t="shared" si="29"/>
        <v>0.14929999999999999</v>
      </c>
      <c r="AU84" s="18">
        <v>120142.15</v>
      </c>
      <c r="AV84" s="18"/>
      <c r="AW84" s="18">
        <f t="shared" si="30"/>
        <v>120142.15</v>
      </c>
      <c r="AX84" s="18">
        <v>0</v>
      </c>
      <c r="AY84" s="18"/>
      <c r="AZ84" s="18">
        <f t="shared" si="31"/>
        <v>0</v>
      </c>
      <c r="BA84" s="18">
        <v>2E-3</v>
      </c>
      <c r="BB84" s="18"/>
      <c r="BC84" s="18">
        <f t="shared" si="32"/>
        <v>2E-3</v>
      </c>
      <c r="BD84" s="18">
        <v>2E-3</v>
      </c>
      <c r="BE84" s="18"/>
      <c r="BF84" s="18">
        <f t="shared" si="33"/>
        <v>2E-3</v>
      </c>
    </row>
    <row r="85" spans="1:58" ht="25.5" x14ac:dyDescent="0.25">
      <c r="A85" s="124" t="s">
        <v>1200</v>
      </c>
      <c r="B85" s="124" t="s">
        <v>1468</v>
      </c>
      <c r="C85" s="18" t="s">
        <v>1093</v>
      </c>
      <c r="D85" s="18" t="s">
        <v>1618</v>
      </c>
      <c r="E85" s="18" t="s">
        <v>1500</v>
      </c>
      <c r="F85" s="18" t="s">
        <v>1111</v>
      </c>
      <c r="G85" s="119">
        <v>43434</v>
      </c>
      <c r="H85" s="18">
        <v>0</v>
      </c>
      <c r="I85" s="18"/>
      <c r="J85" s="18">
        <f t="shared" si="17"/>
        <v>0</v>
      </c>
      <c r="K85" s="18">
        <v>0</v>
      </c>
      <c r="L85" s="18"/>
      <c r="M85" s="18">
        <f t="shared" si="18"/>
        <v>0</v>
      </c>
      <c r="N85" s="18">
        <v>7.16</v>
      </c>
      <c r="O85" s="18"/>
      <c r="P85" s="18">
        <f t="shared" si="19"/>
        <v>7.16</v>
      </c>
      <c r="Q85" s="18">
        <v>7</v>
      </c>
      <c r="R85" s="18"/>
      <c r="S85" s="18">
        <f t="shared" si="20"/>
        <v>7</v>
      </c>
      <c r="T85" s="18">
        <v>1</v>
      </c>
      <c r="U85" s="18"/>
      <c r="V85" s="18">
        <f t="shared" si="21"/>
        <v>1</v>
      </c>
      <c r="W85" s="18">
        <v>657</v>
      </c>
      <c r="X85" s="18"/>
      <c r="Y85" s="18">
        <f t="shared" si="22"/>
        <v>657</v>
      </c>
      <c r="Z85" s="18">
        <v>46.26</v>
      </c>
      <c r="AA85" s="18"/>
      <c r="AB85" s="18">
        <f t="shared" si="23"/>
        <v>46.26</v>
      </c>
      <c r="AC85" s="18">
        <v>121.62</v>
      </c>
      <c r="AD85" s="18"/>
      <c r="AE85" s="18">
        <f t="shared" si="24"/>
        <v>121.62</v>
      </c>
      <c r="AF85" s="18">
        <v>75356</v>
      </c>
      <c r="AG85" s="18"/>
      <c r="AH85" s="18">
        <f t="shared" si="25"/>
        <v>75356</v>
      </c>
      <c r="AI85" s="18">
        <v>50977.919999999998</v>
      </c>
      <c r="AJ85" s="18"/>
      <c r="AK85" s="18">
        <f t="shared" si="26"/>
        <v>50977.919999999998</v>
      </c>
      <c r="AL85" s="18">
        <v>8.3537999999999997</v>
      </c>
      <c r="AM85" s="18"/>
      <c r="AN85" s="18">
        <f t="shared" si="27"/>
        <v>8.3537999999999997</v>
      </c>
      <c r="AO85" s="18">
        <v>0.4284</v>
      </c>
      <c r="AP85" s="18"/>
      <c r="AQ85" s="18">
        <f t="shared" si="28"/>
        <v>0.4284</v>
      </c>
      <c r="AR85" s="18">
        <v>5.1400000000000001E-2</v>
      </c>
      <c r="AS85" s="18"/>
      <c r="AT85" s="18">
        <f t="shared" si="29"/>
        <v>5.1400000000000001E-2</v>
      </c>
      <c r="AU85" s="18">
        <v>112.72</v>
      </c>
      <c r="AV85" s="18"/>
      <c r="AW85" s="18">
        <f t="shared" si="30"/>
        <v>112.72</v>
      </c>
      <c r="AX85" s="18">
        <v>0</v>
      </c>
      <c r="AY85" s="18"/>
      <c r="AZ85" s="18">
        <f t="shared" si="31"/>
        <v>0</v>
      </c>
      <c r="BA85" s="18">
        <v>0</v>
      </c>
      <c r="BB85" s="18"/>
      <c r="BC85" s="18">
        <f t="shared" si="32"/>
        <v>0</v>
      </c>
      <c r="BD85" s="18">
        <v>0</v>
      </c>
      <c r="BE85" s="18"/>
      <c r="BF85" s="18">
        <f t="shared" si="33"/>
        <v>0</v>
      </c>
    </row>
    <row r="86" spans="1:58" ht="25.5" x14ac:dyDescent="0.25">
      <c r="A86" s="124" t="s">
        <v>1201</v>
      </c>
      <c r="B86" s="124" t="s">
        <v>1468</v>
      </c>
      <c r="C86" s="18" t="s">
        <v>1093</v>
      </c>
      <c r="D86" s="18" t="s">
        <v>1619</v>
      </c>
      <c r="E86" s="18" t="s">
        <v>1503</v>
      </c>
      <c r="F86" s="18" t="s">
        <v>1111</v>
      </c>
      <c r="G86" s="119">
        <v>43434</v>
      </c>
      <c r="H86" s="18">
        <v>0</v>
      </c>
      <c r="I86" s="18"/>
      <c r="J86" s="18">
        <f t="shared" si="17"/>
        <v>0</v>
      </c>
      <c r="K86" s="18">
        <v>0</v>
      </c>
      <c r="L86" s="18"/>
      <c r="M86" s="18">
        <f t="shared" si="18"/>
        <v>0</v>
      </c>
      <c r="N86" s="18">
        <v>6.09</v>
      </c>
      <c r="O86" s="18"/>
      <c r="P86" s="18">
        <f t="shared" si="19"/>
        <v>6.09</v>
      </c>
      <c r="Q86" s="18">
        <v>6</v>
      </c>
      <c r="R86" s="18"/>
      <c r="S86" s="18">
        <f t="shared" si="20"/>
        <v>6</v>
      </c>
      <c r="T86" s="18">
        <v>1</v>
      </c>
      <c r="U86" s="18"/>
      <c r="V86" s="18">
        <f t="shared" si="21"/>
        <v>1</v>
      </c>
      <c r="W86" s="18">
        <v>728.19</v>
      </c>
      <c r="X86" s="18"/>
      <c r="Y86" s="18">
        <f t="shared" si="22"/>
        <v>728.19</v>
      </c>
      <c r="Z86" s="18">
        <v>40.479999999999997</v>
      </c>
      <c r="AA86" s="18"/>
      <c r="AB86" s="18">
        <f t="shared" si="23"/>
        <v>40.479999999999997</v>
      </c>
      <c r="AC86" s="18">
        <v>152.47</v>
      </c>
      <c r="AD86" s="18"/>
      <c r="AE86" s="18">
        <f t="shared" si="24"/>
        <v>152.47</v>
      </c>
      <c r="AF86" s="18">
        <v>111990</v>
      </c>
      <c r="AG86" s="18"/>
      <c r="AH86" s="18">
        <f t="shared" si="25"/>
        <v>111990</v>
      </c>
      <c r="AI86" s="18">
        <v>33999.74</v>
      </c>
      <c r="AJ86" s="18"/>
      <c r="AK86" s="18">
        <f t="shared" si="26"/>
        <v>33999.74</v>
      </c>
      <c r="AL86" s="18">
        <v>3.4398</v>
      </c>
      <c r="AM86" s="18"/>
      <c r="AN86" s="18">
        <f t="shared" si="27"/>
        <v>3.4398</v>
      </c>
      <c r="AO86" s="18">
        <v>5.2499999999999998E-2</v>
      </c>
      <c r="AP86" s="18"/>
      <c r="AQ86" s="18">
        <f t="shared" si="28"/>
        <v>5.2499999999999998E-2</v>
      </c>
      <c r="AR86" s="18">
        <v>8.5175999999999998</v>
      </c>
      <c r="AS86" s="18"/>
      <c r="AT86" s="18">
        <f t="shared" si="29"/>
        <v>8.5175999999999998</v>
      </c>
      <c r="AU86" s="18">
        <v>56966.3</v>
      </c>
      <c r="AV86" s="18"/>
      <c r="AW86" s="18">
        <f t="shared" si="30"/>
        <v>56966.3</v>
      </c>
      <c r="AX86" s="18">
        <v>0</v>
      </c>
      <c r="AY86" s="18"/>
      <c r="AZ86" s="18">
        <f t="shared" si="31"/>
        <v>0</v>
      </c>
      <c r="BA86" s="18">
        <v>0</v>
      </c>
      <c r="BB86" s="18"/>
      <c r="BC86" s="18">
        <f t="shared" si="32"/>
        <v>0</v>
      </c>
      <c r="BD86" s="18">
        <v>0</v>
      </c>
      <c r="BE86" s="18"/>
      <c r="BF86" s="18">
        <f t="shared" si="33"/>
        <v>0</v>
      </c>
    </row>
    <row r="87" spans="1:58" ht="25.5" x14ac:dyDescent="0.25">
      <c r="A87" s="124" t="s">
        <v>1202</v>
      </c>
      <c r="B87" s="124" t="s">
        <v>1468</v>
      </c>
      <c r="C87" s="18" t="s">
        <v>1093</v>
      </c>
      <c r="D87" s="18" t="s">
        <v>1620</v>
      </c>
      <c r="E87" s="18" t="s">
        <v>1471</v>
      </c>
      <c r="F87" s="18" t="s">
        <v>1111</v>
      </c>
      <c r="G87" s="119">
        <v>43434</v>
      </c>
      <c r="H87" s="18">
        <v>0</v>
      </c>
      <c r="I87" s="18"/>
      <c r="J87" s="18">
        <f t="shared" si="17"/>
        <v>0</v>
      </c>
      <c r="K87" s="18">
        <v>0</v>
      </c>
      <c r="L87" s="18"/>
      <c r="M87" s="18">
        <f t="shared" si="18"/>
        <v>0</v>
      </c>
      <c r="N87" s="18">
        <v>15.22</v>
      </c>
      <c r="O87" s="18"/>
      <c r="P87" s="18">
        <f t="shared" si="19"/>
        <v>15.22</v>
      </c>
      <c r="Q87" s="18">
        <v>6</v>
      </c>
      <c r="R87" s="18"/>
      <c r="S87" s="18">
        <f t="shared" si="20"/>
        <v>6</v>
      </c>
      <c r="T87" s="18">
        <v>1</v>
      </c>
      <c r="U87" s="18"/>
      <c r="V87" s="18">
        <f t="shared" si="21"/>
        <v>1</v>
      </c>
      <c r="W87" s="18">
        <v>649.44000000000005</v>
      </c>
      <c r="X87" s="18"/>
      <c r="Y87" s="18">
        <f t="shared" si="22"/>
        <v>649.44000000000005</v>
      </c>
      <c r="Z87" s="18">
        <v>44.64</v>
      </c>
      <c r="AA87" s="18"/>
      <c r="AB87" s="18">
        <f t="shared" si="23"/>
        <v>44.64</v>
      </c>
      <c r="AC87" s="18">
        <v>148.12</v>
      </c>
      <c r="AD87" s="18"/>
      <c r="AE87" s="18">
        <f t="shared" si="24"/>
        <v>148.12</v>
      </c>
      <c r="AF87" s="18">
        <v>103483</v>
      </c>
      <c r="AG87" s="18"/>
      <c r="AH87" s="18">
        <f t="shared" si="25"/>
        <v>103483</v>
      </c>
      <c r="AI87" s="18">
        <v>85220.1</v>
      </c>
      <c r="AJ87" s="18"/>
      <c r="AK87" s="18">
        <f t="shared" si="26"/>
        <v>85220.1</v>
      </c>
      <c r="AL87" s="18">
        <v>13.6</v>
      </c>
      <c r="AM87" s="18"/>
      <c r="AN87" s="18">
        <f t="shared" si="27"/>
        <v>13.6</v>
      </c>
      <c r="AO87" s="18">
        <v>0.7</v>
      </c>
      <c r="AP87" s="18"/>
      <c r="AQ87" s="18">
        <f t="shared" si="28"/>
        <v>0.7</v>
      </c>
      <c r="AR87" s="18">
        <v>0.08</v>
      </c>
      <c r="AS87" s="18"/>
      <c r="AT87" s="18">
        <f t="shared" si="29"/>
        <v>0.08</v>
      </c>
      <c r="AU87" s="18">
        <v>193</v>
      </c>
      <c r="AV87" s="18"/>
      <c r="AW87" s="18">
        <f t="shared" si="30"/>
        <v>193</v>
      </c>
      <c r="AX87" s="18">
        <v>0</v>
      </c>
      <c r="AY87" s="18"/>
      <c r="AZ87" s="18">
        <f t="shared" si="31"/>
        <v>0</v>
      </c>
      <c r="BA87" s="18">
        <v>0</v>
      </c>
      <c r="BB87" s="18"/>
      <c r="BC87" s="18">
        <f t="shared" si="32"/>
        <v>0</v>
      </c>
      <c r="BD87" s="18">
        <v>0</v>
      </c>
      <c r="BE87" s="18"/>
      <c r="BF87" s="18">
        <f t="shared" si="33"/>
        <v>0</v>
      </c>
    </row>
    <row r="88" spans="1:58" ht="25.5" x14ac:dyDescent="0.25">
      <c r="A88" s="124" t="s">
        <v>1203</v>
      </c>
      <c r="B88" s="124" t="s">
        <v>1468</v>
      </c>
      <c r="C88" s="18" t="s">
        <v>1093</v>
      </c>
      <c r="D88" s="18" t="s">
        <v>1621</v>
      </c>
      <c r="E88" s="18" t="s">
        <v>1503</v>
      </c>
      <c r="F88" s="18" t="s">
        <v>1111</v>
      </c>
      <c r="G88" s="119">
        <v>43434</v>
      </c>
      <c r="H88" s="18">
        <v>0</v>
      </c>
      <c r="I88" s="18"/>
      <c r="J88" s="18">
        <f t="shared" si="17"/>
        <v>0</v>
      </c>
      <c r="K88" s="18">
        <v>0</v>
      </c>
      <c r="L88" s="18"/>
      <c r="M88" s="18">
        <f t="shared" si="18"/>
        <v>0</v>
      </c>
      <c r="N88" s="18">
        <v>27.67</v>
      </c>
      <c r="O88" s="18"/>
      <c r="P88" s="18">
        <f t="shared" si="19"/>
        <v>27.67</v>
      </c>
      <c r="Q88" s="18">
        <v>5</v>
      </c>
      <c r="R88" s="18"/>
      <c r="S88" s="18">
        <f t="shared" si="20"/>
        <v>5</v>
      </c>
      <c r="T88" s="18">
        <v>1</v>
      </c>
      <c r="U88" s="18"/>
      <c r="V88" s="18">
        <f t="shared" si="21"/>
        <v>1</v>
      </c>
      <c r="W88" s="18">
        <v>1490.4</v>
      </c>
      <c r="X88" s="18"/>
      <c r="Y88" s="18">
        <f t="shared" si="22"/>
        <v>1490.4</v>
      </c>
      <c r="Z88" s="18">
        <v>80.48</v>
      </c>
      <c r="AA88" s="18"/>
      <c r="AB88" s="18">
        <f t="shared" si="23"/>
        <v>80.48</v>
      </c>
      <c r="AC88" s="18">
        <v>142.09</v>
      </c>
      <c r="AD88" s="18"/>
      <c r="AE88" s="18">
        <f t="shared" si="24"/>
        <v>142.09</v>
      </c>
      <c r="AF88" s="18">
        <v>244425.60000000001</v>
      </c>
      <c r="AG88" s="18"/>
      <c r="AH88" s="18">
        <f t="shared" si="25"/>
        <v>244425.60000000001</v>
      </c>
      <c r="AI88" s="18">
        <v>164</v>
      </c>
      <c r="AJ88" s="18"/>
      <c r="AK88" s="18">
        <f t="shared" si="26"/>
        <v>164</v>
      </c>
      <c r="AL88" s="18">
        <v>22.6</v>
      </c>
      <c r="AM88" s="18"/>
      <c r="AN88" s="18">
        <f t="shared" si="27"/>
        <v>22.6</v>
      </c>
      <c r="AO88" s="18">
        <v>1.1200000000000001</v>
      </c>
      <c r="AP88" s="18"/>
      <c r="AQ88" s="18">
        <f t="shared" si="28"/>
        <v>1.1200000000000001</v>
      </c>
      <c r="AR88" s="18">
        <v>0.15</v>
      </c>
      <c r="AS88" s="18"/>
      <c r="AT88" s="18">
        <f t="shared" si="29"/>
        <v>0.15</v>
      </c>
      <c r="AU88" s="18">
        <v>244425.60000000001</v>
      </c>
      <c r="AV88" s="18"/>
      <c r="AW88" s="18">
        <f t="shared" si="30"/>
        <v>244425.60000000001</v>
      </c>
      <c r="AX88" s="18">
        <v>0</v>
      </c>
      <c r="AY88" s="18"/>
      <c r="AZ88" s="18">
        <f t="shared" si="31"/>
        <v>0</v>
      </c>
      <c r="BA88" s="18">
        <v>0</v>
      </c>
      <c r="BB88" s="18"/>
      <c r="BC88" s="18">
        <f t="shared" si="32"/>
        <v>0</v>
      </c>
      <c r="BD88" s="18">
        <v>0</v>
      </c>
      <c r="BE88" s="18"/>
      <c r="BF88" s="18">
        <f t="shared" si="33"/>
        <v>0</v>
      </c>
    </row>
    <row r="89" spans="1:58" ht="25.5" x14ac:dyDescent="0.25">
      <c r="A89" s="124" t="s">
        <v>1204</v>
      </c>
      <c r="B89" s="124" t="s">
        <v>1468</v>
      </c>
      <c r="C89" s="18" t="s">
        <v>1093</v>
      </c>
      <c r="D89" s="18" t="s">
        <v>1622</v>
      </c>
      <c r="E89" s="18" t="s">
        <v>1477</v>
      </c>
      <c r="F89" s="18" t="s">
        <v>1111</v>
      </c>
      <c r="G89" s="119">
        <v>43434</v>
      </c>
      <c r="H89" s="18">
        <v>0</v>
      </c>
      <c r="I89" s="18"/>
      <c r="J89" s="18">
        <f t="shared" si="17"/>
        <v>0</v>
      </c>
      <c r="K89" s="18">
        <v>0</v>
      </c>
      <c r="L89" s="18"/>
      <c r="M89" s="18">
        <f t="shared" si="18"/>
        <v>0</v>
      </c>
      <c r="N89" s="18">
        <v>15.3</v>
      </c>
      <c r="O89" s="18"/>
      <c r="P89" s="18">
        <f t="shared" si="19"/>
        <v>15.3</v>
      </c>
      <c r="Q89" s="18">
        <v>5</v>
      </c>
      <c r="R89" s="18"/>
      <c r="S89" s="18">
        <f t="shared" si="20"/>
        <v>5</v>
      </c>
      <c r="T89" s="18">
        <v>1</v>
      </c>
      <c r="U89" s="18"/>
      <c r="V89" s="18">
        <f t="shared" si="21"/>
        <v>1</v>
      </c>
      <c r="W89" s="18">
        <v>844.1</v>
      </c>
      <c r="X89" s="18"/>
      <c r="Y89" s="18">
        <f t="shared" si="22"/>
        <v>844.1</v>
      </c>
      <c r="Z89" s="18">
        <v>58.14</v>
      </c>
      <c r="AA89" s="18"/>
      <c r="AB89" s="18">
        <f t="shared" si="23"/>
        <v>58.14</v>
      </c>
      <c r="AC89" s="18">
        <v>115.72</v>
      </c>
      <c r="AD89" s="18"/>
      <c r="AE89" s="18">
        <f t="shared" si="24"/>
        <v>115.72</v>
      </c>
      <c r="AF89" s="18">
        <v>256606.4</v>
      </c>
      <c r="AG89" s="18"/>
      <c r="AH89" s="18">
        <f t="shared" si="25"/>
        <v>256606.4</v>
      </c>
      <c r="AI89" s="18">
        <v>304</v>
      </c>
      <c r="AJ89" s="18"/>
      <c r="AK89" s="18">
        <f t="shared" si="26"/>
        <v>304</v>
      </c>
      <c r="AL89" s="18">
        <v>11.1</v>
      </c>
      <c r="AM89" s="18"/>
      <c r="AN89" s="18">
        <f t="shared" si="27"/>
        <v>11.1</v>
      </c>
      <c r="AO89" s="18">
        <v>0.6</v>
      </c>
      <c r="AP89" s="18"/>
      <c r="AQ89" s="18">
        <f t="shared" si="28"/>
        <v>0.6</v>
      </c>
      <c r="AR89" s="18">
        <v>7.0000000000000007E-2</v>
      </c>
      <c r="AS89" s="18"/>
      <c r="AT89" s="18">
        <f t="shared" si="29"/>
        <v>7.0000000000000007E-2</v>
      </c>
      <c r="AU89" s="18">
        <v>304</v>
      </c>
      <c r="AV89" s="18"/>
      <c r="AW89" s="18">
        <f t="shared" si="30"/>
        <v>304</v>
      </c>
      <c r="AX89" s="18">
        <v>0</v>
      </c>
      <c r="AY89" s="18"/>
      <c r="AZ89" s="18">
        <f t="shared" si="31"/>
        <v>0</v>
      </c>
      <c r="BA89" s="18">
        <v>0</v>
      </c>
      <c r="BB89" s="18"/>
      <c r="BC89" s="18">
        <f t="shared" si="32"/>
        <v>0</v>
      </c>
      <c r="BD89" s="18">
        <v>0</v>
      </c>
      <c r="BE89" s="18"/>
      <c r="BF89" s="18">
        <f t="shared" si="33"/>
        <v>0</v>
      </c>
    </row>
    <row r="90" spans="1:58" ht="51" x14ac:dyDescent="0.25">
      <c r="A90" s="124" t="s">
        <v>1205</v>
      </c>
      <c r="B90" s="124" t="s">
        <v>1468</v>
      </c>
      <c r="C90" s="18" t="s">
        <v>1623</v>
      </c>
      <c r="D90" s="18" t="s">
        <v>1624</v>
      </c>
      <c r="E90" s="18" t="s">
        <v>1500</v>
      </c>
      <c r="F90" s="18" t="s">
        <v>1111</v>
      </c>
      <c r="G90" s="119">
        <v>43100</v>
      </c>
      <c r="H90" s="18">
        <v>0</v>
      </c>
      <c r="I90" s="18"/>
      <c r="J90" s="18">
        <f t="shared" si="17"/>
        <v>0</v>
      </c>
      <c r="K90" s="18">
        <v>6.0380000000000003</v>
      </c>
      <c r="L90" s="18"/>
      <c r="M90" s="18">
        <f t="shared" si="18"/>
        <v>6.0380000000000003</v>
      </c>
      <c r="N90" s="18">
        <v>41.91</v>
      </c>
      <c r="O90" s="18"/>
      <c r="P90" s="18">
        <f t="shared" si="19"/>
        <v>41.91</v>
      </c>
      <c r="Q90" s="18">
        <v>7</v>
      </c>
      <c r="R90" s="18"/>
      <c r="S90" s="18">
        <f t="shared" si="20"/>
        <v>7</v>
      </c>
      <c r="T90" s="18">
        <v>1</v>
      </c>
      <c r="U90" s="18"/>
      <c r="V90" s="18">
        <f t="shared" si="21"/>
        <v>1</v>
      </c>
      <c r="W90" s="18">
        <v>1477</v>
      </c>
      <c r="X90" s="18"/>
      <c r="Y90" s="18">
        <f t="shared" si="22"/>
        <v>1477</v>
      </c>
      <c r="Z90" s="18">
        <v>58.834000000000003</v>
      </c>
      <c r="AA90" s="18"/>
      <c r="AB90" s="18">
        <f t="shared" si="23"/>
        <v>58.834000000000003</v>
      </c>
      <c r="AC90" s="18">
        <v>262.13400000000001</v>
      </c>
      <c r="AD90" s="18"/>
      <c r="AE90" s="18">
        <f t="shared" si="24"/>
        <v>262.13400000000001</v>
      </c>
      <c r="AF90" s="18">
        <v>203300</v>
      </c>
      <c r="AG90" s="18"/>
      <c r="AH90" s="18">
        <f t="shared" si="25"/>
        <v>203300</v>
      </c>
      <c r="AI90" s="18">
        <v>163144</v>
      </c>
      <c r="AJ90" s="18"/>
      <c r="AK90" s="18">
        <f t="shared" si="26"/>
        <v>163144</v>
      </c>
      <c r="AL90" s="18">
        <v>22</v>
      </c>
      <c r="AM90" s="18"/>
      <c r="AN90" s="18">
        <f t="shared" si="27"/>
        <v>22</v>
      </c>
      <c r="AO90" s="18">
        <v>0</v>
      </c>
      <c r="AP90" s="18"/>
      <c r="AQ90" s="18">
        <f t="shared" si="28"/>
        <v>0</v>
      </c>
      <c r="AR90" s="18">
        <v>0</v>
      </c>
      <c r="AS90" s="18"/>
      <c r="AT90" s="18">
        <f t="shared" si="29"/>
        <v>0</v>
      </c>
      <c r="AU90" s="18">
        <v>307038.76</v>
      </c>
      <c r="AV90" s="18"/>
      <c r="AW90" s="18">
        <f t="shared" si="30"/>
        <v>307038.76</v>
      </c>
      <c r="AX90" s="18">
        <v>0</v>
      </c>
      <c r="AY90" s="18"/>
      <c r="AZ90" s="18">
        <f t="shared" si="31"/>
        <v>0</v>
      </c>
      <c r="BA90" s="18">
        <v>5.4000000000000003E-3</v>
      </c>
      <c r="BB90" s="18"/>
      <c r="BC90" s="18">
        <f t="shared" si="32"/>
        <v>5.4000000000000003E-3</v>
      </c>
      <c r="BD90" s="18">
        <v>5.4000000000000003E-3</v>
      </c>
      <c r="BE90" s="18"/>
      <c r="BF90" s="18">
        <f t="shared" si="33"/>
        <v>5.4000000000000003E-3</v>
      </c>
    </row>
    <row r="91" spans="1:58" ht="51" x14ac:dyDescent="0.25">
      <c r="A91" s="124" t="s">
        <v>1206</v>
      </c>
      <c r="B91" s="124" t="s">
        <v>1468</v>
      </c>
      <c r="C91" s="18" t="s">
        <v>1623</v>
      </c>
      <c r="D91" s="18" t="s">
        <v>1625</v>
      </c>
      <c r="E91" s="18" t="s">
        <v>1500</v>
      </c>
      <c r="F91" s="18" t="s">
        <v>1111</v>
      </c>
      <c r="G91" s="119">
        <v>43465</v>
      </c>
      <c r="H91" s="18">
        <v>0</v>
      </c>
      <c r="I91" s="18"/>
      <c r="J91" s="18">
        <f t="shared" si="17"/>
        <v>0</v>
      </c>
      <c r="K91" s="18">
        <v>6.0380000000000003</v>
      </c>
      <c r="L91" s="18"/>
      <c r="M91" s="18">
        <f t="shared" si="18"/>
        <v>6.0380000000000003</v>
      </c>
      <c r="N91" s="18">
        <v>35.31</v>
      </c>
      <c r="O91" s="18"/>
      <c r="P91" s="18">
        <f t="shared" si="19"/>
        <v>35.31</v>
      </c>
      <c r="Q91" s="18">
        <v>7</v>
      </c>
      <c r="R91" s="18"/>
      <c r="S91" s="18">
        <f t="shared" si="20"/>
        <v>7</v>
      </c>
      <c r="T91" s="18">
        <v>1</v>
      </c>
      <c r="U91" s="18"/>
      <c r="V91" s="18">
        <f t="shared" si="21"/>
        <v>1</v>
      </c>
      <c r="W91" s="18">
        <v>1007</v>
      </c>
      <c r="X91" s="18"/>
      <c r="Y91" s="18">
        <f t="shared" si="22"/>
        <v>1007</v>
      </c>
      <c r="Z91" s="18">
        <v>39.445999999999998</v>
      </c>
      <c r="AA91" s="18"/>
      <c r="AB91" s="18">
        <f t="shared" si="23"/>
        <v>39.445999999999998</v>
      </c>
      <c r="AC91" s="18">
        <v>285.34699999999998</v>
      </c>
      <c r="AD91" s="18"/>
      <c r="AE91" s="18">
        <f t="shared" si="24"/>
        <v>285.34699999999998</v>
      </c>
      <c r="AF91" s="18">
        <v>245901</v>
      </c>
      <c r="AG91" s="18"/>
      <c r="AH91" s="18">
        <f t="shared" si="25"/>
        <v>245901</v>
      </c>
      <c r="AI91" s="18">
        <v>164369</v>
      </c>
      <c r="AJ91" s="18"/>
      <c r="AK91" s="18">
        <f t="shared" si="26"/>
        <v>164369</v>
      </c>
      <c r="AL91" s="18">
        <v>19</v>
      </c>
      <c r="AM91" s="18"/>
      <c r="AN91" s="18">
        <f t="shared" si="27"/>
        <v>19</v>
      </c>
      <c r="AO91" s="18">
        <v>0</v>
      </c>
      <c r="AP91" s="18"/>
      <c r="AQ91" s="18">
        <f t="shared" si="28"/>
        <v>0</v>
      </c>
      <c r="AR91" s="18">
        <v>1</v>
      </c>
      <c r="AS91" s="18"/>
      <c r="AT91" s="18">
        <f t="shared" si="29"/>
        <v>1</v>
      </c>
      <c r="AU91" s="18">
        <v>269845.78999999998</v>
      </c>
      <c r="AV91" s="18"/>
      <c r="AW91" s="18">
        <f t="shared" si="30"/>
        <v>269845.78999999998</v>
      </c>
      <c r="AX91" s="18">
        <v>0</v>
      </c>
      <c r="AY91" s="18"/>
      <c r="AZ91" s="18">
        <f t="shared" si="31"/>
        <v>0</v>
      </c>
      <c r="BA91" s="18">
        <v>5.4000000000000003E-3</v>
      </c>
      <c r="BB91" s="18"/>
      <c r="BC91" s="18">
        <f t="shared" si="32"/>
        <v>5.4000000000000003E-3</v>
      </c>
      <c r="BD91" s="18">
        <v>5.4000000000000003E-3</v>
      </c>
      <c r="BE91" s="18"/>
      <c r="BF91" s="18">
        <f t="shared" si="33"/>
        <v>5.4000000000000003E-3</v>
      </c>
    </row>
    <row r="92" spans="1:58" ht="38.25" x14ac:dyDescent="0.25">
      <c r="A92" s="124" t="s">
        <v>1207</v>
      </c>
      <c r="B92" s="124" t="s">
        <v>1468</v>
      </c>
      <c r="C92" s="18" t="s">
        <v>1626</v>
      </c>
      <c r="D92" s="18" t="s">
        <v>1627</v>
      </c>
      <c r="E92" s="18" t="s">
        <v>1474</v>
      </c>
      <c r="F92" s="18" t="s">
        <v>1111</v>
      </c>
      <c r="G92" s="119">
        <v>43190</v>
      </c>
      <c r="H92" s="18">
        <v>0</v>
      </c>
      <c r="I92" s="18"/>
      <c r="J92" s="18">
        <f t="shared" si="17"/>
        <v>0</v>
      </c>
      <c r="K92" s="18">
        <v>0</v>
      </c>
      <c r="L92" s="18"/>
      <c r="M92" s="18">
        <f t="shared" si="18"/>
        <v>0</v>
      </c>
      <c r="N92" s="18">
        <v>2.3199999999999998</v>
      </c>
      <c r="O92" s="18"/>
      <c r="P92" s="18">
        <f t="shared" si="19"/>
        <v>2.3199999999999998</v>
      </c>
      <c r="Q92" s="18">
        <v>1</v>
      </c>
      <c r="R92" s="18"/>
      <c r="S92" s="18">
        <f t="shared" si="20"/>
        <v>1</v>
      </c>
      <c r="T92" s="18">
        <v>1</v>
      </c>
      <c r="U92" s="18"/>
      <c r="V92" s="18">
        <f t="shared" si="21"/>
        <v>1</v>
      </c>
      <c r="W92" s="18">
        <v>1541.96</v>
      </c>
      <c r="X92" s="18"/>
      <c r="Y92" s="18">
        <f t="shared" si="22"/>
        <v>1541.96</v>
      </c>
      <c r="Z92" s="18">
        <v>113.06</v>
      </c>
      <c r="AA92" s="18"/>
      <c r="AB92" s="18">
        <f t="shared" si="23"/>
        <v>113.06</v>
      </c>
      <c r="AC92" s="18">
        <v>228.79</v>
      </c>
      <c r="AD92" s="18"/>
      <c r="AE92" s="18">
        <f t="shared" si="24"/>
        <v>228.79</v>
      </c>
      <c r="AF92" s="18">
        <v>115730</v>
      </c>
      <c r="AG92" s="18"/>
      <c r="AH92" s="18">
        <f t="shared" si="25"/>
        <v>115730</v>
      </c>
      <c r="AI92" s="18">
        <v>115730</v>
      </c>
      <c r="AJ92" s="18"/>
      <c r="AK92" s="18">
        <f t="shared" si="26"/>
        <v>115730</v>
      </c>
      <c r="AL92" s="18">
        <v>0.10100000000000001</v>
      </c>
      <c r="AM92" s="18"/>
      <c r="AN92" s="18">
        <f t="shared" si="27"/>
        <v>0.10100000000000001</v>
      </c>
      <c r="AO92" s="18">
        <v>0</v>
      </c>
      <c r="AP92" s="18"/>
      <c r="AQ92" s="18">
        <f t="shared" si="28"/>
        <v>0</v>
      </c>
      <c r="AR92" s="18">
        <v>0</v>
      </c>
      <c r="AS92" s="18"/>
      <c r="AT92" s="18">
        <f t="shared" si="29"/>
        <v>0</v>
      </c>
      <c r="AU92" s="18">
        <v>23170</v>
      </c>
      <c r="AV92" s="18"/>
      <c r="AW92" s="18">
        <f t="shared" si="30"/>
        <v>23170</v>
      </c>
      <c r="AX92" s="18">
        <v>0</v>
      </c>
      <c r="AY92" s="18"/>
      <c r="AZ92" s="18">
        <f t="shared" si="31"/>
        <v>0</v>
      </c>
      <c r="BA92" s="18">
        <v>0</v>
      </c>
      <c r="BB92" s="18"/>
      <c r="BC92" s="18">
        <f t="shared" si="32"/>
        <v>0</v>
      </c>
      <c r="BD92" s="18">
        <v>0</v>
      </c>
      <c r="BE92" s="18"/>
      <c r="BF92" s="18">
        <f t="shared" si="33"/>
        <v>0</v>
      </c>
    </row>
    <row r="93" spans="1:58" ht="25.5" x14ac:dyDescent="0.25">
      <c r="A93" s="124" t="s">
        <v>1208</v>
      </c>
      <c r="B93" s="124" t="s">
        <v>1468</v>
      </c>
      <c r="C93" s="18" t="s">
        <v>1093</v>
      </c>
      <c r="D93" s="18" t="s">
        <v>1628</v>
      </c>
      <c r="E93" s="18" t="s">
        <v>1500</v>
      </c>
      <c r="F93" s="18" t="s">
        <v>1111</v>
      </c>
      <c r="G93" s="119">
        <v>43434</v>
      </c>
      <c r="H93" s="18">
        <v>0</v>
      </c>
      <c r="I93" s="18"/>
      <c r="J93" s="18">
        <f t="shared" si="17"/>
        <v>0</v>
      </c>
      <c r="K93" s="18">
        <v>0</v>
      </c>
      <c r="L93" s="18"/>
      <c r="M93" s="18">
        <f t="shared" si="18"/>
        <v>0</v>
      </c>
      <c r="N93" s="18">
        <v>18.670000000000002</v>
      </c>
      <c r="O93" s="18"/>
      <c r="P93" s="18">
        <f t="shared" si="19"/>
        <v>18.670000000000002</v>
      </c>
      <c r="Q93" s="18">
        <v>6</v>
      </c>
      <c r="R93" s="18"/>
      <c r="S93" s="18">
        <f t="shared" si="20"/>
        <v>6</v>
      </c>
      <c r="T93" s="18">
        <v>1</v>
      </c>
      <c r="U93" s="18"/>
      <c r="V93" s="18">
        <f t="shared" si="21"/>
        <v>1</v>
      </c>
      <c r="W93" s="18">
        <v>650.70000000000005</v>
      </c>
      <c r="X93" s="18"/>
      <c r="Y93" s="18">
        <f t="shared" si="22"/>
        <v>650.70000000000005</v>
      </c>
      <c r="Z93" s="18">
        <v>43.51</v>
      </c>
      <c r="AA93" s="18"/>
      <c r="AB93" s="18">
        <f t="shared" si="23"/>
        <v>43.51</v>
      </c>
      <c r="AC93" s="18">
        <v>84.91</v>
      </c>
      <c r="AD93" s="18"/>
      <c r="AE93" s="18">
        <f t="shared" si="24"/>
        <v>84.91</v>
      </c>
      <c r="AF93" s="18">
        <v>41394</v>
      </c>
      <c r="AG93" s="18"/>
      <c r="AH93" s="18">
        <f t="shared" si="25"/>
        <v>41394</v>
      </c>
      <c r="AI93" s="18">
        <v>97605</v>
      </c>
      <c r="AJ93" s="18"/>
      <c r="AK93" s="18">
        <f t="shared" si="26"/>
        <v>97605</v>
      </c>
      <c r="AL93" s="18">
        <v>13.5</v>
      </c>
      <c r="AM93" s="18"/>
      <c r="AN93" s="18">
        <f t="shared" si="27"/>
        <v>13.5</v>
      </c>
      <c r="AO93" s="18">
        <v>0.7</v>
      </c>
      <c r="AP93" s="18"/>
      <c r="AQ93" s="18">
        <f t="shared" si="28"/>
        <v>0.7</v>
      </c>
      <c r="AR93" s="18">
        <v>0.08</v>
      </c>
      <c r="AS93" s="18"/>
      <c r="AT93" s="18">
        <f t="shared" si="29"/>
        <v>0.08</v>
      </c>
      <c r="AU93" s="18">
        <v>247</v>
      </c>
      <c r="AV93" s="18"/>
      <c r="AW93" s="18">
        <f t="shared" si="30"/>
        <v>247</v>
      </c>
      <c r="AX93" s="18">
        <v>0</v>
      </c>
      <c r="AY93" s="18"/>
      <c r="AZ93" s="18">
        <f t="shared" si="31"/>
        <v>0</v>
      </c>
      <c r="BA93" s="18">
        <v>0</v>
      </c>
      <c r="BB93" s="18"/>
      <c r="BC93" s="18">
        <f t="shared" si="32"/>
        <v>0</v>
      </c>
      <c r="BD93" s="18">
        <v>0</v>
      </c>
      <c r="BE93" s="18"/>
      <c r="BF93" s="18">
        <f t="shared" si="33"/>
        <v>0</v>
      </c>
    </row>
    <row r="94" spans="1:58" ht="25.5" x14ac:dyDescent="0.25">
      <c r="A94" s="124" t="s">
        <v>1209</v>
      </c>
      <c r="B94" s="124" t="s">
        <v>1468</v>
      </c>
      <c r="C94" s="18" t="s">
        <v>1093</v>
      </c>
      <c r="D94" s="18" t="s">
        <v>1629</v>
      </c>
      <c r="E94" s="18" t="s">
        <v>1500</v>
      </c>
      <c r="F94" s="18" t="s">
        <v>1111</v>
      </c>
      <c r="G94" s="119">
        <v>43434</v>
      </c>
      <c r="H94" s="18">
        <v>0</v>
      </c>
      <c r="I94" s="18"/>
      <c r="J94" s="18">
        <f t="shared" si="17"/>
        <v>0</v>
      </c>
      <c r="K94" s="18">
        <v>0</v>
      </c>
      <c r="L94" s="18"/>
      <c r="M94" s="18">
        <f t="shared" si="18"/>
        <v>0</v>
      </c>
      <c r="N94" s="18">
        <v>8.6869999999999994</v>
      </c>
      <c r="O94" s="18"/>
      <c r="P94" s="18">
        <f t="shared" si="19"/>
        <v>8.6869999999999994</v>
      </c>
      <c r="Q94" s="18">
        <v>8</v>
      </c>
      <c r="R94" s="18"/>
      <c r="S94" s="18">
        <f t="shared" si="20"/>
        <v>8</v>
      </c>
      <c r="T94" s="18">
        <v>1</v>
      </c>
      <c r="U94" s="18"/>
      <c r="V94" s="18">
        <f t="shared" si="21"/>
        <v>1</v>
      </c>
      <c r="W94" s="18">
        <v>589.4</v>
      </c>
      <c r="X94" s="18"/>
      <c r="Y94" s="18">
        <f t="shared" si="22"/>
        <v>589.4</v>
      </c>
      <c r="Z94" s="18">
        <v>35.29</v>
      </c>
      <c r="AA94" s="18"/>
      <c r="AB94" s="18">
        <f t="shared" si="23"/>
        <v>35.29</v>
      </c>
      <c r="AC94" s="18">
        <v>106.64</v>
      </c>
      <c r="AD94" s="18"/>
      <c r="AE94" s="18">
        <f t="shared" si="24"/>
        <v>106.64</v>
      </c>
      <c r="AF94" s="18">
        <v>66678.820000000007</v>
      </c>
      <c r="AG94" s="18"/>
      <c r="AH94" s="18">
        <f t="shared" si="25"/>
        <v>66678.820000000007</v>
      </c>
      <c r="AI94" s="18">
        <v>40161.72</v>
      </c>
      <c r="AJ94" s="18"/>
      <c r="AK94" s="18">
        <f t="shared" si="26"/>
        <v>40161.72</v>
      </c>
      <c r="AL94" s="18">
        <v>6</v>
      </c>
      <c r="AM94" s="18"/>
      <c r="AN94" s="18">
        <f t="shared" si="27"/>
        <v>6</v>
      </c>
      <c r="AO94" s="18">
        <v>1</v>
      </c>
      <c r="AP94" s="18"/>
      <c r="AQ94" s="18">
        <f t="shared" si="28"/>
        <v>1</v>
      </c>
      <c r="AR94" s="18">
        <v>0</v>
      </c>
      <c r="AS94" s="18"/>
      <c r="AT94" s="18">
        <f t="shared" si="29"/>
        <v>0</v>
      </c>
      <c r="AU94" s="18">
        <v>113.13</v>
      </c>
      <c r="AV94" s="18"/>
      <c r="AW94" s="18">
        <f t="shared" si="30"/>
        <v>113.13</v>
      </c>
      <c r="AX94" s="18">
        <v>0</v>
      </c>
      <c r="AY94" s="18"/>
      <c r="AZ94" s="18">
        <f t="shared" si="31"/>
        <v>0</v>
      </c>
      <c r="BA94" s="18">
        <v>0</v>
      </c>
      <c r="BB94" s="18"/>
      <c r="BC94" s="18">
        <f t="shared" si="32"/>
        <v>0</v>
      </c>
      <c r="BD94" s="18">
        <v>0</v>
      </c>
      <c r="BE94" s="18"/>
      <c r="BF94" s="18">
        <f t="shared" si="33"/>
        <v>0</v>
      </c>
    </row>
    <row r="95" spans="1:58" ht="25.5" x14ac:dyDescent="0.25">
      <c r="A95" s="124" t="s">
        <v>1210</v>
      </c>
      <c r="B95" s="124" t="s">
        <v>1468</v>
      </c>
      <c r="C95" s="18" t="s">
        <v>1093</v>
      </c>
      <c r="D95" s="18" t="s">
        <v>1630</v>
      </c>
      <c r="E95" s="18" t="s">
        <v>1483</v>
      </c>
      <c r="F95" s="18" t="s">
        <v>1111</v>
      </c>
      <c r="G95" s="119">
        <v>43434</v>
      </c>
      <c r="H95" s="18">
        <v>8.1080000000000005</v>
      </c>
      <c r="I95" s="18"/>
      <c r="J95" s="18">
        <f t="shared" si="17"/>
        <v>8.1080000000000005</v>
      </c>
      <c r="K95" s="18">
        <v>0</v>
      </c>
      <c r="L95" s="18"/>
      <c r="M95" s="18">
        <f t="shared" si="18"/>
        <v>0</v>
      </c>
      <c r="N95" s="18">
        <v>39.392000000000003</v>
      </c>
      <c r="O95" s="18"/>
      <c r="P95" s="18">
        <f t="shared" si="19"/>
        <v>39.392000000000003</v>
      </c>
      <c r="Q95" s="18">
        <v>6</v>
      </c>
      <c r="R95" s="18"/>
      <c r="S95" s="18">
        <f t="shared" si="20"/>
        <v>6</v>
      </c>
      <c r="T95" s="18">
        <v>1</v>
      </c>
      <c r="U95" s="18"/>
      <c r="V95" s="18">
        <f t="shared" si="21"/>
        <v>1</v>
      </c>
      <c r="W95" s="18">
        <v>762.4</v>
      </c>
      <c r="X95" s="18"/>
      <c r="Y95" s="18">
        <f t="shared" si="22"/>
        <v>762.4</v>
      </c>
      <c r="Z95" s="18">
        <v>52.03</v>
      </c>
      <c r="AA95" s="18"/>
      <c r="AB95" s="18">
        <f t="shared" si="23"/>
        <v>52.03</v>
      </c>
      <c r="AC95" s="18">
        <v>125.08</v>
      </c>
      <c r="AD95" s="18"/>
      <c r="AE95" s="18">
        <f t="shared" si="24"/>
        <v>125.08</v>
      </c>
      <c r="AF95" s="18">
        <v>80442</v>
      </c>
      <c r="AG95" s="18"/>
      <c r="AH95" s="18">
        <f t="shared" si="25"/>
        <v>80442</v>
      </c>
      <c r="AI95" s="18">
        <v>156891.6</v>
      </c>
      <c r="AJ95" s="18"/>
      <c r="AK95" s="18">
        <f t="shared" si="26"/>
        <v>156891.6</v>
      </c>
      <c r="AL95" s="18">
        <v>44.329000000000001</v>
      </c>
      <c r="AM95" s="18"/>
      <c r="AN95" s="18">
        <f t="shared" si="27"/>
        <v>44.329000000000001</v>
      </c>
      <c r="AO95" s="18">
        <v>3.476</v>
      </c>
      <c r="AP95" s="18"/>
      <c r="AQ95" s="18">
        <f t="shared" si="28"/>
        <v>3.476</v>
      </c>
      <c r="AR95" s="18">
        <v>8.5839999999999996</v>
      </c>
      <c r="AS95" s="18"/>
      <c r="AT95" s="18">
        <f t="shared" si="29"/>
        <v>8.5839999999999996</v>
      </c>
      <c r="AU95" s="18">
        <v>200511.2</v>
      </c>
      <c r="AV95" s="18"/>
      <c r="AW95" s="18">
        <f t="shared" si="30"/>
        <v>200511.2</v>
      </c>
      <c r="AX95" s="18">
        <v>7.0000000000000001E-3</v>
      </c>
      <c r="AY95" s="18"/>
      <c r="AZ95" s="18">
        <f t="shared" si="31"/>
        <v>7.0000000000000001E-3</v>
      </c>
      <c r="BA95" s="18">
        <v>7.0000000000000001E-3</v>
      </c>
      <c r="BB95" s="18"/>
      <c r="BC95" s="18">
        <f t="shared" si="32"/>
        <v>7.0000000000000001E-3</v>
      </c>
      <c r="BD95" s="18">
        <v>0</v>
      </c>
      <c r="BE95" s="18"/>
      <c r="BF95" s="18">
        <f t="shared" si="33"/>
        <v>0</v>
      </c>
    </row>
    <row r="96" spans="1:58" ht="25.5" x14ac:dyDescent="0.25">
      <c r="A96" s="124" t="s">
        <v>1211</v>
      </c>
      <c r="B96" s="124" t="s">
        <v>1468</v>
      </c>
      <c r="C96" s="18" t="s">
        <v>1093</v>
      </c>
      <c r="D96" s="18" t="s">
        <v>1631</v>
      </c>
      <c r="E96" s="18" t="s">
        <v>1489</v>
      </c>
      <c r="F96" s="18" t="s">
        <v>1111</v>
      </c>
      <c r="G96" s="119">
        <v>43434</v>
      </c>
      <c r="H96" s="18">
        <v>0</v>
      </c>
      <c r="I96" s="18"/>
      <c r="J96" s="18">
        <f t="shared" si="17"/>
        <v>0</v>
      </c>
      <c r="K96" s="18">
        <v>0</v>
      </c>
      <c r="L96" s="18"/>
      <c r="M96" s="18">
        <f t="shared" si="18"/>
        <v>0</v>
      </c>
      <c r="N96" s="18">
        <v>12.22</v>
      </c>
      <c r="O96" s="18"/>
      <c r="P96" s="18">
        <f t="shared" si="19"/>
        <v>12.22</v>
      </c>
      <c r="Q96" s="18">
        <v>6</v>
      </c>
      <c r="R96" s="18"/>
      <c r="S96" s="18">
        <f t="shared" si="20"/>
        <v>6</v>
      </c>
      <c r="T96" s="18">
        <v>1</v>
      </c>
      <c r="U96" s="18"/>
      <c r="V96" s="18">
        <f t="shared" si="21"/>
        <v>1</v>
      </c>
      <c r="W96" s="18">
        <v>735</v>
      </c>
      <c r="X96" s="18"/>
      <c r="Y96" s="18">
        <f t="shared" si="22"/>
        <v>735</v>
      </c>
      <c r="Z96" s="18">
        <v>44.96</v>
      </c>
      <c r="AA96" s="18"/>
      <c r="AB96" s="18">
        <f t="shared" si="23"/>
        <v>44.96</v>
      </c>
      <c r="AC96" s="18">
        <v>148.21</v>
      </c>
      <c r="AD96" s="18"/>
      <c r="AE96" s="18">
        <f t="shared" si="24"/>
        <v>148.21</v>
      </c>
      <c r="AF96" s="18">
        <v>103251</v>
      </c>
      <c r="AG96" s="18"/>
      <c r="AH96" s="18">
        <f t="shared" si="25"/>
        <v>103251</v>
      </c>
      <c r="AI96" s="18">
        <v>65532</v>
      </c>
      <c r="AJ96" s="18"/>
      <c r="AK96" s="18">
        <f t="shared" si="26"/>
        <v>65532</v>
      </c>
      <c r="AL96" s="18">
        <v>9</v>
      </c>
      <c r="AM96" s="18"/>
      <c r="AN96" s="18">
        <f t="shared" si="27"/>
        <v>9</v>
      </c>
      <c r="AO96" s="18">
        <v>0.49</v>
      </c>
      <c r="AP96" s="18"/>
      <c r="AQ96" s="18">
        <f t="shared" si="28"/>
        <v>0.49</v>
      </c>
      <c r="AR96" s="18">
        <v>0.06</v>
      </c>
      <c r="AS96" s="18"/>
      <c r="AT96" s="18">
        <f t="shared" si="29"/>
        <v>0.06</v>
      </c>
      <c r="AU96" s="18">
        <v>150</v>
      </c>
      <c r="AV96" s="18"/>
      <c r="AW96" s="18">
        <f t="shared" si="30"/>
        <v>150</v>
      </c>
      <c r="AX96" s="18">
        <v>0</v>
      </c>
      <c r="AY96" s="18"/>
      <c r="AZ96" s="18">
        <f t="shared" si="31"/>
        <v>0</v>
      </c>
      <c r="BA96" s="18">
        <v>0</v>
      </c>
      <c r="BB96" s="18"/>
      <c r="BC96" s="18">
        <f t="shared" si="32"/>
        <v>0</v>
      </c>
      <c r="BD96" s="18">
        <v>0</v>
      </c>
      <c r="BE96" s="18"/>
      <c r="BF96" s="18">
        <f t="shared" si="33"/>
        <v>0</v>
      </c>
    </row>
    <row r="97" spans="1:58" ht="25.5" x14ac:dyDescent="0.25">
      <c r="A97" s="124" t="s">
        <v>1212</v>
      </c>
      <c r="B97" s="124" t="s">
        <v>1468</v>
      </c>
      <c r="C97" s="18" t="s">
        <v>1093</v>
      </c>
      <c r="D97" s="18" t="s">
        <v>1632</v>
      </c>
      <c r="E97" s="18" t="s">
        <v>1477</v>
      </c>
      <c r="F97" s="18" t="s">
        <v>1111</v>
      </c>
      <c r="G97" s="119">
        <v>43434</v>
      </c>
      <c r="H97" s="18">
        <v>0</v>
      </c>
      <c r="I97" s="18"/>
      <c r="J97" s="18">
        <f t="shared" si="17"/>
        <v>0</v>
      </c>
      <c r="K97" s="18">
        <v>0</v>
      </c>
      <c r="L97" s="18"/>
      <c r="M97" s="18">
        <f t="shared" si="18"/>
        <v>0</v>
      </c>
      <c r="N97" s="18">
        <v>19.920000000000002</v>
      </c>
      <c r="O97" s="18"/>
      <c r="P97" s="18">
        <f t="shared" si="19"/>
        <v>19.920000000000002</v>
      </c>
      <c r="Q97" s="18">
        <v>4</v>
      </c>
      <c r="R97" s="18"/>
      <c r="S97" s="18">
        <f t="shared" si="20"/>
        <v>4</v>
      </c>
      <c r="T97" s="18">
        <v>1</v>
      </c>
      <c r="U97" s="18"/>
      <c r="V97" s="18">
        <f t="shared" si="21"/>
        <v>1</v>
      </c>
      <c r="W97" s="18">
        <v>1321.25</v>
      </c>
      <c r="X97" s="18"/>
      <c r="Y97" s="18">
        <f t="shared" si="22"/>
        <v>1321.25</v>
      </c>
      <c r="Z97" s="18">
        <v>80.599999999999994</v>
      </c>
      <c r="AA97" s="18"/>
      <c r="AB97" s="18">
        <f t="shared" si="23"/>
        <v>80.599999999999994</v>
      </c>
      <c r="AC97" s="18">
        <v>173.05</v>
      </c>
      <c r="AD97" s="18"/>
      <c r="AE97" s="18">
        <f t="shared" si="24"/>
        <v>173.05</v>
      </c>
      <c r="AF97" s="18">
        <v>92450</v>
      </c>
      <c r="AG97" s="18"/>
      <c r="AH97" s="18">
        <f t="shared" si="25"/>
        <v>92450</v>
      </c>
      <c r="AI97" s="18">
        <v>100415</v>
      </c>
      <c r="AJ97" s="18"/>
      <c r="AK97" s="18">
        <f t="shared" si="26"/>
        <v>100415</v>
      </c>
      <c r="AL97" s="18">
        <v>15.3</v>
      </c>
      <c r="AM97" s="18"/>
      <c r="AN97" s="18">
        <f t="shared" si="27"/>
        <v>15.3</v>
      </c>
      <c r="AO97" s="18">
        <v>0.81</v>
      </c>
      <c r="AP97" s="18"/>
      <c r="AQ97" s="18">
        <f t="shared" si="28"/>
        <v>0.81</v>
      </c>
      <c r="AR97" s="18">
        <v>0.1</v>
      </c>
      <c r="AS97" s="18"/>
      <c r="AT97" s="18">
        <f t="shared" si="29"/>
        <v>0.1</v>
      </c>
      <c r="AU97" s="18">
        <v>141373</v>
      </c>
      <c r="AV97" s="18"/>
      <c r="AW97" s="18">
        <f t="shared" si="30"/>
        <v>141373</v>
      </c>
      <c r="AX97" s="18">
        <v>0</v>
      </c>
      <c r="AY97" s="18"/>
      <c r="AZ97" s="18">
        <f t="shared" si="31"/>
        <v>0</v>
      </c>
      <c r="BA97" s="18">
        <v>0</v>
      </c>
      <c r="BB97" s="18"/>
      <c r="BC97" s="18">
        <f t="shared" si="32"/>
        <v>0</v>
      </c>
      <c r="BD97" s="18">
        <v>0</v>
      </c>
      <c r="BE97" s="18"/>
      <c r="BF97" s="18">
        <f t="shared" si="33"/>
        <v>0</v>
      </c>
    </row>
    <row r="98" spans="1:58" ht="25.5" x14ac:dyDescent="0.25">
      <c r="A98" s="124" t="s">
        <v>1213</v>
      </c>
      <c r="B98" s="124" t="s">
        <v>1468</v>
      </c>
      <c r="C98" s="18" t="s">
        <v>1633</v>
      </c>
      <c r="D98" s="18" t="s">
        <v>1634</v>
      </c>
      <c r="E98" s="18" t="s">
        <v>1500</v>
      </c>
      <c r="F98" s="18" t="s">
        <v>1111</v>
      </c>
      <c r="G98" s="119">
        <v>43100</v>
      </c>
      <c r="H98" s="18">
        <v>0</v>
      </c>
      <c r="I98" s="18"/>
      <c r="J98" s="18">
        <f t="shared" si="17"/>
        <v>0</v>
      </c>
      <c r="K98" s="18">
        <v>0</v>
      </c>
      <c r="L98" s="18"/>
      <c r="M98" s="18">
        <f t="shared" si="18"/>
        <v>0</v>
      </c>
      <c r="N98" s="18">
        <v>22.68</v>
      </c>
      <c r="O98" s="18"/>
      <c r="P98" s="18">
        <f t="shared" si="19"/>
        <v>22.68</v>
      </c>
      <c r="Q98" s="18">
        <v>3</v>
      </c>
      <c r="R98" s="18"/>
      <c r="S98" s="18">
        <f t="shared" si="20"/>
        <v>3</v>
      </c>
      <c r="T98" s="18">
        <v>1</v>
      </c>
      <c r="U98" s="18"/>
      <c r="V98" s="18">
        <f t="shared" si="21"/>
        <v>1</v>
      </c>
      <c r="W98" s="18">
        <v>103</v>
      </c>
      <c r="X98" s="18"/>
      <c r="Y98" s="18">
        <f t="shared" si="22"/>
        <v>103</v>
      </c>
      <c r="Z98" s="18">
        <v>16.119</v>
      </c>
      <c r="AA98" s="18"/>
      <c r="AB98" s="18">
        <f t="shared" si="23"/>
        <v>16.119</v>
      </c>
      <c r="AC98" s="18">
        <v>116.81399999999999</v>
      </c>
      <c r="AD98" s="18"/>
      <c r="AE98" s="18">
        <f t="shared" si="24"/>
        <v>116.81399999999999</v>
      </c>
      <c r="AF98" s="18">
        <v>100695</v>
      </c>
      <c r="AG98" s="18"/>
      <c r="AH98" s="18">
        <f t="shared" si="25"/>
        <v>100695</v>
      </c>
      <c r="AI98" s="18">
        <v>135034</v>
      </c>
      <c r="AJ98" s="18"/>
      <c r="AK98" s="18">
        <f t="shared" si="26"/>
        <v>135034</v>
      </c>
      <c r="AL98" s="18">
        <v>28</v>
      </c>
      <c r="AM98" s="18"/>
      <c r="AN98" s="18">
        <f t="shared" si="27"/>
        <v>28</v>
      </c>
      <c r="AO98" s="18">
        <v>2</v>
      </c>
      <c r="AP98" s="18"/>
      <c r="AQ98" s="18">
        <f t="shared" si="28"/>
        <v>2</v>
      </c>
      <c r="AR98" s="18">
        <v>6</v>
      </c>
      <c r="AS98" s="18"/>
      <c r="AT98" s="18">
        <f t="shared" si="29"/>
        <v>6</v>
      </c>
      <c r="AU98" s="18">
        <v>93705</v>
      </c>
      <c r="AV98" s="18"/>
      <c r="AW98" s="18">
        <f t="shared" si="30"/>
        <v>93705</v>
      </c>
      <c r="AX98" s="18">
        <v>0</v>
      </c>
      <c r="AY98" s="18"/>
      <c r="AZ98" s="18">
        <f t="shared" si="31"/>
        <v>0</v>
      </c>
      <c r="BA98" s="18">
        <v>0</v>
      </c>
      <c r="BB98" s="18"/>
      <c r="BC98" s="18">
        <f t="shared" si="32"/>
        <v>0</v>
      </c>
      <c r="BD98" s="18">
        <v>0</v>
      </c>
      <c r="BE98" s="18"/>
      <c r="BF98" s="18">
        <f t="shared" si="33"/>
        <v>0</v>
      </c>
    </row>
    <row r="99" spans="1:58" ht="51" x14ac:dyDescent="0.25">
      <c r="A99" s="124" t="s">
        <v>1214</v>
      </c>
      <c r="B99" s="124" t="s">
        <v>1468</v>
      </c>
      <c r="C99" s="18" t="s">
        <v>1635</v>
      </c>
      <c r="D99" s="18" t="s">
        <v>1636</v>
      </c>
      <c r="E99" s="18" t="s">
        <v>1471</v>
      </c>
      <c r="F99" s="18" t="s">
        <v>1111</v>
      </c>
      <c r="G99" s="119">
        <v>43555</v>
      </c>
      <c r="H99" s="18">
        <v>0</v>
      </c>
      <c r="I99" s="18"/>
      <c r="J99" s="18">
        <f t="shared" si="17"/>
        <v>0</v>
      </c>
      <c r="K99" s="18">
        <v>0</v>
      </c>
      <c r="L99" s="18"/>
      <c r="M99" s="18">
        <f t="shared" si="18"/>
        <v>0</v>
      </c>
      <c r="N99" s="18">
        <v>8.3825000000000003</v>
      </c>
      <c r="O99" s="18"/>
      <c r="P99" s="18">
        <f t="shared" si="19"/>
        <v>0</v>
      </c>
      <c r="Q99" s="18">
        <v>5</v>
      </c>
      <c r="R99" s="18"/>
      <c r="S99" s="18">
        <f t="shared" si="20"/>
        <v>0</v>
      </c>
      <c r="T99" s="18">
        <v>1</v>
      </c>
      <c r="U99" s="18"/>
      <c r="V99" s="18">
        <f t="shared" si="21"/>
        <v>0</v>
      </c>
      <c r="W99" s="18">
        <v>639.9</v>
      </c>
      <c r="X99" s="18"/>
      <c r="Y99" s="18">
        <f t="shared" si="22"/>
        <v>0</v>
      </c>
      <c r="Z99" s="18">
        <v>39.384999999999998</v>
      </c>
      <c r="AA99" s="18"/>
      <c r="AB99" s="18">
        <f t="shared" si="23"/>
        <v>0</v>
      </c>
      <c r="AC99" s="18">
        <v>127.512</v>
      </c>
      <c r="AD99" s="18"/>
      <c r="AE99" s="18">
        <f t="shared" si="24"/>
        <v>0</v>
      </c>
      <c r="AF99" s="18">
        <v>88127</v>
      </c>
      <c r="AG99" s="18"/>
      <c r="AH99" s="18">
        <f t="shared" si="25"/>
        <v>0</v>
      </c>
      <c r="AI99" s="18">
        <v>88127</v>
      </c>
      <c r="AJ99" s="18"/>
      <c r="AK99" s="18">
        <f t="shared" si="26"/>
        <v>0</v>
      </c>
      <c r="AL99" s="18">
        <v>66.5</v>
      </c>
      <c r="AM99" s="18"/>
      <c r="AN99" s="18">
        <f t="shared" si="27"/>
        <v>0</v>
      </c>
      <c r="AO99" s="18">
        <v>0</v>
      </c>
      <c r="AP99" s="18"/>
      <c r="AQ99" s="18">
        <f t="shared" si="28"/>
        <v>0</v>
      </c>
      <c r="AR99" s="18">
        <v>0.7</v>
      </c>
      <c r="AS99" s="18"/>
      <c r="AT99" s="18">
        <f t="shared" si="29"/>
        <v>0</v>
      </c>
      <c r="AU99" s="18">
        <v>0</v>
      </c>
      <c r="AV99" s="18"/>
      <c r="AW99" s="18">
        <f t="shared" si="30"/>
        <v>0</v>
      </c>
      <c r="AX99" s="18">
        <v>0</v>
      </c>
      <c r="AY99" s="18"/>
      <c r="AZ99" s="18">
        <f t="shared" si="31"/>
        <v>0</v>
      </c>
      <c r="BA99" s="18">
        <v>0</v>
      </c>
      <c r="BB99" s="18"/>
      <c r="BC99" s="18">
        <f t="shared" si="32"/>
        <v>0</v>
      </c>
      <c r="BD99" s="18">
        <v>0</v>
      </c>
      <c r="BE99" s="18"/>
      <c r="BF99" s="18">
        <f t="shared" si="33"/>
        <v>0</v>
      </c>
    </row>
    <row r="100" spans="1:58" ht="38.25" x14ac:dyDescent="0.25">
      <c r="A100" s="124" t="s">
        <v>1215</v>
      </c>
      <c r="B100" s="124" t="s">
        <v>1468</v>
      </c>
      <c r="C100" s="18" t="s">
        <v>1637</v>
      </c>
      <c r="D100" s="18" t="s">
        <v>1638</v>
      </c>
      <c r="E100" s="18" t="s">
        <v>1483</v>
      </c>
      <c r="F100" s="18" t="s">
        <v>1111</v>
      </c>
      <c r="G100" s="119">
        <v>43465</v>
      </c>
      <c r="H100" s="18">
        <v>0</v>
      </c>
      <c r="I100" s="18"/>
      <c r="J100" s="18">
        <f t="shared" si="17"/>
        <v>0</v>
      </c>
      <c r="K100" s="18">
        <v>0</v>
      </c>
      <c r="L100" s="18"/>
      <c r="M100" s="18">
        <f t="shared" si="18"/>
        <v>0</v>
      </c>
      <c r="N100" s="18">
        <v>31.843599999999999</v>
      </c>
      <c r="O100" s="18"/>
      <c r="P100" s="18">
        <f t="shared" si="19"/>
        <v>31.843599999999999</v>
      </c>
      <c r="Q100" s="18">
        <v>3</v>
      </c>
      <c r="R100" s="18"/>
      <c r="S100" s="18">
        <f t="shared" si="20"/>
        <v>3</v>
      </c>
      <c r="T100" s="18">
        <v>1</v>
      </c>
      <c r="U100" s="18"/>
      <c r="V100" s="18">
        <f t="shared" si="21"/>
        <v>1</v>
      </c>
      <c r="W100" s="18">
        <v>365.64</v>
      </c>
      <c r="X100" s="18"/>
      <c r="Y100" s="18">
        <f t="shared" si="22"/>
        <v>365.64</v>
      </c>
      <c r="Z100" s="18">
        <v>23.3352</v>
      </c>
      <c r="AA100" s="18"/>
      <c r="AB100" s="18">
        <f t="shared" si="23"/>
        <v>23.3352</v>
      </c>
      <c r="AC100" s="18">
        <v>139.85730000000001</v>
      </c>
      <c r="AD100" s="18"/>
      <c r="AE100" s="18">
        <f t="shared" si="24"/>
        <v>139.85730000000001</v>
      </c>
      <c r="AF100" s="18">
        <v>114522.1</v>
      </c>
      <c r="AG100" s="18"/>
      <c r="AH100" s="18">
        <f t="shared" si="25"/>
        <v>114522.1</v>
      </c>
      <c r="AI100" s="18">
        <v>114522.1</v>
      </c>
      <c r="AJ100" s="18"/>
      <c r="AK100" s="18">
        <f t="shared" si="26"/>
        <v>114522.1</v>
      </c>
      <c r="AL100" s="18">
        <v>116.98</v>
      </c>
      <c r="AM100" s="18"/>
      <c r="AN100" s="18">
        <f t="shared" si="27"/>
        <v>116.98</v>
      </c>
      <c r="AO100" s="18">
        <v>0</v>
      </c>
      <c r="AP100" s="18"/>
      <c r="AQ100" s="18">
        <f t="shared" si="28"/>
        <v>0</v>
      </c>
      <c r="AR100" s="18">
        <v>1.1000000000000001</v>
      </c>
      <c r="AS100" s="18"/>
      <c r="AT100" s="18">
        <f t="shared" si="29"/>
        <v>1.1000000000000001</v>
      </c>
      <c r="AU100" s="18">
        <v>166223.6</v>
      </c>
      <c r="AV100" s="18"/>
      <c r="AW100" s="18">
        <f t="shared" si="30"/>
        <v>166223.6</v>
      </c>
      <c r="AX100" s="18">
        <v>0</v>
      </c>
      <c r="AY100" s="18"/>
      <c r="AZ100" s="18">
        <f t="shared" si="31"/>
        <v>0</v>
      </c>
      <c r="BA100" s="18">
        <v>0</v>
      </c>
      <c r="BB100" s="18"/>
      <c r="BC100" s="18">
        <f t="shared" si="32"/>
        <v>0</v>
      </c>
      <c r="BD100" s="18">
        <v>0</v>
      </c>
      <c r="BE100" s="18"/>
      <c r="BF100" s="18">
        <f t="shared" si="33"/>
        <v>0</v>
      </c>
    </row>
    <row r="101" spans="1:58" ht="38.25" x14ac:dyDescent="0.25">
      <c r="A101" s="124" t="s">
        <v>1216</v>
      </c>
      <c r="B101" s="124" t="s">
        <v>1468</v>
      </c>
      <c r="C101" s="18" t="s">
        <v>1639</v>
      </c>
      <c r="D101" s="18" t="s">
        <v>1640</v>
      </c>
      <c r="E101" s="18" t="s">
        <v>1477</v>
      </c>
      <c r="F101" s="18" t="s">
        <v>1111</v>
      </c>
      <c r="G101" s="119">
        <v>43312</v>
      </c>
      <c r="H101" s="18">
        <v>0</v>
      </c>
      <c r="I101" s="18"/>
      <c r="J101" s="18">
        <f t="shared" si="17"/>
        <v>0</v>
      </c>
      <c r="K101" s="18">
        <v>0</v>
      </c>
      <c r="L101" s="18"/>
      <c r="M101" s="18">
        <f t="shared" si="18"/>
        <v>0</v>
      </c>
      <c r="N101" s="18">
        <v>7.4112</v>
      </c>
      <c r="O101" s="18"/>
      <c r="P101" s="18">
        <f t="shared" si="19"/>
        <v>7.4112</v>
      </c>
      <c r="Q101" s="18">
        <v>4</v>
      </c>
      <c r="R101" s="18"/>
      <c r="S101" s="18">
        <f t="shared" si="20"/>
        <v>4</v>
      </c>
      <c r="T101" s="18">
        <v>1</v>
      </c>
      <c r="U101" s="18"/>
      <c r="V101" s="18">
        <f t="shared" si="21"/>
        <v>1</v>
      </c>
      <c r="W101" s="18">
        <v>2211.23</v>
      </c>
      <c r="X101" s="18"/>
      <c r="Y101" s="18">
        <f t="shared" si="22"/>
        <v>2211.23</v>
      </c>
      <c r="Z101" s="18">
        <v>71.688000000000002</v>
      </c>
      <c r="AA101" s="18"/>
      <c r="AB101" s="18">
        <f t="shared" si="23"/>
        <v>71.688000000000002</v>
      </c>
      <c r="AC101" s="18">
        <v>247.71600000000001</v>
      </c>
      <c r="AD101" s="18"/>
      <c r="AE101" s="18">
        <f t="shared" si="24"/>
        <v>247.71600000000001</v>
      </c>
      <c r="AF101" s="18">
        <v>176028</v>
      </c>
      <c r="AG101" s="18"/>
      <c r="AH101" s="18">
        <f t="shared" si="25"/>
        <v>176028</v>
      </c>
      <c r="AI101" s="18">
        <v>188020.89</v>
      </c>
      <c r="AJ101" s="18"/>
      <c r="AK101" s="18">
        <f t="shared" si="26"/>
        <v>188020.89</v>
      </c>
      <c r="AL101" s="18">
        <v>20888.599999999999</v>
      </c>
      <c r="AM101" s="18"/>
      <c r="AN101" s="18">
        <f t="shared" si="27"/>
        <v>20888.599999999999</v>
      </c>
      <c r="AO101" s="18">
        <v>0</v>
      </c>
      <c r="AP101" s="18"/>
      <c r="AQ101" s="18">
        <f t="shared" si="28"/>
        <v>0</v>
      </c>
      <c r="AR101" s="18">
        <v>18921.5</v>
      </c>
      <c r="AS101" s="18"/>
      <c r="AT101" s="18">
        <f t="shared" si="29"/>
        <v>18921.5</v>
      </c>
      <c r="AU101" s="18">
        <v>103927.81</v>
      </c>
      <c r="AV101" s="18"/>
      <c r="AW101" s="18">
        <f t="shared" si="30"/>
        <v>103927.81</v>
      </c>
      <c r="AX101" s="18">
        <v>0</v>
      </c>
      <c r="AY101" s="18"/>
      <c r="AZ101" s="18">
        <f t="shared" si="31"/>
        <v>0</v>
      </c>
      <c r="BA101" s="18">
        <v>0</v>
      </c>
      <c r="BB101" s="18"/>
      <c r="BC101" s="18">
        <f t="shared" si="32"/>
        <v>0</v>
      </c>
      <c r="BD101" s="18">
        <v>0</v>
      </c>
      <c r="BE101" s="18"/>
      <c r="BF101" s="18">
        <f t="shared" si="33"/>
        <v>0</v>
      </c>
    </row>
    <row r="102" spans="1:58" ht="38.25" x14ac:dyDescent="0.25">
      <c r="A102" s="124" t="s">
        <v>1217</v>
      </c>
      <c r="B102" s="124" t="s">
        <v>1468</v>
      </c>
      <c r="C102" s="18" t="s">
        <v>1587</v>
      </c>
      <c r="D102" s="18" t="s">
        <v>1641</v>
      </c>
      <c r="E102" s="18" t="s">
        <v>1483</v>
      </c>
      <c r="F102" s="18" t="s">
        <v>1111</v>
      </c>
      <c r="G102" s="119">
        <v>43190</v>
      </c>
      <c r="H102" s="18">
        <v>0</v>
      </c>
      <c r="I102" s="18"/>
      <c r="J102" s="18">
        <f t="shared" si="17"/>
        <v>0</v>
      </c>
      <c r="K102" s="18">
        <v>0</v>
      </c>
      <c r="L102" s="18"/>
      <c r="M102" s="18">
        <f t="shared" si="18"/>
        <v>0</v>
      </c>
      <c r="N102" s="18">
        <v>24.174499999999998</v>
      </c>
      <c r="O102" s="18"/>
      <c r="P102" s="18">
        <f t="shared" si="19"/>
        <v>24.174499999999998</v>
      </c>
      <c r="Q102" s="18">
        <v>7</v>
      </c>
      <c r="R102" s="18"/>
      <c r="S102" s="18">
        <f t="shared" si="20"/>
        <v>7</v>
      </c>
      <c r="T102" s="18">
        <v>1</v>
      </c>
      <c r="U102" s="18"/>
      <c r="V102" s="18">
        <f t="shared" si="21"/>
        <v>1</v>
      </c>
      <c r="W102" s="18">
        <v>670.98</v>
      </c>
      <c r="X102" s="18"/>
      <c r="Y102" s="18">
        <f t="shared" si="22"/>
        <v>670.98</v>
      </c>
      <c r="Z102" s="18">
        <v>28.45</v>
      </c>
      <c r="AA102" s="18"/>
      <c r="AB102" s="18">
        <f t="shared" si="23"/>
        <v>28.45</v>
      </c>
      <c r="AC102" s="18">
        <v>180.99</v>
      </c>
      <c r="AD102" s="18"/>
      <c r="AE102" s="18">
        <f t="shared" si="24"/>
        <v>180.99</v>
      </c>
      <c r="AF102" s="18">
        <v>152547.5</v>
      </c>
      <c r="AG102" s="18"/>
      <c r="AH102" s="18">
        <f t="shared" si="25"/>
        <v>152547.5</v>
      </c>
      <c r="AI102" s="18">
        <v>87227.35</v>
      </c>
      <c r="AJ102" s="18"/>
      <c r="AK102" s="18">
        <f t="shared" si="26"/>
        <v>87227.35</v>
      </c>
      <c r="AL102" s="18">
        <v>17.3</v>
      </c>
      <c r="AM102" s="18"/>
      <c r="AN102" s="18">
        <f t="shared" si="27"/>
        <v>17.3</v>
      </c>
      <c r="AO102" s="18">
        <v>3</v>
      </c>
      <c r="AP102" s="18"/>
      <c r="AQ102" s="18">
        <f t="shared" si="28"/>
        <v>3</v>
      </c>
      <c r="AR102" s="18">
        <v>5.2</v>
      </c>
      <c r="AS102" s="18"/>
      <c r="AT102" s="18">
        <f t="shared" si="29"/>
        <v>5.2</v>
      </c>
      <c r="AU102" s="18">
        <v>135466.47</v>
      </c>
      <c r="AV102" s="18"/>
      <c r="AW102" s="18">
        <f t="shared" si="30"/>
        <v>135466.47</v>
      </c>
      <c r="AX102" s="18">
        <v>0</v>
      </c>
      <c r="AY102" s="18"/>
      <c r="AZ102" s="18">
        <f t="shared" si="31"/>
        <v>0</v>
      </c>
      <c r="BA102" s="18">
        <v>0</v>
      </c>
      <c r="BB102" s="18"/>
      <c r="BC102" s="18">
        <f t="shared" si="32"/>
        <v>0</v>
      </c>
      <c r="BD102" s="18">
        <v>0</v>
      </c>
      <c r="BE102" s="18"/>
      <c r="BF102" s="18">
        <f t="shared" si="33"/>
        <v>0</v>
      </c>
    </row>
    <row r="103" spans="1:58" ht="25.5" x14ac:dyDescent="0.25">
      <c r="A103" s="124" t="s">
        <v>1218</v>
      </c>
      <c r="B103" s="124" t="s">
        <v>1468</v>
      </c>
      <c r="C103" s="18" t="s">
        <v>1642</v>
      </c>
      <c r="D103" s="18" t="s">
        <v>1643</v>
      </c>
      <c r="E103" s="18" t="s">
        <v>1483</v>
      </c>
      <c r="F103" s="18" t="s">
        <v>1111</v>
      </c>
      <c r="G103" s="119">
        <v>43131</v>
      </c>
      <c r="H103" s="18">
        <v>0</v>
      </c>
      <c r="I103" s="18"/>
      <c r="J103" s="18">
        <f t="shared" si="17"/>
        <v>0</v>
      </c>
      <c r="K103" s="18">
        <v>1.9379</v>
      </c>
      <c r="L103" s="18"/>
      <c r="M103" s="18">
        <f t="shared" si="18"/>
        <v>1.9379</v>
      </c>
      <c r="N103" s="18">
        <v>23.3</v>
      </c>
      <c r="O103" s="18"/>
      <c r="P103" s="18">
        <f t="shared" si="19"/>
        <v>23.3</v>
      </c>
      <c r="Q103" s="18">
        <v>5</v>
      </c>
      <c r="R103" s="18"/>
      <c r="S103" s="18">
        <f t="shared" si="20"/>
        <v>5</v>
      </c>
      <c r="T103" s="18">
        <v>1</v>
      </c>
      <c r="U103" s="18"/>
      <c r="V103" s="18">
        <f t="shared" si="21"/>
        <v>1</v>
      </c>
      <c r="W103" s="18">
        <v>760.56</v>
      </c>
      <c r="X103" s="18"/>
      <c r="Y103" s="18">
        <f t="shared" si="22"/>
        <v>760.56</v>
      </c>
      <c r="Z103" s="18">
        <v>33.17</v>
      </c>
      <c r="AA103" s="18"/>
      <c r="AB103" s="18">
        <f t="shared" si="23"/>
        <v>33.17</v>
      </c>
      <c r="AC103" s="18">
        <v>167.32</v>
      </c>
      <c r="AD103" s="18"/>
      <c r="AE103" s="18">
        <f t="shared" si="24"/>
        <v>167.32</v>
      </c>
      <c r="AF103" s="18">
        <v>134150</v>
      </c>
      <c r="AG103" s="18"/>
      <c r="AH103" s="18">
        <f t="shared" si="25"/>
        <v>134150</v>
      </c>
      <c r="AI103" s="18">
        <v>102372</v>
      </c>
      <c r="AJ103" s="18"/>
      <c r="AK103" s="18">
        <f t="shared" si="26"/>
        <v>102372</v>
      </c>
      <c r="AL103" s="18">
        <v>93900</v>
      </c>
      <c r="AM103" s="18"/>
      <c r="AN103" s="18">
        <f t="shared" si="27"/>
        <v>93900</v>
      </c>
      <c r="AO103" s="18">
        <v>0</v>
      </c>
      <c r="AP103" s="18"/>
      <c r="AQ103" s="18">
        <f t="shared" si="28"/>
        <v>0</v>
      </c>
      <c r="AR103" s="18">
        <v>0</v>
      </c>
      <c r="AS103" s="18"/>
      <c r="AT103" s="18">
        <f t="shared" si="29"/>
        <v>0</v>
      </c>
      <c r="AU103" s="18">
        <v>147373.72</v>
      </c>
      <c r="AV103" s="18"/>
      <c r="AW103" s="18">
        <f t="shared" si="30"/>
        <v>147373.72</v>
      </c>
      <c r="AX103" s="18">
        <v>0</v>
      </c>
      <c r="AY103" s="18"/>
      <c r="AZ103" s="18">
        <f t="shared" si="31"/>
        <v>0</v>
      </c>
      <c r="BA103" s="18">
        <v>1.9E-3</v>
      </c>
      <c r="BB103" s="18"/>
      <c r="BC103" s="18">
        <f t="shared" si="32"/>
        <v>1.9E-3</v>
      </c>
      <c r="BD103" s="18">
        <v>1.9E-3</v>
      </c>
      <c r="BE103" s="18"/>
      <c r="BF103" s="18">
        <f t="shared" si="33"/>
        <v>1.9E-3</v>
      </c>
    </row>
    <row r="104" spans="1:58" ht="38.25" x14ac:dyDescent="0.25">
      <c r="A104" s="124" t="s">
        <v>1219</v>
      </c>
      <c r="B104" s="124" t="s">
        <v>1468</v>
      </c>
      <c r="C104" s="18" t="s">
        <v>1644</v>
      </c>
      <c r="D104" s="18" t="s">
        <v>1645</v>
      </c>
      <c r="E104" s="18" t="s">
        <v>1483</v>
      </c>
      <c r="F104" s="18" t="s">
        <v>1111</v>
      </c>
      <c r="G104" s="119">
        <v>43830</v>
      </c>
      <c r="H104" s="18">
        <v>0</v>
      </c>
      <c r="I104" s="18"/>
      <c r="J104" s="18">
        <f t="shared" si="17"/>
        <v>0</v>
      </c>
      <c r="K104" s="18">
        <v>0</v>
      </c>
      <c r="L104" s="18"/>
      <c r="M104" s="18">
        <f t="shared" si="18"/>
        <v>0</v>
      </c>
      <c r="N104" s="18">
        <v>276.41399999999999</v>
      </c>
      <c r="O104" s="18"/>
      <c r="P104" s="18">
        <f t="shared" si="19"/>
        <v>0</v>
      </c>
      <c r="Q104" s="18">
        <v>5</v>
      </c>
      <c r="R104" s="18"/>
      <c r="S104" s="18">
        <f t="shared" si="20"/>
        <v>0</v>
      </c>
      <c r="T104" s="18">
        <v>1</v>
      </c>
      <c r="U104" s="18"/>
      <c r="V104" s="18">
        <f t="shared" si="21"/>
        <v>0</v>
      </c>
      <c r="W104" s="18">
        <v>14247.64</v>
      </c>
      <c r="X104" s="18"/>
      <c r="Y104" s="18">
        <f t="shared" si="22"/>
        <v>0</v>
      </c>
      <c r="Z104" s="18">
        <v>1749.56</v>
      </c>
      <c r="AA104" s="18"/>
      <c r="AB104" s="18">
        <f t="shared" si="23"/>
        <v>0</v>
      </c>
      <c r="AC104" s="18">
        <v>2754.26</v>
      </c>
      <c r="AD104" s="18"/>
      <c r="AE104" s="18">
        <f t="shared" si="24"/>
        <v>0</v>
      </c>
      <c r="AF104" s="18">
        <v>1004701.09</v>
      </c>
      <c r="AG104" s="18"/>
      <c r="AH104" s="18">
        <f t="shared" si="25"/>
        <v>0</v>
      </c>
      <c r="AI104" s="18">
        <v>731251.73</v>
      </c>
      <c r="AJ104" s="18"/>
      <c r="AK104" s="18">
        <f t="shared" si="26"/>
        <v>0</v>
      </c>
      <c r="AL104" s="18">
        <v>209.291</v>
      </c>
      <c r="AM104" s="18"/>
      <c r="AN104" s="18">
        <f t="shared" si="27"/>
        <v>0</v>
      </c>
      <c r="AO104" s="18">
        <v>20.39</v>
      </c>
      <c r="AP104" s="18"/>
      <c r="AQ104" s="18">
        <f t="shared" si="28"/>
        <v>0</v>
      </c>
      <c r="AR104" s="18">
        <v>68.058000000000007</v>
      </c>
      <c r="AS104" s="18"/>
      <c r="AT104" s="18">
        <f t="shared" si="29"/>
        <v>0</v>
      </c>
      <c r="AU104" s="18">
        <v>1203173.3700000001</v>
      </c>
      <c r="AV104" s="18"/>
      <c r="AW104" s="18">
        <f t="shared" si="30"/>
        <v>0</v>
      </c>
      <c r="AX104" s="18">
        <v>0</v>
      </c>
      <c r="AY104" s="18"/>
      <c r="AZ104" s="18">
        <f t="shared" si="31"/>
        <v>0</v>
      </c>
      <c r="BA104" s="18">
        <v>0</v>
      </c>
      <c r="BB104" s="18"/>
      <c r="BC104" s="18">
        <f t="shared" si="32"/>
        <v>0</v>
      </c>
      <c r="BD104" s="18">
        <v>0</v>
      </c>
      <c r="BE104" s="18"/>
      <c r="BF104" s="18">
        <f t="shared" si="33"/>
        <v>0</v>
      </c>
    </row>
    <row r="105" spans="1:58" ht="25.5" x14ac:dyDescent="0.25">
      <c r="A105" s="124" t="s">
        <v>1220</v>
      </c>
      <c r="B105" s="124" t="s">
        <v>1468</v>
      </c>
      <c r="C105" s="18" t="s">
        <v>1646</v>
      </c>
      <c r="D105" s="18" t="s">
        <v>1647</v>
      </c>
      <c r="E105" s="18" t="s">
        <v>1471</v>
      </c>
      <c r="F105" s="18" t="s">
        <v>1111</v>
      </c>
      <c r="G105" s="119">
        <v>43434</v>
      </c>
      <c r="H105" s="18">
        <v>0</v>
      </c>
      <c r="I105" s="18"/>
      <c r="J105" s="18">
        <f t="shared" si="17"/>
        <v>0</v>
      </c>
      <c r="K105" s="18">
        <v>7.4</v>
      </c>
      <c r="L105" s="18"/>
      <c r="M105" s="18">
        <f t="shared" si="18"/>
        <v>7.4</v>
      </c>
      <c r="N105" s="18">
        <v>61.753999999999998</v>
      </c>
      <c r="O105" s="18"/>
      <c r="P105" s="18">
        <f t="shared" si="19"/>
        <v>61.753999999999998</v>
      </c>
      <c r="Q105" s="18">
        <v>4</v>
      </c>
      <c r="R105" s="18"/>
      <c r="S105" s="18">
        <f t="shared" si="20"/>
        <v>4</v>
      </c>
      <c r="T105" s="18">
        <v>1</v>
      </c>
      <c r="U105" s="18"/>
      <c r="V105" s="18">
        <f t="shared" si="21"/>
        <v>1</v>
      </c>
      <c r="W105" s="18">
        <v>1377</v>
      </c>
      <c r="X105" s="18"/>
      <c r="Y105" s="18">
        <f t="shared" si="22"/>
        <v>1377</v>
      </c>
      <c r="Z105" s="18">
        <v>52.2</v>
      </c>
      <c r="AA105" s="18"/>
      <c r="AB105" s="18">
        <f t="shared" si="23"/>
        <v>52.2</v>
      </c>
      <c r="AC105" s="18">
        <v>273.10000000000002</v>
      </c>
      <c r="AD105" s="18"/>
      <c r="AE105" s="18">
        <f t="shared" si="24"/>
        <v>273.10000000000002</v>
      </c>
      <c r="AF105" s="18">
        <v>220914.45</v>
      </c>
      <c r="AG105" s="18"/>
      <c r="AH105" s="18">
        <f t="shared" si="25"/>
        <v>220914.45</v>
      </c>
      <c r="AI105" s="18">
        <v>220914.45</v>
      </c>
      <c r="AJ105" s="18"/>
      <c r="AK105" s="18">
        <f t="shared" si="26"/>
        <v>220914.45</v>
      </c>
      <c r="AL105" s="18">
        <v>123</v>
      </c>
      <c r="AM105" s="18"/>
      <c r="AN105" s="18">
        <f t="shared" si="27"/>
        <v>123</v>
      </c>
      <c r="AO105" s="18">
        <v>6</v>
      </c>
      <c r="AP105" s="18"/>
      <c r="AQ105" s="18">
        <f t="shared" si="28"/>
        <v>6</v>
      </c>
      <c r="AR105" s="18">
        <v>31</v>
      </c>
      <c r="AS105" s="18"/>
      <c r="AT105" s="18">
        <f t="shared" si="29"/>
        <v>31</v>
      </c>
      <c r="AU105" s="18">
        <v>349653</v>
      </c>
      <c r="AV105" s="18"/>
      <c r="AW105" s="18">
        <f t="shared" si="30"/>
        <v>349653</v>
      </c>
      <c r="AX105" s="18">
        <v>0</v>
      </c>
      <c r="AY105" s="18"/>
      <c r="AZ105" s="18">
        <f t="shared" si="31"/>
        <v>0</v>
      </c>
      <c r="BA105" s="18">
        <v>7.0000000000000001E-3</v>
      </c>
      <c r="BB105" s="18"/>
      <c r="BC105" s="18">
        <f t="shared" si="32"/>
        <v>7.0000000000000001E-3</v>
      </c>
      <c r="BD105" s="18">
        <v>7.0000000000000001E-3</v>
      </c>
      <c r="BE105" s="18"/>
      <c r="BF105" s="18">
        <f t="shared" si="33"/>
        <v>7.0000000000000001E-3</v>
      </c>
    </row>
    <row r="106" spans="1:58" ht="38.25" x14ac:dyDescent="0.25">
      <c r="A106" s="124" t="s">
        <v>1221</v>
      </c>
      <c r="B106" s="124" t="s">
        <v>1468</v>
      </c>
      <c r="C106" s="18" t="s">
        <v>1648</v>
      </c>
      <c r="D106" s="18" t="s">
        <v>1649</v>
      </c>
      <c r="E106" s="18" t="s">
        <v>1474</v>
      </c>
      <c r="F106" s="18" t="s">
        <v>1111</v>
      </c>
      <c r="G106" s="119">
        <v>43830</v>
      </c>
      <c r="H106" s="18">
        <v>0</v>
      </c>
      <c r="I106" s="18"/>
      <c r="J106" s="18">
        <f t="shared" si="17"/>
        <v>0</v>
      </c>
      <c r="K106" s="18">
        <v>6.79</v>
      </c>
      <c r="L106" s="18"/>
      <c r="M106" s="18">
        <f t="shared" si="18"/>
        <v>0</v>
      </c>
      <c r="N106" s="18">
        <v>51.243000000000002</v>
      </c>
      <c r="O106" s="18"/>
      <c r="P106" s="18">
        <f t="shared" si="19"/>
        <v>0</v>
      </c>
      <c r="Q106" s="18">
        <v>7</v>
      </c>
      <c r="R106" s="18"/>
      <c r="S106" s="18">
        <f t="shared" si="20"/>
        <v>0</v>
      </c>
      <c r="T106" s="18">
        <v>1</v>
      </c>
      <c r="U106" s="18"/>
      <c r="V106" s="18">
        <f t="shared" si="21"/>
        <v>0</v>
      </c>
      <c r="W106" s="18">
        <v>1168.21</v>
      </c>
      <c r="X106" s="18"/>
      <c r="Y106" s="18">
        <f t="shared" si="22"/>
        <v>0</v>
      </c>
      <c r="Z106" s="18">
        <v>72.790000000000006</v>
      </c>
      <c r="AA106" s="18"/>
      <c r="AB106" s="18">
        <f t="shared" si="23"/>
        <v>0</v>
      </c>
      <c r="AC106" s="18">
        <v>343.14</v>
      </c>
      <c r="AD106" s="18"/>
      <c r="AE106" s="18">
        <f t="shared" si="24"/>
        <v>0</v>
      </c>
      <c r="AF106" s="18">
        <v>270350</v>
      </c>
      <c r="AG106" s="18"/>
      <c r="AH106" s="18">
        <f t="shared" si="25"/>
        <v>0</v>
      </c>
      <c r="AI106" s="18">
        <v>270350</v>
      </c>
      <c r="AJ106" s="18"/>
      <c r="AK106" s="18">
        <f t="shared" si="26"/>
        <v>0</v>
      </c>
      <c r="AL106" s="18">
        <v>42.042000000000002</v>
      </c>
      <c r="AM106" s="18"/>
      <c r="AN106" s="18">
        <f t="shared" si="27"/>
        <v>0</v>
      </c>
      <c r="AO106" s="18">
        <v>2.1560000000000001</v>
      </c>
      <c r="AP106" s="18"/>
      <c r="AQ106" s="18">
        <f t="shared" si="28"/>
        <v>0</v>
      </c>
      <c r="AR106" s="18">
        <v>0.25800000000000001</v>
      </c>
      <c r="AS106" s="18"/>
      <c r="AT106" s="18">
        <f t="shared" si="29"/>
        <v>0</v>
      </c>
      <c r="AU106" s="18">
        <v>387400</v>
      </c>
      <c r="AV106" s="18"/>
      <c r="AW106" s="18">
        <f t="shared" si="30"/>
        <v>0</v>
      </c>
      <c r="AX106" s="18">
        <v>0</v>
      </c>
      <c r="AY106" s="18"/>
      <c r="AZ106" s="18">
        <f t="shared" si="31"/>
        <v>0</v>
      </c>
      <c r="BA106" s="18">
        <v>0</v>
      </c>
      <c r="BB106" s="18"/>
      <c r="BC106" s="18">
        <f t="shared" si="32"/>
        <v>0</v>
      </c>
      <c r="BD106" s="18">
        <v>0</v>
      </c>
      <c r="BE106" s="18"/>
      <c r="BF106" s="18">
        <f t="shared" si="33"/>
        <v>0</v>
      </c>
    </row>
    <row r="107" spans="1:58" ht="38.25" x14ac:dyDescent="0.25">
      <c r="A107" s="124" t="s">
        <v>1222</v>
      </c>
      <c r="B107" s="124" t="s">
        <v>1468</v>
      </c>
      <c r="C107" s="18" t="s">
        <v>1650</v>
      </c>
      <c r="D107" s="18" t="s">
        <v>1651</v>
      </c>
      <c r="E107" s="18" t="s">
        <v>1483</v>
      </c>
      <c r="F107" s="18" t="s">
        <v>1111</v>
      </c>
      <c r="G107" s="119">
        <v>43131</v>
      </c>
      <c r="H107" s="18">
        <v>0</v>
      </c>
      <c r="I107" s="18"/>
      <c r="J107" s="18">
        <f t="shared" si="17"/>
        <v>0</v>
      </c>
      <c r="K107" s="18">
        <v>0</v>
      </c>
      <c r="L107" s="18"/>
      <c r="M107" s="18">
        <f t="shared" si="18"/>
        <v>0</v>
      </c>
      <c r="N107" s="18">
        <v>11.24</v>
      </c>
      <c r="O107" s="18"/>
      <c r="P107" s="18">
        <f t="shared" si="19"/>
        <v>11.24</v>
      </c>
      <c r="Q107" s="18">
        <v>4</v>
      </c>
      <c r="R107" s="18"/>
      <c r="S107" s="18">
        <f t="shared" si="20"/>
        <v>4</v>
      </c>
      <c r="T107" s="18">
        <v>1</v>
      </c>
      <c r="U107" s="18"/>
      <c r="V107" s="18">
        <f t="shared" si="21"/>
        <v>1</v>
      </c>
      <c r="W107" s="18">
        <v>895.12</v>
      </c>
      <c r="X107" s="18"/>
      <c r="Y107" s="18">
        <f t="shared" si="22"/>
        <v>895.12</v>
      </c>
      <c r="Z107" s="18">
        <v>25.69</v>
      </c>
      <c r="AA107" s="18"/>
      <c r="AB107" s="18">
        <f t="shared" si="23"/>
        <v>25.69</v>
      </c>
      <c r="AC107" s="18">
        <v>70.709999999999994</v>
      </c>
      <c r="AD107" s="18"/>
      <c r="AE107" s="18">
        <f t="shared" si="24"/>
        <v>70.709999999999994</v>
      </c>
      <c r="AF107" s="18">
        <v>45021</v>
      </c>
      <c r="AG107" s="18"/>
      <c r="AH107" s="18">
        <f t="shared" si="25"/>
        <v>45021</v>
      </c>
      <c r="AI107" s="18">
        <v>97491</v>
      </c>
      <c r="AJ107" s="18"/>
      <c r="AK107" s="18">
        <f t="shared" si="26"/>
        <v>97491</v>
      </c>
      <c r="AL107" s="18">
        <v>26.548999999999999</v>
      </c>
      <c r="AM107" s="18"/>
      <c r="AN107" s="18">
        <f t="shared" si="27"/>
        <v>26.548999999999999</v>
      </c>
      <c r="AO107" s="18">
        <v>4.3719999999999999</v>
      </c>
      <c r="AP107" s="18"/>
      <c r="AQ107" s="18">
        <f t="shared" si="28"/>
        <v>4.3719999999999999</v>
      </c>
      <c r="AR107" s="18">
        <v>20.981000000000002</v>
      </c>
      <c r="AS107" s="18"/>
      <c r="AT107" s="18">
        <f t="shared" si="29"/>
        <v>20.981000000000002</v>
      </c>
      <c r="AU107" s="18">
        <v>210813</v>
      </c>
      <c r="AV107" s="18"/>
      <c r="AW107" s="18">
        <f t="shared" si="30"/>
        <v>210813</v>
      </c>
      <c r="AX107" s="18">
        <v>0</v>
      </c>
      <c r="AY107" s="18"/>
      <c r="AZ107" s="18">
        <f t="shared" si="31"/>
        <v>0</v>
      </c>
      <c r="BA107" s="18">
        <v>0</v>
      </c>
      <c r="BB107" s="18"/>
      <c r="BC107" s="18">
        <f t="shared" si="32"/>
        <v>0</v>
      </c>
      <c r="BD107" s="18">
        <v>0</v>
      </c>
      <c r="BE107" s="18"/>
      <c r="BF107" s="18">
        <f t="shared" si="33"/>
        <v>0</v>
      </c>
    </row>
    <row r="108" spans="1:58" ht="38.25" x14ac:dyDescent="0.25">
      <c r="A108" s="124" t="s">
        <v>1223</v>
      </c>
      <c r="B108" s="124" t="s">
        <v>1468</v>
      </c>
      <c r="C108" s="18" t="s">
        <v>1652</v>
      </c>
      <c r="D108" s="18" t="s">
        <v>1653</v>
      </c>
      <c r="E108" s="18" t="s">
        <v>1471</v>
      </c>
      <c r="F108" s="18" t="s">
        <v>1111</v>
      </c>
      <c r="G108" s="119">
        <v>43465</v>
      </c>
      <c r="H108" s="18">
        <v>11.15</v>
      </c>
      <c r="I108" s="18"/>
      <c r="J108" s="18">
        <f t="shared" si="17"/>
        <v>11.15</v>
      </c>
      <c r="K108" s="18">
        <v>0</v>
      </c>
      <c r="L108" s="18"/>
      <c r="M108" s="18">
        <f t="shared" si="18"/>
        <v>0</v>
      </c>
      <c r="N108" s="18">
        <v>48.793999999999997</v>
      </c>
      <c r="O108" s="18"/>
      <c r="P108" s="18">
        <f t="shared" si="19"/>
        <v>48.793999999999997</v>
      </c>
      <c r="Q108" s="18">
        <v>5</v>
      </c>
      <c r="R108" s="18"/>
      <c r="S108" s="18">
        <f t="shared" si="20"/>
        <v>5</v>
      </c>
      <c r="T108" s="18">
        <v>1</v>
      </c>
      <c r="U108" s="18"/>
      <c r="V108" s="18">
        <f t="shared" si="21"/>
        <v>1</v>
      </c>
      <c r="W108" s="18">
        <v>2444</v>
      </c>
      <c r="X108" s="18"/>
      <c r="Y108" s="18">
        <f t="shared" si="22"/>
        <v>2444</v>
      </c>
      <c r="Z108" s="18">
        <v>103.08</v>
      </c>
      <c r="AA108" s="18"/>
      <c r="AB108" s="18">
        <f t="shared" si="23"/>
        <v>103.08</v>
      </c>
      <c r="AC108" s="18">
        <v>278.40100000000001</v>
      </c>
      <c r="AD108" s="18"/>
      <c r="AE108" s="18">
        <f t="shared" si="24"/>
        <v>278.40100000000001</v>
      </c>
      <c r="AF108" s="18">
        <v>175321</v>
      </c>
      <c r="AG108" s="18"/>
      <c r="AH108" s="18">
        <f t="shared" si="25"/>
        <v>175321</v>
      </c>
      <c r="AI108" s="18">
        <v>283504</v>
      </c>
      <c r="AJ108" s="18"/>
      <c r="AK108" s="18">
        <f t="shared" si="26"/>
        <v>283504</v>
      </c>
      <c r="AL108" s="18">
        <v>51.9</v>
      </c>
      <c r="AM108" s="18"/>
      <c r="AN108" s="18">
        <f t="shared" si="27"/>
        <v>51.9</v>
      </c>
      <c r="AO108" s="18">
        <v>4.5</v>
      </c>
      <c r="AP108" s="18"/>
      <c r="AQ108" s="18">
        <f t="shared" si="28"/>
        <v>4.5</v>
      </c>
      <c r="AR108" s="18">
        <v>19.399999999999999</v>
      </c>
      <c r="AS108" s="18"/>
      <c r="AT108" s="18">
        <f t="shared" si="29"/>
        <v>19.399999999999999</v>
      </c>
      <c r="AU108" s="18">
        <v>435032</v>
      </c>
      <c r="AV108" s="18"/>
      <c r="AW108" s="18">
        <f t="shared" si="30"/>
        <v>435032</v>
      </c>
      <c r="AX108" s="18">
        <v>9.9000000000000008E-3</v>
      </c>
      <c r="AY108" s="18"/>
      <c r="AZ108" s="18">
        <f t="shared" si="31"/>
        <v>9.9000000000000008E-3</v>
      </c>
      <c r="BA108" s="18">
        <v>0</v>
      </c>
      <c r="BB108" s="18"/>
      <c r="BC108" s="18">
        <f t="shared" si="32"/>
        <v>0</v>
      </c>
      <c r="BD108" s="18">
        <v>0</v>
      </c>
      <c r="BE108" s="18"/>
      <c r="BF108" s="18">
        <f t="shared" si="33"/>
        <v>0</v>
      </c>
    </row>
    <row r="109" spans="1:58" ht="25.5" x14ac:dyDescent="0.25">
      <c r="A109" s="124" t="s">
        <v>1224</v>
      </c>
      <c r="B109" s="124" t="s">
        <v>1468</v>
      </c>
      <c r="C109" s="18" t="s">
        <v>1654</v>
      </c>
      <c r="D109" s="18" t="s">
        <v>1655</v>
      </c>
      <c r="E109" s="18" t="s">
        <v>1503</v>
      </c>
      <c r="F109" s="18" t="s">
        <v>1111</v>
      </c>
      <c r="G109" s="119">
        <v>43069</v>
      </c>
      <c r="H109" s="18">
        <v>0</v>
      </c>
      <c r="I109" s="18"/>
      <c r="J109" s="18">
        <f t="shared" si="17"/>
        <v>0</v>
      </c>
      <c r="K109" s="18">
        <v>42.6</v>
      </c>
      <c r="L109" s="18"/>
      <c r="M109" s="18">
        <f t="shared" si="18"/>
        <v>42.6</v>
      </c>
      <c r="N109" s="18">
        <v>14.81</v>
      </c>
      <c r="O109" s="18"/>
      <c r="P109" s="18">
        <f t="shared" si="19"/>
        <v>14.81</v>
      </c>
      <c r="Q109" s="18">
        <v>2</v>
      </c>
      <c r="R109" s="18"/>
      <c r="S109" s="18">
        <f t="shared" si="20"/>
        <v>2</v>
      </c>
      <c r="T109" s="18">
        <v>1</v>
      </c>
      <c r="U109" s="18"/>
      <c r="V109" s="18">
        <f t="shared" si="21"/>
        <v>1</v>
      </c>
      <c r="W109" s="18">
        <v>1111.44</v>
      </c>
      <c r="X109" s="18"/>
      <c r="Y109" s="18">
        <f t="shared" si="22"/>
        <v>1111.44</v>
      </c>
      <c r="Z109" s="18">
        <v>76.8</v>
      </c>
      <c r="AA109" s="18"/>
      <c r="AB109" s="18">
        <f t="shared" si="23"/>
        <v>76.8</v>
      </c>
      <c r="AC109" s="18">
        <v>192.19</v>
      </c>
      <c r="AD109" s="18"/>
      <c r="AE109" s="18">
        <f t="shared" si="24"/>
        <v>192.19</v>
      </c>
      <c r="AF109" s="18">
        <v>115390</v>
      </c>
      <c r="AG109" s="18"/>
      <c r="AH109" s="18">
        <f t="shared" si="25"/>
        <v>115390</v>
      </c>
      <c r="AI109" s="18">
        <v>115390</v>
      </c>
      <c r="AJ109" s="18"/>
      <c r="AK109" s="18">
        <f t="shared" si="26"/>
        <v>115390</v>
      </c>
      <c r="AL109" s="18">
        <v>134</v>
      </c>
      <c r="AM109" s="18"/>
      <c r="AN109" s="18">
        <f t="shared" si="27"/>
        <v>134</v>
      </c>
      <c r="AO109" s="18">
        <v>716</v>
      </c>
      <c r="AP109" s="18"/>
      <c r="AQ109" s="18">
        <f t="shared" si="28"/>
        <v>716</v>
      </c>
      <c r="AR109" s="18">
        <v>220</v>
      </c>
      <c r="AS109" s="18"/>
      <c r="AT109" s="18">
        <f t="shared" si="29"/>
        <v>220</v>
      </c>
      <c r="AU109" s="18">
        <v>115390</v>
      </c>
      <c r="AV109" s="18"/>
      <c r="AW109" s="18">
        <f t="shared" si="30"/>
        <v>115390</v>
      </c>
      <c r="AX109" s="18">
        <v>0</v>
      </c>
      <c r="AY109" s="18"/>
      <c r="AZ109" s="18">
        <f t="shared" si="31"/>
        <v>0</v>
      </c>
      <c r="BA109" s="18">
        <v>8.6400000000000005E-2</v>
      </c>
      <c r="BB109" s="18"/>
      <c r="BC109" s="18">
        <f t="shared" si="32"/>
        <v>8.6400000000000005E-2</v>
      </c>
      <c r="BD109" s="18">
        <v>8.6400000000000005E-2</v>
      </c>
      <c r="BE109" s="18"/>
      <c r="BF109" s="18">
        <f t="shared" si="33"/>
        <v>8.6400000000000005E-2</v>
      </c>
    </row>
    <row r="110" spans="1:58" ht="25.5" x14ac:dyDescent="0.25">
      <c r="A110" s="124" t="s">
        <v>1225</v>
      </c>
      <c r="B110" s="124" t="s">
        <v>1468</v>
      </c>
      <c r="C110" s="18" t="s">
        <v>1656</v>
      </c>
      <c r="D110" s="18" t="s">
        <v>1657</v>
      </c>
      <c r="E110" s="18" t="s">
        <v>1474</v>
      </c>
      <c r="F110" s="18" t="s">
        <v>1111</v>
      </c>
      <c r="G110" s="119">
        <v>43373</v>
      </c>
      <c r="H110" s="18">
        <v>0</v>
      </c>
      <c r="I110" s="18"/>
      <c r="J110" s="18">
        <f t="shared" si="17"/>
        <v>0</v>
      </c>
      <c r="K110" s="18">
        <v>0</v>
      </c>
      <c r="L110" s="18"/>
      <c r="M110" s="18">
        <f t="shared" si="18"/>
        <v>0</v>
      </c>
      <c r="N110" s="18">
        <v>60.4</v>
      </c>
      <c r="O110" s="18"/>
      <c r="P110" s="18">
        <f t="shared" si="19"/>
        <v>60.4</v>
      </c>
      <c r="Q110" s="18">
        <v>5</v>
      </c>
      <c r="R110" s="18"/>
      <c r="S110" s="18">
        <f t="shared" si="20"/>
        <v>5</v>
      </c>
      <c r="T110" s="18">
        <v>1</v>
      </c>
      <c r="U110" s="18"/>
      <c r="V110" s="18">
        <f t="shared" si="21"/>
        <v>1</v>
      </c>
      <c r="W110" s="18">
        <v>0</v>
      </c>
      <c r="X110" s="18"/>
      <c r="Y110" s="18">
        <f t="shared" si="22"/>
        <v>0</v>
      </c>
      <c r="Z110" s="18">
        <v>61584.4</v>
      </c>
      <c r="AA110" s="18"/>
      <c r="AB110" s="18">
        <f t="shared" si="23"/>
        <v>61584.4</v>
      </c>
      <c r="AC110" s="18">
        <v>228611.95</v>
      </c>
      <c r="AD110" s="18"/>
      <c r="AE110" s="18">
        <f t="shared" si="24"/>
        <v>228611.95</v>
      </c>
      <c r="AF110" s="18">
        <v>167027.54</v>
      </c>
      <c r="AG110" s="18"/>
      <c r="AH110" s="18">
        <f t="shared" si="25"/>
        <v>167027.54</v>
      </c>
      <c r="AI110" s="18">
        <v>167027.54</v>
      </c>
      <c r="AJ110" s="18"/>
      <c r="AK110" s="18">
        <f t="shared" si="26"/>
        <v>167027.54</v>
      </c>
      <c r="AL110" s="18">
        <v>170.6696</v>
      </c>
      <c r="AM110" s="18"/>
      <c r="AN110" s="18">
        <f t="shared" si="27"/>
        <v>170.6696</v>
      </c>
      <c r="AO110" s="18">
        <v>14.1656</v>
      </c>
      <c r="AP110" s="18"/>
      <c r="AQ110" s="18">
        <f t="shared" si="28"/>
        <v>14.1656</v>
      </c>
      <c r="AR110" s="18">
        <v>39.424700000000001</v>
      </c>
      <c r="AS110" s="18"/>
      <c r="AT110" s="18">
        <f t="shared" si="29"/>
        <v>39.424700000000001</v>
      </c>
      <c r="AU110" s="18">
        <v>167027.54</v>
      </c>
      <c r="AV110" s="18"/>
      <c r="AW110" s="18">
        <f t="shared" si="30"/>
        <v>167027.54</v>
      </c>
      <c r="AX110" s="18">
        <v>0</v>
      </c>
      <c r="AY110" s="18"/>
      <c r="AZ110" s="18">
        <f t="shared" si="31"/>
        <v>0</v>
      </c>
      <c r="BA110" s="18">
        <v>0</v>
      </c>
      <c r="BB110" s="18"/>
      <c r="BC110" s="18">
        <f t="shared" si="32"/>
        <v>0</v>
      </c>
      <c r="BD110" s="18">
        <v>0</v>
      </c>
      <c r="BE110" s="18"/>
      <c r="BF110" s="18">
        <f t="shared" si="33"/>
        <v>0</v>
      </c>
    </row>
    <row r="111" spans="1:58" ht="38.25" x14ac:dyDescent="0.25">
      <c r="A111" s="124" t="s">
        <v>1226</v>
      </c>
      <c r="B111" s="124" t="s">
        <v>1468</v>
      </c>
      <c r="C111" s="18" t="s">
        <v>1484</v>
      </c>
      <c r="D111" s="18" t="s">
        <v>1658</v>
      </c>
      <c r="E111" s="18" t="s">
        <v>1477</v>
      </c>
      <c r="F111" s="18" t="s">
        <v>1111</v>
      </c>
      <c r="G111" s="119">
        <v>43190</v>
      </c>
      <c r="H111" s="18">
        <v>0</v>
      </c>
      <c r="I111" s="18"/>
      <c r="J111" s="18">
        <f t="shared" si="17"/>
        <v>0</v>
      </c>
      <c r="K111" s="18">
        <v>0</v>
      </c>
      <c r="L111" s="18"/>
      <c r="M111" s="18">
        <f t="shared" si="18"/>
        <v>0</v>
      </c>
      <c r="N111" s="18">
        <v>114.76</v>
      </c>
      <c r="O111" s="18"/>
      <c r="P111" s="18">
        <f t="shared" si="19"/>
        <v>114.76</v>
      </c>
      <c r="Q111" s="18">
        <v>3</v>
      </c>
      <c r="R111" s="18"/>
      <c r="S111" s="18">
        <f t="shared" si="20"/>
        <v>3</v>
      </c>
      <c r="T111" s="18">
        <v>1</v>
      </c>
      <c r="U111" s="18"/>
      <c r="V111" s="18">
        <f t="shared" si="21"/>
        <v>1</v>
      </c>
      <c r="W111" s="18">
        <v>1818</v>
      </c>
      <c r="X111" s="18"/>
      <c r="Y111" s="18">
        <f t="shared" si="22"/>
        <v>1818</v>
      </c>
      <c r="Z111" s="18">
        <v>56.8</v>
      </c>
      <c r="AA111" s="18"/>
      <c r="AB111" s="18">
        <f t="shared" si="23"/>
        <v>56.8</v>
      </c>
      <c r="AC111" s="18">
        <v>348.7</v>
      </c>
      <c r="AD111" s="18"/>
      <c r="AE111" s="18">
        <f t="shared" si="24"/>
        <v>348.7</v>
      </c>
      <c r="AF111" s="18">
        <v>291900</v>
      </c>
      <c r="AG111" s="18"/>
      <c r="AH111" s="18">
        <f t="shared" si="25"/>
        <v>291900</v>
      </c>
      <c r="AI111" s="18">
        <v>291892.90000000002</v>
      </c>
      <c r="AJ111" s="18"/>
      <c r="AK111" s="18">
        <f t="shared" si="26"/>
        <v>291892.90000000002</v>
      </c>
      <c r="AL111" s="18">
        <v>326</v>
      </c>
      <c r="AM111" s="18"/>
      <c r="AN111" s="18">
        <f t="shared" si="27"/>
        <v>326</v>
      </c>
      <c r="AO111" s="18">
        <v>25</v>
      </c>
      <c r="AP111" s="18"/>
      <c r="AQ111" s="18">
        <f t="shared" si="28"/>
        <v>25</v>
      </c>
      <c r="AR111" s="18">
        <v>273</v>
      </c>
      <c r="AS111" s="18"/>
      <c r="AT111" s="18">
        <f t="shared" si="29"/>
        <v>273</v>
      </c>
      <c r="AU111" s="18">
        <v>537413</v>
      </c>
      <c r="AV111" s="18"/>
      <c r="AW111" s="18">
        <f t="shared" si="30"/>
        <v>537413</v>
      </c>
      <c r="AX111" s="18">
        <v>0</v>
      </c>
      <c r="AY111" s="18"/>
      <c r="AZ111" s="18">
        <f t="shared" si="31"/>
        <v>0</v>
      </c>
      <c r="BA111" s="18">
        <v>0</v>
      </c>
      <c r="BB111" s="18"/>
      <c r="BC111" s="18">
        <f t="shared" si="32"/>
        <v>0</v>
      </c>
      <c r="BD111" s="18">
        <v>0</v>
      </c>
      <c r="BE111" s="18"/>
      <c r="BF111" s="18">
        <f t="shared" si="33"/>
        <v>0</v>
      </c>
    </row>
    <row r="112" spans="1:58" ht="38.25" x14ac:dyDescent="0.25">
      <c r="A112" s="124" t="s">
        <v>1227</v>
      </c>
      <c r="B112" s="124" t="s">
        <v>1468</v>
      </c>
      <c r="C112" s="18" t="s">
        <v>1484</v>
      </c>
      <c r="D112" s="18" t="s">
        <v>1659</v>
      </c>
      <c r="E112" s="18" t="s">
        <v>1477</v>
      </c>
      <c r="F112" s="18" t="s">
        <v>1111</v>
      </c>
      <c r="G112" s="119">
        <v>43190</v>
      </c>
      <c r="H112" s="18">
        <v>0</v>
      </c>
      <c r="I112" s="18"/>
      <c r="J112" s="18">
        <f t="shared" si="17"/>
        <v>0</v>
      </c>
      <c r="K112" s="18">
        <v>3.3239999999999998</v>
      </c>
      <c r="L112" s="18"/>
      <c r="M112" s="18">
        <f t="shared" si="18"/>
        <v>3.3239999999999998</v>
      </c>
      <c r="N112" s="18">
        <v>83.424000000000007</v>
      </c>
      <c r="O112" s="18"/>
      <c r="P112" s="18">
        <f t="shared" si="19"/>
        <v>83.424000000000007</v>
      </c>
      <c r="Q112" s="18">
        <v>3</v>
      </c>
      <c r="R112" s="18"/>
      <c r="S112" s="18">
        <f t="shared" si="20"/>
        <v>3</v>
      </c>
      <c r="T112" s="18">
        <v>1</v>
      </c>
      <c r="U112" s="18"/>
      <c r="V112" s="18">
        <f t="shared" si="21"/>
        <v>1</v>
      </c>
      <c r="W112" s="18">
        <v>1682.28</v>
      </c>
      <c r="X112" s="18"/>
      <c r="Y112" s="18">
        <f t="shared" si="22"/>
        <v>1682.28</v>
      </c>
      <c r="Z112" s="18">
        <v>46.14</v>
      </c>
      <c r="AA112" s="18"/>
      <c r="AB112" s="18">
        <f t="shared" si="23"/>
        <v>46.14</v>
      </c>
      <c r="AC112" s="18">
        <v>253.71</v>
      </c>
      <c r="AD112" s="18"/>
      <c r="AE112" s="18">
        <f t="shared" si="24"/>
        <v>253.71</v>
      </c>
      <c r="AF112" s="18">
        <v>207560</v>
      </c>
      <c r="AG112" s="18"/>
      <c r="AH112" s="18">
        <f t="shared" si="25"/>
        <v>207560</v>
      </c>
      <c r="AI112" s="18">
        <v>207562.8</v>
      </c>
      <c r="AJ112" s="18"/>
      <c r="AK112" s="18">
        <f t="shared" si="26"/>
        <v>207562.8</v>
      </c>
      <c r="AL112" s="18">
        <v>235</v>
      </c>
      <c r="AM112" s="18"/>
      <c r="AN112" s="18">
        <f t="shared" si="27"/>
        <v>235</v>
      </c>
      <c r="AO112" s="18">
        <v>16</v>
      </c>
      <c r="AP112" s="18"/>
      <c r="AQ112" s="18">
        <f t="shared" si="28"/>
        <v>16</v>
      </c>
      <c r="AR112" s="18">
        <v>195</v>
      </c>
      <c r="AS112" s="18"/>
      <c r="AT112" s="18">
        <f t="shared" si="29"/>
        <v>195</v>
      </c>
      <c r="AU112" s="18">
        <v>364052</v>
      </c>
      <c r="AV112" s="18"/>
      <c r="AW112" s="18">
        <f t="shared" si="30"/>
        <v>364052</v>
      </c>
      <c r="AX112" s="18">
        <v>0</v>
      </c>
      <c r="AY112" s="18"/>
      <c r="AZ112" s="18">
        <f t="shared" si="31"/>
        <v>0</v>
      </c>
      <c r="BA112" s="18">
        <v>4.1999999999999997E-3</v>
      </c>
      <c r="BB112" s="18"/>
      <c r="BC112" s="18">
        <f t="shared" si="32"/>
        <v>4.1999999999999997E-3</v>
      </c>
      <c r="BD112" s="18">
        <v>4.1999999999999997E-3</v>
      </c>
      <c r="BE112" s="18"/>
      <c r="BF112" s="18">
        <f t="shared" si="33"/>
        <v>4.1999999999999997E-3</v>
      </c>
    </row>
    <row r="113" spans="1:58" ht="38.25" x14ac:dyDescent="0.25">
      <c r="A113" s="124" t="s">
        <v>1228</v>
      </c>
      <c r="B113" s="124" t="s">
        <v>1468</v>
      </c>
      <c r="C113" s="18" t="s">
        <v>1484</v>
      </c>
      <c r="D113" s="18" t="s">
        <v>1660</v>
      </c>
      <c r="E113" s="18" t="s">
        <v>1477</v>
      </c>
      <c r="F113" s="18" t="s">
        <v>1111</v>
      </c>
      <c r="G113" s="119">
        <v>43251</v>
      </c>
      <c r="H113" s="18">
        <v>0</v>
      </c>
      <c r="I113" s="18"/>
      <c r="J113" s="18">
        <f t="shared" si="17"/>
        <v>0</v>
      </c>
      <c r="K113" s="18">
        <v>3.6760000000000002</v>
      </c>
      <c r="L113" s="18"/>
      <c r="M113" s="18">
        <f t="shared" si="18"/>
        <v>3.6760000000000002</v>
      </c>
      <c r="N113" s="18">
        <v>27.76</v>
      </c>
      <c r="O113" s="18"/>
      <c r="P113" s="18">
        <f t="shared" si="19"/>
        <v>27.76</v>
      </c>
      <c r="Q113" s="18">
        <v>3</v>
      </c>
      <c r="R113" s="18"/>
      <c r="S113" s="18">
        <f t="shared" si="20"/>
        <v>3</v>
      </c>
      <c r="T113" s="18">
        <v>1</v>
      </c>
      <c r="U113" s="18"/>
      <c r="V113" s="18">
        <f t="shared" si="21"/>
        <v>1</v>
      </c>
      <c r="W113" s="18">
        <v>2091</v>
      </c>
      <c r="X113" s="18"/>
      <c r="Y113" s="18">
        <f t="shared" si="22"/>
        <v>2091</v>
      </c>
      <c r="Z113" s="18">
        <v>54.3</v>
      </c>
      <c r="AA113" s="18"/>
      <c r="AB113" s="18">
        <f t="shared" si="23"/>
        <v>54.3</v>
      </c>
      <c r="AC113" s="18">
        <v>126.3</v>
      </c>
      <c r="AD113" s="18"/>
      <c r="AE113" s="18">
        <f t="shared" si="24"/>
        <v>126.3</v>
      </c>
      <c r="AF113" s="18">
        <v>72000</v>
      </c>
      <c r="AG113" s="18"/>
      <c r="AH113" s="18">
        <f t="shared" si="25"/>
        <v>72000</v>
      </c>
      <c r="AI113" s="18">
        <v>71995.399999999994</v>
      </c>
      <c r="AJ113" s="18"/>
      <c r="AK113" s="18">
        <f t="shared" si="26"/>
        <v>71995.399999999994</v>
      </c>
      <c r="AL113" s="18">
        <v>80</v>
      </c>
      <c r="AM113" s="18"/>
      <c r="AN113" s="18">
        <f t="shared" si="27"/>
        <v>80</v>
      </c>
      <c r="AO113" s="18">
        <v>7</v>
      </c>
      <c r="AP113" s="18"/>
      <c r="AQ113" s="18">
        <f t="shared" si="28"/>
        <v>7</v>
      </c>
      <c r="AR113" s="18">
        <v>67</v>
      </c>
      <c r="AS113" s="18"/>
      <c r="AT113" s="18">
        <f t="shared" si="29"/>
        <v>67</v>
      </c>
      <c r="AU113" s="18">
        <v>136611</v>
      </c>
      <c r="AV113" s="18"/>
      <c r="AW113" s="18">
        <f t="shared" si="30"/>
        <v>136611</v>
      </c>
      <c r="AX113" s="18">
        <v>0</v>
      </c>
      <c r="AY113" s="18"/>
      <c r="AZ113" s="18">
        <f t="shared" si="31"/>
        <v>0</v>
      </c>
      <c r="BA113" s="18">
        <v>4.1999999999999997E-3</v>
      </c>
      <c r="BB113" s="18"/>
      <c r="BC113" s="18">
        <f t="shared" si="32"/>
        <v>4.1999999999999997E-3</v>
      </c>
      <c r="BD113" s="18">
        <v>4.1999999999999997E-3</v>
      </c>
      <c r="BE113" s="18"/>
      <c r="BF113" s="18">
        <f t="shared" si="33"/>
        <v>4.1999999999999997E-3</v>
      </c>
    </row>
    <row r="114" spans="1:58" ht="38.25" x14ac:dyDescent="0.25">
      <c r="A114" s="124" t="s">
        <v>1229</v>
      </c>
      <c r="B114" s="124" t="s">
        <v>1468</v>
      </c>
      <c r="C114" s="18" t="s">
        <v>1661</v>
      </c>
      <c r="D114" s="18" t="s">
        <v>1662</v>
      </c>
      <c r="E114" s="18" t="s">
        <v>1474</v>
      </c>
      <c r="F114" s="18" t="s">
        <v>1111</v>
      </c>
      <c r="G114" s="119">
        <v>43312</v>
      </c>
      <c r="H114" s="18">
        <v>0</v>
      </c>
      <c r="I114" s="18"/>
      <c r="J114" s="18">
        <f t="shared" si="17"/>
        <v>0</v>
      </c>
      <c r="K114" s="18">
        <v>0</v>
      </c>
      <c r="L114" s="18"/>
      <c r="M114" s="18">
        <f t="shared" si="18"/>
        <v>0</v>
      </c>
      <c r="N114" s="18">
        <v>0</v>
      </c>
      <c r="O114" s="18"/>
      <c r="P114" s="18">
        <f t="shared" si="19"/>
        <v>0</v>
      </c>
      <c r="Q114" s="18">
        <v>2</v>
      </c>
      <c r="R114" s="18"/>
      <c r="S114" s="18">
        <f t="shared" si="20"/>
        <v>2</v>
      </c>
      <c r="T114" s="18">
        <v>1</v>
      </c>
      <c r="U114" s="18"/>
      <c r="V114" s="18">
        <f t="shared" si="21"/>
        <v>1</v>
      </c>
      <c r="W114" s="18">
        <v>11646.3</v>
      </c>
      <c r="X114" s="18"/>
      <c r="Y114" s="18">
        <f t="shared" si="22"/>
        <v>11646.3</v>
      </c>
      <c r="Z114" s="18">
        <v>459.21359999999999</v>
      </c>
      <c r="AA114" s="18"/>
      <c r="AB114" s="18">
        <f t="shared" si="23"/>
        <v>459.21359999999999</v>
      </c>
      <c r="AC114" s="18">
        <v>1284.7</v>
      </c>
      <c r="AD114" s="18"/>
      <c r="AE114" s="18">
        <f t="shared" si="24"/>
        <v>1284.7</v>
      </c>
      <c r="AF114" s="18">
        <v>625489.74</v>
      </c>
      <c r="AG114" s="18"/>
      <c r="AH114" s="18">
        <f t="shared" si="25"/>
        <v>625489.74</v>
      </c>
      <c r="AI114" s="18">
        <v>693304.24</v>
      </c>
      <c r="AJ114" s="18"/>
      <c r="AK114" s="18">
        <f t="shared" si="26"/>
        <v>693304.24</v>
      </c>
      <c r="AL114" s="18">
        <v>1202</v>
      </c>
      <c r="AM114" s="18"/>
      <c r="AN114" s="18">
        <f t="shared" si="27"/>
        <v>1202</v>
      </c>
      <c r="AO114" s="18">
        <v>0</v>
      </c>
      <c r="AP114" s="18"/>
      <c r="AQ114" s="18">
        <f t="shared" si="28"/>
        <v>0</v>
      </c>
      <c r="AR114" s="18">
        <v>2605</v>
      </c>
      <c r="AS114" s="18"/>
      <c r="AT114" s="18">
        <f t="shared" si="29"/>
        <v>2605</v>
      </c>
      <c r="AU114" s="18">
        <v>1321272.74</v>
      </c>
      <c r="AV114" s="18"/>
      <c r="AW114" s="18">
        <f t="shared" si="30"/>
        <v>1321272.74</v>
      </c>
      <c r="AX114" s="18">
        <v>0</v>
      </c>
      <c r="AY114" s="18"/>
      <c r="AZ114" s="18">
        <f t="shared" si="31"/>
        <v>0</v>
      </c>
      <c r="BA114" s="18">
        <v>0</v>
      </c>
      <c r="BB114" s="18"/>
      <c r="BC114" s="18">
        <f t="shared" si="32"/>
        <v>0</v>
      </c>
      <c r="BD114" s="18">
        <v>0</v>
      </c>
      <c r="BE114" s="18"/>
      <c r="BF114" s="18">
        <f t="shared" si="33"/>
        <v>0</v>
      </c>
    </row>
    <row r="115" spans="1:58" ht="25.5" x14ac:dyDescent="0.25">
      <c r="A115" s="124" t="s">
        <v>1230</v>
      </c>
      <c r="B115" s="124" t="s">
        <v>1468</v>
      </c>
      <c r="C115" s="18" t="s">
        <v>1663</v>
      </c>
      <c r="D115" s="18" t="s">
        <v>1664</v>
      </c>
      <c r="E115" s="18" t="s">
        <v>1489</v>
      </c>
      <c r="F115" s="18" t="s">
        <v>1111</v>
      </c>
      <c r="G115" s="119">
        <v>43100</v>
      </c>
      <c r="H115" s="18">
        <v>0</v>
      </c>
      <c r="I115" s="18"/>
      <c r="J115" s="18">
        <f t="shared" si="17"/>
        <v>0</v>
      </c>
      <c r="K115" s="18">
        <v>0</v>
      </c>
      <c r="L115" s="18"/>
      <c r="M115" s="18">
        <f t="shared" si="18"/>
        <v>0</v>
      </c>
      <c r="N115" s="18">
        <v>16.7437</v>
      </c>
      <c r="O115" s="18"/>
      <c r="P115" s="18">
        <f t="shared" si="19"/>
        <v>16.7437</v>
      </c>
      <c r="Q115" s="18">
        <v>2</v>
      </c>
      <c r="R115" s="18"/>
      <c r="S115" s="18">
        <f t="shared" si="20"/>
        <v>2</v>
      </c>
      <c r="T115" s="18">
        <v>1</v>
      </c>
      <c r="U115" s="18"/>
      <c r="V115" s="18">
        <f t="shared" si="21"/>
        <v>1</v>
      </c>
      <c r="W115" s="18">
        <v>858.3</v>
      </c>
      <c r="X115" s="18"/>
      <c r="Y115" s="18">
        <f t="shared" si="22"/>
        <v>858.3</v>
      </c>
      <c r="Z115" s="18">
        <v>59.222700000000003</v>
      </c>
      <c r="AA115" s="18"/>
      <c r="AB115" s="18">
        <f t="shared" si="23"/>
        <v>59.222700000000003</v>
      </c>
      <c r="AC115" s="18">
        <v>135.4228</v>
      </c>
      <c r="AD115" s="18"/>
      <c r="AE115" s="18">
        <f t="shared" si="24"/>
        <v>135.4228</v>
      </c>
      <c r="AF115" s="18">
        <v>76200.100000000006</v>
      </c>
      <c r="AG115" s="18"/>
      <c r="AH115" s="18">
        <f t="shared" si="25"/>
        <v>76200.100000000006</v>
      </c>
      <c r="AI115" s="18">
        <v>76200.100000000006</v>
      </c>
      <c r="AJ115" s="18"/>
      <c r="AK115" s="18">
        <f t="shared" si="26"/>
        <v>76200.100000000006</v>
      </c>
      <c r="AL115" s="18">
        <v>19.68</v>
      </c>
      <c r="AM115" s="18"/>
      <c r="AN115" s="18">
        <f t="shared" si="27"/>
        <v>19.68</v>
      </c>
      <c r="AO115" s="18">
        <v>0.63</v>
      </c>
      <c r="AP115" s="18"/>
      <c r="AQ115" s="18">
        <f t="shared" si="28"/>
        <v>0.63</v>
      </c>
      <c r="AR115" s="18">
        <v>7.0000000000000007E-2</v>
      </c>
      <c r="AS115" s="18"/>
      <c r="AT115" s="18">
        <f t="shared" si="29"/>
        <v>7.0000000000000007E-2</v>
      </c>
      <c r="AU115" s="18">
        <v>102670.6</v>
      </c>
      <c r="AV115" s="18"/>
      <c r="AW115" s="18">
        <f t="shared" si="30"/>
        <v>102670.6</v>
      </c>
      <c r="AX115" s="18">
        <v>0</v>
      </c>
      <c r="AY115" s="18"/>
      <c r="AZ115" s="18">
        <f t="shared" si="31"/>
        <v>0</v>
      </c>
      <c r="BA115" s="18">
        <v>0</v>
      </c>
      <c r="BB115" s="18"/>
      <c r="BC115" s="18">
        <f t="shared" si="32"/>
        <v>0</v>
      </c>
      <c r="BD115" s="18">
        <v>0</v>
      </c>
      <c r="BE115" s="18"/>
      <c r="BF115" s="18">
        <f t="shared" si="33"/>
        <v>0</v>
      </c>
    </row>
    <row r="116" spans="1:58" ht="25.5" x14ac:dyDescent="0.25">
      <c r="A116" s="124" t="s">
        <v>1231</v>
      </c>
      <c r="B116" s="124" t="s">
        <v>1468</v>
      </c>
      <c r="C116" s="18" t="s">
        <v>1665</v>
      </c>
      <c r="D116" s="18" t="s">
        <v>1666</v>
      </c>
      <c r="E116" s="18" t="s">
        <v>1500</v>
      </c>
      <c r="F116" s="18" t="s">
        <v>1111</v>
      </c>
      <c r="G116" s="119">
        <v>43524</v>
      </c>
      <c r="H116" s="18">
        <v>0</v>
      </c>
      <c r="I116" s="18"/>
      <c r="J116" s="18">
        <f t="shared" si="17"/>
        <v>0</v>
      </c>
      <c r="K116" s="18">
        <v>10.32</v>
      </c>
      <c r="L116" s="18"/>
      <c r="M116" s="18">
        <f t="shared" si="18"/>
        <v>0</v>
      </c>
      <c r="N116" s="18">
        <v>13.28</v>
      </c>
      <c r="O116" s="18"/>
      <c r="P116" s="18">
        <f t="shared" si="19"/>
        <v>0</v>
      </c>
      <c r="Q116" s="18">
        <v>2</v>
      </c>
      <c r="R116" s="18"/>
      <c r="S116" s="18">
        <f t="shared" si="20"/>
        <v>0</v>
      </c>
      <c r="T116" s="18">
        <v>1</v>
      </c>
      <c r="U116" s="18"/>
      <c r="V116" s="18">
        <f t="shared" si="21"/>
        <v>0</v>
      </c>
      <c r="W116" s="18">
        <v>627</v>
      </c>
      <c r="X116" s="18"/>
      <c r="Y116" s="18">
        <f t="shared" si="22"/>
        <v>0</v>
      </c>
      <c r="Z116" s="18">
        <v>9.7279999999999998</v>
      </c>
      <c r="AA116" s="18"/>
      <c r="AB116" s="18">
        <f t="shared" si="23"/>
        <v>0</v>
      </c>
      <c r="AC116" s="18">
        <v>70.081999999999994</v>
      </c>
      <c r="AD116" s="18"/>
      <c r="AE116" s="18">
        <f t="shared" si="24"/>
        <v>0</v>
      </c>
      <c r="AF116" s="18">
        <v>60354</v>
      </c>
      <c r="AG116" s="18"/>
      <c r="AH116" s="18">
        <f t="shared" si="25"/>
        <v>0</v>
      </c>
      <c r="AI116" s="18">
        <v>389510.32</v>
      </c>
      <c r="AJ116" s="18"/>
      <c r="AK116" s="18">
        <f t="shared" si="26"/>
        <v>0</v>
      </c>
      <c r="AL116" s="18">
        <v>16</v>
      </c>
      <c r="AM116" s="18"/>
      <c r="AN116" s="18">
        <f t="shared" si="27"/>
        <v>0</v>
      </c>
      <c r="AO116" s="18">
        <v>0</v>
      </c>
      <c r="AP116" s="18"/>
      <c r="AQ116" s="18">
        <f t="shared" si="28"/>
        <v>0</v>
      </c>
      <c r="AR116" s="18">
        <v>1</v>
      </c>
      <c r="AS116" s="18"/>
      <c r="AT116" s="18">
        <f t="shared" si="29"/>
        <v>0</v>
      </c>
      <c r="AU116" s="18">
        <v>154476</v>
      </c>
      <c r="AV116" s="18"/>
      <c r="AW116" s="18">
        <f t="shared" si="30"/>
        <v>0</v>
      </c>
      <c r="AX116" s="18">
        <v>0</v>
      </c>
      <c r="AY116" s="18"/>
      <c r="AZ116" s="18">
        <f t="shared" si="31"/>
        <v>0</v>
      </c>
      <c r="BA116" s="18">
        <v>8.0000000000000002E-3</v>
      </c>
      <c r="BB116" s="18"/>
      <c r="BC116" s="18">
        <f t="shared" si="32"/>
        <v>0</v>
      </c>
      <c r="BD116" s="18">
        <v>8.0000000000000002E-3</v>
      </c>
      <c r="BE116" s="18"/>
      <c r="BF116" s="18">
        <f t="shared" si="33"/>
        <v>0</v>
      </c>
    </row>
    <row r="117" spans="1:58" ht="76.5" x14ac:dyDescent="0.25">
      <c r="A117" s="124" t="s">
        <v>1232</v>
      </c>
      <c r="B117" s="124" t="s">
        <v>1468</v>
      </c>
      <c r="C117" s="18" t="s">
        <v>1667</v>
      </c>
      <c r="D117" s="18" t="s">
        <v>1668</v>
      </c>
      <c r="E117" s="18" t="s">
        <v>1500</v>
      </c>
      <c r="F117" s="18" t="s">
        <v>1111</v>
      </c>
      <c r="G117" s="119">
        <v>43069</v>
      </c>
      <c r="H117" s="18">
        <v>0</v>
      </c>
      <c r="I117" s="18"/>
      <c r="J117" s="18">
        <f t="shared" si="17"/>
        <v>0</v>
      </c>
      <c r="K117" s="18">
        <v>3.5960000000000001</v>
      </c>
      <c r="L117" s="18"/>
      <c r="M117" s="18">
        <f t="shared" si="18"/>
        <v>3.5960000000000001</v>
      </c>
      <c r="N117" s="18">
        <v>17.632000000000001</v>
      </c>
      <c r="O117" s="18"/>
      <c r="P117" s="18">
        <f t="shared" si="19"/>
        <v>17.632000000000001</v>
      </c>
      <c r="Q117" s="18">
        <v>3</v>
      </c>
      <c r="R117" s="18"/>
      <c r="S117" s="18">
        <f t="shared" si="20"/>
        <v>3</v>
      </c>
      <c r="T117" s="18">
        <v>2</v>
      </c>
      <c r="U117" s="18"/>
      <c r="V117" s="18">
        <f t="shared" si="21"/>
        <v>2</v>
      </c>
      <c r="W117" s="18">
        <v>1239.75</v>
      </c>
      <c r="X117" s="18"/>
      <c r="Y117" s="18">
        <f t="shared" si="22"/>
        <v>1239.75</v>
      </c>
      <c r="Z117" s="18">
        <v>136.68100000000001</v>
      </c>
      <c r="AA117" s="18"/>
      <c r="AB117" s="18">
        <f t="shared" si="23"/>
        <v>136.68100000000001</v>
      </c>
      <c r="AC117" s="18">
        <v>203.81100000000001</v>
      </c>
      <c r="AD117" s="18"/>
      <c r="AE117" s="18">
        <f t="shared" si="24"/>
        <v>203.81100000000001</v>
      </c>
      <c r="AF117" s="18">
        <v>67130</v>
      </c>
      <c r="AG117" s="18"/>
      <c r="AH117" s="18">
        <f t="shared" si="25"/>
        <v>67130</v>
      </c>
      <c r="AI117" s="18">
        <v>67130</v>
      </c>
      <c r="AJ117" s="18"/>
      <c r="AK117" s="18">
        <f t="shared" si="26"/>
        <v>67130</v>
      </c>
      <c r="AL117" s="18">
        <v>12.298999999999999</v>
      </c>
      <c r="AM117" s="18"/>
      <c r="AN117" s="18">
        <f t="shared" si="27"/>
        <v>12.298999999999999</v>
      </c>
      <c r="AO117" s="18">
        <v>0.23400000000000001</v>
      </c>
      <c r="AP117" s="18"/>
      <c r="AQ117" s="18">
        <f t="shared" si="28"/>
        <v>0.23400000000000001</v>
      </c>
      <c r="AR117" s="18">
        <v>9.5519999999999996</v>
      </c>
      <c r="AS117" s="18"/>
      <c r="AT117" s="18">
        <f t="shared" si="29"/>
        <v>9.5519999999999996</v>
      </c>
      <c r="AU117" s="18">
        <v>98601</v>
      </c>
      <c r="AV117" s="18"/>
      <c r="AW117" s="18">
        <f t="shared" si="30"/>
        <v>98601</v>
      </c>
      <c r="AX117" s="18">
        <v>0</v>
      </c>
      <c r="AY117" s="18"/>
      <c r="AZ117" s="18">
        <f t="shared" si="31"/>
        <v>0</v>
      </c>
      <c r="BA117" s="18">
        <v>7.0000000000000001E-3</v>
      </c>
      <c r="BB117" s="18"/>
      <c r="BC117" s="18">
        <f t="shared" si="32"/>
        <v>7.0000000000000001E-3</v>
      </c>
      <c r="BD117" s="18">
        <v>7.0000000000000001E-3</v>
      </c>
      <c r="BE117" s="18"/>
      <c r="BF117" s="18">
        <f t="shared" si="33"/>
        <v>7.0000000000000001E-3</v>
      </c>
    </row>
    <row r="118" spans="1:58" ht="38.25" x14ac:dyDescent="0.25">
      <c r="A118" s="124" t="s">
        <v>1233</v>
      </c>
      <c r="B118" s="124" t="s">
        <v>1468</v>
      </c>
      <c r="C118" s="18" t="s">
        <v>1669</v>
      </c>
      <c r="D118" s="18" t="s">
        <v>1670</v>
      </c>
      <c r="E118" s="18" t="s">
        <v>1483</v>
      </c>
      <c r="F118" s="18" t="s">
        <v>1111</v>
      </c>
      <c r="G118" s="119">
        <v>43131</v>
      </c>
      <c r="H118" s="18">
        <v>0</v>
      </c>
      <c r="I118" s="18"/>
      <c r="J118" s="18">
        <f t="shared" si="17"/>
        <v>0</v>
      </c>
      <c r="K118" s="18">
        <v>0</v>
      </c>
      <c r="L118" s="18"/>
      <c r="M118" s="18">
        <f t="shared" si="18"/>
        <v>0</v>
      </c>
      <c r="N118" s="18">
        <v>38.008800000000001</v>
      </c>
      <c r="O118" s="18"/>
      <c r="P118" s="18">
        <f t="shared" si="19"/>
        <v>38.008800000000001</v>
      </c>
      <c r="Q118" s="18">
        <v>5</v>
      </c>
      <c r="R118" s="18"/>
      <c r="S118" s="18">
        <f t="shared" si="20"/>
        <v>5</v>
      </c>
      <c r="T118" s="18">
        <v>1</v>
      </c>
      <c r="U118" s="18"/>
      <c r="V118" s="18">
        <f t="shared" si="21"/>
        <v>1</v>
      </c>
      <c r="W118" s="18">
        <v>550.70000000000005</v>
      </c>
      <c r="X118" s="18"/>
      <c r="Y118" s="18">
        <f t="shared" si="22"/>
        <v>550.70000000000005</v>
      </c>
      <c r="Z118" s="18">
        <v>27.044</v>
      </c>
      <c r="AA118" s="18"/>
      <c r="AB118" s="18">
        <f t="shared" si="23"/>
        <v>27.044</v>
      </c>
      <c r="AC118" s="18">
        <v>108.502</v>
      </c>
      <c r="AD118" s="18"/>
      <c r="AE118" s="18">
        <f t="shared" si="24"/>
        <v>108.502</v>
      </c>
      <c r="AF118" s="18">
        <v>81458</v>
      </c>
      <c r="AG118" s="18"/>
      <c r="AH118" s="18">
        <f t="shared" si="25"/>
        <v>81458</v>
      </c>
      <c r="AI118" s="18">
        <v>107251.39</v>
      </c>
      <c r="AJ118" s="18"/>
      <c r="AK118" s="18">
        <f t="shared" si="26"/>
        <v>107251.39</v>
      </c>
      <c r="AL118" s="18">
        <v>29.5</v>
      </c>
      <c r="AM118" s="18"/>
      <c r="AN118" s="18">
        <f t="shared" si="27"/>
        <v>29.5</v>
      </c>
      <c r="AO118" s="18">
        <v>1.9</v>
      </c>
      <c r="AP118" s="18"/>
      <c r="AQ118" s="18">
        <f t="shared" si="28"/>
        <v>1.9</v>
      </c>
      <c r="AR118" s="18">
        <v>1.8</v>
      </c>
      <c r="AS118" s="18"/>
      <c r="AT118" s="18">
        <f t="shared" si="29"/>
        <v>1.8</v>
      </c>
      <c r="AU118" s="18">
        <v>111853.78</v>
      </c>
      <c r="AV118" s="18"/>
      <c r="AW118" s="18">
        <f t="shared" si="30"/>
        <v>111853.78</v>
      </c>
      <c r="AX118" s="18">
        <v>0</v>
      </c>
      <c r="AY118" s="18"/>
      <c r="AZ118" s="18">
        <f t="shared" si="31"/>
        <v>0</v>
      </c>
      <c r="BA118" s="18">
        <v>0</v>
      </c>
      <c r="BB118" s="18"/>
      <c r="BC118" s="18">
        <f t="shared" si="32"/>
        <v>0</v>
      </c>
      <c r="BD118" s="18">
        <v>0</v>
      </c>
      <c r="BE118" s="18"/>
      <c r="BF118" s="18">
        <f t="shared" si="33"/>
        <v>0</v>
      </c>
    </row>
    <row r="119" spans="1:58" ht="38.25" x14ac:dyDescent="0.25">
      <c r="A119" s="124" t="s">
        <v>1234</v>
      </c>
      <c r="B119" s="124" t="s">
        <v>1468</v>
      </c>
      <c r="C119" s="18" t="s">
        <v>1671</v>
      </c>
      <c r="D119" s="18" t="s">
        <v>1672</v>
      </c>
      <c r="E119" s="18" t="s">
        <v>1500</v>
      </c>
      <c r="F119" s="18" t="s">
        <v>1111</v>
      </c>
      <c r="G119" s="119">
        <v>43039</v>
      </c>
      <c r="H119" s="18">
        <v>0</v>
      </c>
      <c r="I119" s="18"/>
      <c r="J119" s="18">
        <f t="shared" si="17"/>
        <v>0</v>
      </c>
      <c r="K119" s="18">
        <v>43.511000000000003</v>
      </c>
      <c r="L119" s="18"/>
      <c r="M119" s="18">
        <f t="shared" si="18"/>
        <v>43.511000000000003</v>
      </c>
      <c r="N119" s="18">
        <v>3.0000000000000001E-3</v>
      </c>
      <c r="O119" s="18"/>
      <c r="P119" s="18">
        <f t="shared" si="19"/>
        <v>3.0000000000000001E-3</v>
      </c>
      <c r="Q119" s="18">
        <v>1</v>
      </c>
      <c r="R119" s="18"/>
      <c r="S119" s="18">
        <f t="shared" si="20"/>
        <v>1</v>
      </c>
      <c r="T119" s="18">
        <v>1</v>
      </c>
      <c r="U119" s="18"/>
      <c r="V119" s="18">
        <f t="shared" si="21"/>
        <v>1</v>
      </c>
      <c r="W119" s="18">
        <v>1528.72</v>
      </c>
      <c r="X119" s="18"/>
      <c r="Y119" s="18">
        <f t="shared" si="22"/>
        <v>1528.72</v>
      </c>
      <c r="Z119" s="18">
        <v>34.35</v>
      </c>
      <c r="AA119" s="18"/>
      <c r="AB119" s="18">
        <f t="shared" si="23"/>
        <v>34.35</v>
      </c>
      <c r="AC119" s="18">
        <v>196.14699999999999</v>
      </c>
      <c r="AD119" s="18"/>
      <c r="AE119" s="18">
        <f t="shared" si="24"/>
        <v>196.14699999999999</v>
      </c>
      <c r="AF119" s="18">
        <v>6957</v>
      </c>
      <c r="AG119" s="18"/>
      <c r="AH119" s="18">
        <f t="shared" si="25"/>
        <v>6957</v>
      </c>
      <c r="AI119" s="18">
        <v>6957</v>
      </c>
      <c r="AJ119" s="18"/>
      <c r="AK119" s="18">
        <f t="shared" si="26"/>
        <v>6957</v>
      </c>
      <c r="AL119" s="18">
        <v>6.0000000000000001E-3</v>
      </c>
      <c r="AM119" s="18"/>
      <c r="AN119" s="18">
        <f t="shared" si="27"/>
        <v>6.0000000000000001E-3</v>
      </c>
      <c r="AO119" s="18">
        <v>4</v>
      </c>
      <c r="AP119" s="18"/>
      <c r="AQ119" s="18">
        <f t="shared" si="28"/>
        <v>4</v>
      </c>
      <c r="AR119" s="18">
        <v>0.5</v>
      </c>
      <c r="AS119" s="18"/>
      <c r="AT119" s="18">
        <f t="shared" si="29"/>
        <v>0.5</v>
      </c>
      <c r="AU119" s="18">
        <v>26806</v>
      </c>
      <c r="AV119" s="18"/>
      <c r="AW119" s="18">
        <f t="shared" si="30"/>
        <v>26806</v>
      </c>
      <c r="AX119" s="18">
        <v>0</v>
      </c>
      <c r="AY119" s="18"/>
      <c r="AZ119" s="18">
        <f t="shared" si="31"/>
        <v>0</v>
      </c>
      <c r="BA119" s="18">
        <v>4.24E-2</v>
      </c>
      <c r="BB119" s="18"/>
      <c r="BC119" s="18">
        <f t="shared" si="32"/>
        <v>4.24E-2</v>
      </c>
      <c r="BD119" s="18">
        <v>4.24E-2</v>
      </c>
      <c r="BE119" s="18"/>
      <c r="BF119" s="18">
        <f t="shared" si="33"/>
        <v>4.24E-2</v>
      </c>
    </row>
    <row r="120" spans="1:58" ht="51" x14ac:dyDescent="0.25">
      <c r="A120" s="124" t="s">
        <v>1235</v>
      </c>
      <c r="B120" s="124" t="s">
        <v>1468</v>
      </c>
      <c r="C120" s="18" t="s">
        <v>1623</v>
      </c>
      <c r="D120" s="18" t="s">
        <v>1673</v>
      </c>
      <c r="E120" s="18" t="s">
        <v>1474</v>
      </c>
      <c r="F120" s="18" t="s">
        <v>1111</v>
      </c>
      <c r="G120" s="119">
        <v>43100</v>
      </c>
      <c r="H120" s="18">
        <v>0</v>
      </c>
      <c r="I120" s="18"/>
      <c r="J120" s="18">
        <f t="shared" si="17"/>
        <v>0</v>
      </c>
      <c r="K120" s="18">
        <v>5.87</v>
      </c>
      <c r="L120" s="18"/>
      <c r="M120" s="18">
        <f t="shared" si="18"/>
        <v>5.87</v>
      </c>
      <c r="N120" s="18">
        <v>145.63999999999999</v>
      </c>
      <c r="O120" s="18"/>
      <c r="P120" s="18">
        <f t="shared" si="19"/>
        <v>145.63999999999999</v>
      </c>
      <c r="Q120" s="18">
        <v>5</v>
      </c>
      <c r="R120" s="18"/>
      <c r="S120" s="18">
        <f t="shared" si="20"/>
        <v>5</v>
      </c>
      <c r="T120" s="18">
        <v>1</v>
      </c>
      <c r="U120" s="18"/>
      <c r="V120" s="18">
        <f t="shared" si="21"/>
        <v>1</v>
      </c>
      <c r="W120" s="18">
        <v>2965.6</v>
      </c>
      <c r="X120" s="18"/>
      <c r="Y120" s="18">
        <f t="shared" si="22"/>
        <v>2965.6</v>
      </c>
      <c r="Z120" s="18">
        <v>123.55</v>
      </c>
      <c r="AA120" s="18"/>
      <c r="AB120" s="18">
        <f t="shared" si="23"/>
        <v>123.55</v>
      </c>
      <c r="AC120" s="18">
        <v>718.73</v>
      </c>
      <c r="AD120" s="18"/>
      <c r="AE120" s="18">
        <f t="shared" si="24"/>
        <v>718.73</v>
      </c>
      <c r="AF120" s="18">
        <v>595180</v>
      </c>
      <c r="AG120" s="18"/>
      <c r="AH120" s="18">
        <f t="shared" si="25"/>
        <v>595180</v>
      </c>
      <c r="AI120" s="18">
        <v>595180</v>
      </c>
      <c r="AJ120" s="18"/>
      <c r="AK120" s="18">
        <f t="shared" si="26"/>
        <v>595180</v>
      </c>
      <c r="AL120" s="18">
        <v>30</v>
      </c>
      <c r="AM120" s="18"/>
      <c r="AN120" s="18">
        <f t="shared" si="27"/>
        <v>30</v>
      </c>
      <c r="AO120" s="18">
        <v>0</v>
      </c>
      <c r="AP120" s="18"/>
      <c r="AQ120" s="18">
        <f t="shared" si="28"/>
        <v>0</v>
      </c>
      <c r="AR120" s="18">
        <v>0</v>
      </c>
      <c r="AS120" s="18"/>
      <c r="AT120" s="18">
        <f t="shared" si="29"/>
        <v>0</v>
      </c>
      <c r="AU120" s="18">
        <v>636032.23</v>
      </c>
      <c r="AV120" s="18"/>
      <c r="AW120" s="18">
        <f t="shared" si="30"/>
        <v>636032.23</v>
      </c>
      <c r="AX120" s="18">
        <v>0</v>
      </c>
      <c r="AY120" s="18"/>
      <c r="AZ120" s="18">
        <f t="shared" si="31"/>
        <v>0</v>
      </c>
      <c r="BA120" s="18">
        <v>5.87</v>
      </c>
      <c r="BB120" s="18"/>
      <c r="BC120" s="18">
        <f t="shared" si="32"/>
        <v>5.87</v>
      </c>
      <c r="BD120" s="18">
        <v>5.87</v>
      </c>
      <c r="BE120" s="18"/>
      <c r="BF120" s="18">
        <f t="shared" si="33"/>
        <v>5.87</v>
      </c>
    </row>
    <row r="121" spans="1:58" ht="25.5" x14ac:dyDescent="0.25">
      <c r="A121" s="124" t="s">
        <v>1236</v>
      </c>
      <c r="B121" s="124" t="s">
        <v>1468</v>
      </c>
      <c r="C121" s="18" t="s">
        <v>1674</v>
      </c>
      <c r="D121" s="18" t="s">
        <v>1675</v>
      </c>
      <c r="E121" s="18" t="s">
        <v>1477</v>
      </c>
      <c r="F121" s="18" t="s">
        <v>1111</v>
      </c>
      <c r="G121" s="119">
        <v>43159</v>
      </c>
      <c r="H121" s="18">
        <v>2.7480000000000002</v>
      </c>
      <c r="I121" s="18"/>
      <c r="J121" s="18">
        <f t="shared" si="17"/>
        <v>2.7480000000000002</v>
      </c>
      <c r="K121" s="18">
        <v>17.062999999999999</v>
      </c>
      <c r="L121" s="18"/>
      <c r="M121" s="18">
        <f t="shared" si="18"/>
        <v>17.062999999999999</v>
      </c>
      <c r="N121" s="18">
        <v>0.129</v>
      </c>
      <c r="O121" s="18"/>
      <c r="P121" s="18">
        <f t="shared" si="19"/>
        <v>0.129</v>
      </c>
      <c r="Q121" s="18">
        <v>6</v>
      </c>
      <c r="R121" s="18"/>
      <c r="S121" s="18">
        <f t="shared" si="20"/>
        <v>6</v>
      </c>
      <c r="T121" s="18">
        <v>1</v>
      </c>
      <c r="U121" s="18"/>
      <c r="V121" s="18">
        <f t="shared" si="21"/>
        <v>1</v>
      </c>
      <c r="W121" s="18">
        <v>347.86439999999999</v>
      </c>
      <c r="X121" s="18"/>
      <c r="Y121" s="18">
        <f t="shared" si="22"/>
        <v>347.86439999999999</v>
      </c>
      <c r="Z121" s="18">
        <v>14.262</v>
      </c>
      <c r="AA121" s="18"/>
      <c r="AB121" s="18">
        <f t="shared" si="23"/>
        <v>14.262</v>
      </c>
      <c r="AC121" s="18">
        <v>148.262</v>
      </c>
      <c r="AD121" s="18"/>
      <c r="AE121" s="18">
        <f t="shared" si="24"/>
        <v>148.262</v>
      </c>
      <c r="AF121" s="18">
        <v>133999</v>
      </c>
      <c r="AG121" s="18"/>
      <c r="AH121" s="18">
        <f t="shared" si="25"/>
        <v>133999</v>
      </c>
      <c r="AI121" s="18">
        <v>131926</v>
      </c>
      <c r="AJ121" s="18"/>
      <c r="AK121" s="18">
        <f t="shared" si="26"/>
        <v>131926</v>
      </c>
      <c r="AL121" s="18">
        <v>0.1056</v>
      </c>
      <c r="AM121" s="18"/>
      <c r="AN121" s="18">
        <f t="shared" si="27"/>
        <v>0.1056</v>
      </c>
      <c r="AO121" s="18">
        <v>6.6E-3</v>
      </c>
      <c r="AP121" s="18"/>
      <c r="AQ121" s="18">
        <f t="shared" si="28"/>
        <v>6.6E-3</v>
      </c>
      <c r="AR121" s="18">
        <v>3.2000000000000001E-2</v>
      </c>
      <c r="AS121" s="18"/>
      <c r="AT121" s="18">
        <f t="shared" si="29"/>
        <v>3.2000000000000001E-2</v>
      </c>
      <c r="AU121" s="18">
        <v>428568</v>
      </c>
      <c r="AV121" s="18"/>
      <c r="AW121" s="18">
        <f t="shared" si="30"/>
        <v>428568</v>
      </c>
      <c r="AX121" s="18">
        <v>4.7999999999999996E-3</v>
      </c>
      <c r="AY121" s="18"/>
      <c r="AZ121" s="18">
        <f t="shared" si="31"/>
        <v>4.7999999999999996E-3</v>
      </c>
      <c r="BA121" s="18">
        <v>2.98E-2</v>
      </c>
      <c r="BB121" s="18"/>
      <c r="BC121" s="18">
        <f t="shared" si="32"/>
        <v>2.98E-2</v>
      </c>
      <c r="BD121" s="18">
        <v>2.5000000000000001E-2</v>
      </c>
      <c r="BE121" s="18"/>
      <c r="BF121" s="18">
        <f t="shared" si="33"/>
        <v>2.5000000000000001E-2</v>
      </c>
    </row>
    <row r="122" spans="1:58" ht="38.25" x14ac:dyDescent="0.25">
      <c r="A122" s="124" t="s">
        <v>1237</v>
      </c>
      <c r="B122" s="124" t="s">
        <v>1468</v>
      </c>
      <c r="C122" s="18" t="s">
        <v>1676</v>
      </c>
      <c r="D122" s="18" t="s">
        <v>1677</v>
      </c>
      <c r="E122" s="18" t="s">
        <v>1503</v>
      </c>
      <c r="F122" s="18" t="s">
        <v>1111</v>
      </c>
      <c r="G122" s="119">
        <v>43434</v>
      </c>
      <c r="H122" s="18">
        <v>0</v>
      </c>
      <c r="I122" s="18"/>
      <c r="J122" s="18">
        <f t="shared" si="17"/>
        <v>0</v>
      </c>
      <c r="K122" s="18">
        <v>0</v>
      </c>
      <c r="L122" s="18"/>
      <c r="M122" s="18">
        <f t="shared" si="18"/>
        <v>0</v>
      </c>
      <c r="N122" s="18">
        <v>21.51</v>
      </c>
      <c r="O122" s="18"/>
      <c r="P122" s="18">
        <f t="shared" si="19"/>
        <v>21.51</v>
      </c>
      <c r="Q122" s="18">
        <v>2</v>
      </c>
      <c r="R122" s="18"/>
      <c r="S122" s="18">
        <f t="shared" si="20"/>
        <v>2</v>
      </c>
      <c r="T122" s="18">
        <v>1</v>
      </c>
      <c r="U122" s="18"/>
      <c r="V122" s="18">
        <f t="shared" si="21"/>
        <v>1</v>
      </c>
      <c r="W122" s="18">
        <v>1651</v>
      </c>
      <c r="X122" s="18"/>
      <c r="Y122" s="18">
        <f t="shared" si="22"/>
        <v>1651</v>
      </c>
      <c r="Z122" s="18">
        <v>100.89700000000001</v>
      </c>
      <c r="AA122" s="18"/>
      <c r="AB122" s="18">
        <f t="shared" si="23"/>
        <v>100.89700000000001</v>
      </c>
      <c r="AC122" s="18">
        <v>244.26400000000001</v>
      </c>
      <c r="AD122" s="18"/>
      <c r="AE122" s="18">
        <f t="shared" si="24"/>
        <v>244.26400000000001</v>
      </c>
      <c r="AF122" s="18">
        <v>143367.32</v>
      </c>
      <c r="AG122" s="18"/>
      <c r="AH122" s="18">
        <f t="shared" si="25"/>
        <v>143367.32</v>
      </c>
      <c r="AI122" s="18">
        <v>143367.32</v>
      </c>
      <c r="AJ122" s="18"/>
      <c r="AK122" s="18">
        <f t="shared" si="26"/>
        <v>143367.32</v>
      </c>
      <c r="AL122" s="18">
        <v>3.1E-2</v>
      </c>
      <c r="AM122" s="18"/>
      <c r="AN122" s="18">
        <f t="shared" si="27"/>
        <v>3.1E-2</v>
      </c>
      <c r="AO122" s="18">
        <v>0</v>
      </c>
      <c r="AP122" s="18"/>
      <c r="AQ122" s="18">
        <f t="shared" si="28"/>
        <v>0</v>
      </c>
      <c r="AR122" s="18">
        <v>0</v>
      </c>
      <c r="AS122" s="18"/>
      <c r="AT122" s="18">
        <f t="shared" si="29"/>
        <v>0</v>
      </c>
      <c r="AU122" s="18">
        <v>194818</v>
      </c>
      <c r="AV122" s="18"/>
      <c r="AW122" s="18">
        <f t="shared" si="30"/>
        <v>194818</v>
      </c>
      <c r="AX122" s="18">
        <v>0</v>
      </c>
      <c r="AY122" s="18"/>
      <c r="AZ122" s="18">
        <f t="shared" si="31"/>
        <v>0</v>
      </c>
      <c r="BA122" s="18">
        <v>0</v>
      </c>
      <c r="BB122" s="18"/>
      <c r="BC122" s="18">
        <f t="shared" si="32"/>
        <v>0</v>
      </c>
      <c r="BD122" s="18">
        <v>0</v>
      </c>
      <c r="BE122" s="18"/>
      <c r="BF122" s="18">
        <f t="shared" si="33"/>
        <v>0</v>
      </c>
    </row>
    <row r="123" spans="1:58" ht="38.25" x14ac:dyDescent="0.25">
      <c r="A123" s="124" t="s">
        <v>1238</v>
      </c>
      <c r="B123" s="124" t="s">
        <v>1468</v>
      </c>
      <c r="C123" s="18" t="s">
        <v>1676</v>
      </c>
      <c r="D123" s="18" t="s">
        <v>1678</v>
      </c>
      <c r="E123" s="18" t="s">
        <v>1503</v>
      </c>
      <c r="F123" s="18" t="s">
        <v>1111</v>
      </c>
      <c r="G123" s="119">
        <v>43434</v>
      </c>
      <c r="H123" s="18">
        <v>0</v>
      </c>
      <c r="I123" s="18"/>
      <c r="J123" s="18">
        <f t="shared" si="17"/>
        <v>0</v>
      </c>
      <c r="K123" s="18">
        <v>0</v>
      </c>
      <c r="L123" s="18"/>
      <c r="M123" s="18">
        <f t="shared" si="18"/>
        <v>0</v>
      </c>
      <c r="N123" s="18">
        <v>19.457000000000001</v>
      </c>
      <c r="O123" s="18"/>
      <c r="P123" s="18">
        <f t="shared" si="19"/>
        <v>19.457000000000001</v>
      </c>
      <c r="Q123" s="18">
        <v>2</v>
      </c>
      <c r="R123" s="18"/>
      <c r="S123" s="18">
        <f t="shared" si="20"/>
        <v>2</v>
      </c>
      <c r="T123" s="18">
        <v>1</v>
      </c>
      <c r="U123" s="18"/>
      <c r="V123" s="18">
        <f t="shared" si="21"/>
        <v>1</v>
      </c>
      <c r="W123" s="18">
        <v>1592.1</v>
      </c>
      <c r="X123" s="18"/>
      <c r="Y123" s="18">
        <f t="shared" si="22"/>
        <v>1592.1</v>
      </c>
      <c r="Z123" s="18">
        <v>112.366</v>
      </c>
      <c r="AA123" s="18"/>
      <c r="AB123" s="18">
        <f t="shared" si="23"/>
        <v>112.366</v>
      </c>
      <c r="AC123" s="18">
        <v>280.17</v>
      </c>
      <c r="AD123" s="18"/>
      <c r="AE123" s="18">
        <f t="shared" si="24"/>
        <v>280.17</v>
      </c>
      <c r="AF123" s="18">
        <v>167330.4</v>
      </c>
      <c r="AG123" s="18"/>
      <c r="AH123" s="18">
        <f t="shared" si="25"/>
        <v>167330.4</v>
      </c>
      <c r="AI123" s="18">
        <v>167330.4</v>
      </c>
      <c r="AJ123" s="18"/>
      <c r="AK123" s="18">
        <f t="shared" si="26"/>
        <v>167330.4</v>
      </c>
      <c r="AL123" s="18">
        <v>42</v>
      </c>
      <c r="AM123" s="18"/>
      <c r="AN123" s="18">
        <f t="shared" si="27"/>
        <v>42</v>
      </c>
      <c r="AO123" s="18">
        <v>0</v>
      </c>
      <c r="AP123" s="18"/>
      <c r="AQ123" s="18">
        <f t="shared" si="28"/>
        <v>0</v>
      </c>
      <c r="AR123" s="18">
        <v>0</v>
      </c>
      <c r="AS123" s="18"/>
      <c r="AT123" s="18">
        <f t="shared" si="29"/>
        <v>0</v>
      </c>
      <c r="AU123" s="18">
        <v>227670.3</v>
      </c>
      <c r="AV123" s="18"/>
      <c r="AW123" s="18">
        <f t="shared" si="30"/>
        <v>227670.3</v>
      </c>
      <c r="AX123" s="18">
        <v>0</v>
      </c>
      <c r="AY123" s="18"/>
      <c r="AZ123" s="18">
        <f t="shared" si="31"/>
        <v>0</v>
      </c>
      <c r="BA123" s="18">
        <v>0</v>
      </c>
      <c r="BB123" s="18"/>
      <c r="BC123" s="18">
        <f t="shared" si="32"/>
        <v>0</v>
      </c>
      <c r="BD123" s="18">
        <v>0</v>
      </c>
      <c r="BE123" s="18"/>
      <c r="BF123" s="18">
        <f t="shared" si="33"/>
        <v>0</v>
      </c>
    </row>
    <row r="124" spans="1:58" ht="25.5" x14ac:dyDescent="0.25">
      <c r="A124" s="124" t="s">
        <v>1239</v>
      </c>
      <c r="B124" s="124" t="s">
        <v>1468</v>
      </c>
      <c r="C124" s="18" t="s">
        <v>1679</v>
      </c>
      <c r="D124" s="18" t="s">
        <v>1680</v>
      </c>
      <c r="E124" s="18" t="s">
        <v>1474</v>
      </c>
      <c r="F124" s="18" t="s">
        <v>1111</v>
      </c>
      <c r="G124" s="119">
        <v>43251</v>
      </c>
      <c r="H124" s="18">
        <v>0</v>
      </c>
      <c r="I124" s="18"/>
      <c r="J124" s="18">
        <f t="shared" si="17"/>
        <v>0</v>
      </c>
      <c r="K124" s="18">
        <v>0</v>
      </c>
      <c r="L124" s="18"/>
      <c r="M124" s="18">
        <f t="shared" si="18"/>
        <v>0</v>
      </c>
      <c r="N124" s="18">
        <v>23.978999999999999</v>
      </c>
      <c r="O124" s="18"/>
      <c r="P124" s="18">
        <f t="shared" si="19"/>
        <v>23.978999999999999</v>
      </c>
      <c r="Q124" s="18">
        <v>3</v>
      </c>
      <c r="R124" s="18"/>
      <c r="S124" s="18">
        <f t="shared" si="20"/>
        <v>3</v>
      </c>
      <c r="T124" s="18">
        <v>1</v>
      </c>
      <c r="U124" s="18"/>
      <c r="V124" s="18">
        <f t="shared" si="21"/>
        <v>1</v>
      </c>
      <c r="W124" s="18">
        <v>718.6</v>
      </c>
      <c r="X124" s="18"/>
      <c r="Y124" s="18">
        <f t="shared" si="22"/>
        <v>718.6</v>
      </c>
      <c r="Z124" s="18">
        <v>8.9922000000000004</v>
      </c>
      <c r="AA124" s="18"/>
      <c r="AB124" s="18">
        <f t="shared" si="23"/>
        <v>8.9922000000000004</v>
      </c>
      <c r="AC124" s="18">
        <v>29.100999999999999</v>
      </c>
      <c r="AD124" s="18"/>
      <c r="AE124" s="18">
        <f t="shared" si="24"/>
        <v>29.100999999999999</v>
      </c>
      <c r="AF124" s="18">
        <v>20108.79</v>
      </c>
      <c r="AG124" s="18"/>
      <c r="AH124" s="18">
        <f t="shared" si="25"/>
        <v>20108.79</v>
      </c>
      <c r="AI124" s="18">
        <v>97118.79</v>
      </c>
      <c r="AJ124" s="18"/>
      <c r="AK124" s="18">
        <f t="shared" si="26"/>
        <v>97118.79</v>
      </c>
      <c r="AL124" s="18">
        <v>83.23</v>
      </c>
      <c r="AM124" s="18"/>
      <c r="AN124" s="18">
        <f t="shared" si="27"/>
        <v>83.23</v>
      </c>
      <c r="AO124" s="18">
        <v>1.0209999999999999</v>
      </c>
      <c r="AP124" s="18"/>
      <c r="AQ124" s="18">
        <f t="shared" si="28"/>
        <v>1.0209999999999999</v>
      </c>
      <c r="AR124" s="18">
        <v>0.125</v>
      </c>
      <c r="AS124" s="18"/>
      <c r="AT124" s="18">
        <f t="shared" si="29"/>
        <v>0.125</v>
      </c>
      <c r="AU124" s="18">
        <v>217893.89</v>
      </c>
      <c r="AV124" s="18"/>
      <c r="AW124" s="18">
        <f t="shared" si="30"/>
        <v>217893.89</v>
      </c>
      <c r="AX124" s="18">
        <v>0</v>
      </c>
      <c r="AY124" s="18"/>
      <c r="AZ124" s="18">
        <f t="shared" si="31"/>
        <v>0</v>
      </c>
      <c r="BA124" s="18">
        <v>0</v>
      </c>
      <c r="BB124" s="18"/>
      <c r="BC124" s="18">
        <f t="shared" si="32"/>
        <v>0</v>
      </c>
      <c r="BD124" s="18">
        <v>0</v>
      </c>
      <c r="BE124" s="18"/>
      <c r="BF124" s="18">
        <f t="shared" si="33"/>
        <v>0</v>
      </c>
    </row>
    <row r="125" spans="1:58" ht="25.5" x14ac:dyDescent="0.25">
      <c r="A125" s="124" t="s">
        <v>1240</v>
      </c>
      <c r="B125" s="124" t="s">
        <v>1468</v>
      </c>
      <c r="C125" s="18" t="s">
        <v>1681</v>
      </c>
      <c r="D125" s="18" t="s">
        <v>1682</v>
      </c>
      <c r="E125" s="18" t="s">
        <v>1477</v>
      </c>
      <c r="F125" s="18" t="s">
        <v>1111</v>
      </c>
      <c r="G125" s="119">
        <v>43434</v>
      </c>
      <c r="H125" s="18">
        <v>0</v>
      </c>
      <c r="I125" s="18"/>
      <c r="J125" s="18">
        <f t="shared" si="17"/>
        <v>0</v>
      </c>
      <c r="K125" s="18">
        <v>0</v>
      </c>
      <c r="L125" s="18"/>
      <c r="M125" s="18">
        <f t="shared" si="18"/>
        <v>0</v>
      </c>
      <c r="N125" s="18">
        <v>16.916</v>
      </c>
      <c r="O125" s="18"/>
      <c r="P125" s="18">
        <f t="shared" si="19"/>
        <v>16.916</v>
      </c>
      <c r="Q125" s="18">
        <v>6</v>
      </c>
      <c r="R125" s="18"/>
      <c r="S125" s="18">
        <f t="shared" si="20"/>
        <v>6</v>
      </c>
      <c r="T125" s="18">
        <v>1</v>
      </c>
      <c r="U125" s="18"/>
      <c r="V125" s="18">
        <f t="shared" si="21"/>
        <v>1</v>
      </c>
      <c r="W125" s="18">
        <v>660.2</v>
      </c>
      <c r="X125" s="18"/>
      <c r="Y125" s="18">
        <f t="shared" si="22"/>
        <v>660.2</v>
      </c>
      <c r="Z125" s="18">
        <v>23.812000000000001</v>
      </c>
      <c r="AA125" s="18"/>
      <c r="AB125" s="18">
        <f t="shared" si="23"/>
        <v>23.812000000000001</v>
      </c>
      <c r="AC125" s="18">
        <v>84.51</v>
      </c>
      <c r="AD125" s="18"/>
      <c r="AE125" s="18">
        <f t="shared" si="24"/>
        <v>84.51</v>
      </c>
      <c r="AF125" s="18">
        <v>60698</v>
      </c>
      <c r="AG125" s="18"/>
      <c r="AH125" s="18">
        <f t="shared" si="25"/>
        <v>60698</v>
      </c>
      <c r="AI125" s="18">
        <v>75237</v>
      </c>
      <c r="AJ125" s="18"/>
      <c r="AK125" s="18">
        <f t="shared" si="26"/>
        <v>75237</v>
      </c>
      <c r="AL125" s="18">
        <v>832</v>
      </c>
      <c r="AM125" s="18"/>
      <c r="AN125" s="18">
        <f t="shared" si="27"/>
        <v>832</v>
      </c>
      <c r="AO125" s="18">
        <v>4.3499999999999997E-2</v>
      </c>
      <c r="AP125" s="18"/>
      <c r="AQ125" s="18">
        <f t="shared" si="28"/>
        <v>4.3499999999999997E-2</v>
      </c>
      <c r="AR125" s="18">
        <v>10.7</v>
      </c>
      <c r="AS125" s="18"/>
      <c r="AT125" s="18">
        <f t="shared" si="29"/>
        <v>10.7</v>
      </c>
      <c r="AU125" s="18">
        <v>91502</v>
      </c>
      <c r="AV125" s="18"/>
      <c r="AW125" s="18">
        <f t="shared" si="30"/>
        <v>91502</v>
      </c>
      <c r="AX125" s="18">
        <v>0</v>
      </c>
      <c r="AY125" s="18"/>
      <c r="AZ125" s="18">
        <f t="shared" si="31"/>
        <v>0</v>
      </c>
      <c r="BA125" s="18">
        <v>0</v>
      </c>
      <c r="BB125" s="18"/>
      <c r="BC125" s="18">
        <f t="shared" si="32"/>
        <v>0</v>
      </c>
      <c r="BD125" s="18">
        <v>0</v>
      </c>
      <c r="BE125" s="18"/>
      <c r="BF125" s="18">
        <f t="shared" si="33"/>
        <v>0</v>
      </c>
    </row>
    <row r="126" spans="1:58" ht="25.5" x14ac:dyDescent="0.25">
      <c r="A126" s="124" t="s">
        <v>1241</v>
      </c>
      <c r="B126" s="124" t="s">
        <v>1468</v>
      </c>
      <c r="C126" s="18" t="s">
        <v>1683</v>
      </c>
      <c r="D126" s="18" t="s">
        <v>1684</v>
      </c>
      <c r="E126" s="18" t="s">
        <v>1500</v>
      </c>
      <c r="F126" s="18" t="s">
        <v>1111</v>
      </c>
      <c r="G126" s="119">
        <v>43100</v>
      </c>
      <c r="H126" s="18">
        <v>0</v>
      </c>
      <c r="I126" s="18"/>
      <c r="J126" s="18">
        <f t="shared" si="17"/>
        <v>0</v>
      </c>
      <c r="K126" s="18">
        <v>0</v>
      </c>
      <c r="L126" s="18"/>
      <c r="M126" s="18">
        <f t="shared" si="18"/>
        <v>0</v>
      </c>
      <c r="N126" s="18">
        <v>15.88</v>
      </c>
      <c r="O126" s="18"/>
      <c r="P126" s="18">
        <f t="shared" si="19"/>
        <v>15.88</v>
      </c>
      <c r="Q126" s="18">
        <v>4</v>
      </c>
      <c r="R126" s="18"/>
      <c r="S126" s="18">
        <f t="shared" si="20"/>
        <v>4</v>
      </c>
      <c r="T126" s="18">
        <v>1</v>
      </c>
      <c r="U126" s="18"/>
      <c r="V126" s="18">
        <f t="shared" si="21"/>
        <v>1</v>
      </c>
      <c r="W126" s="18">
        <v>357</v>
      </c>
      <c r="X126" s="18"/>
      <c r="Y126" s="18">
        <f t="shared" si="22"/>
        <v>357</v>
      </c>
      <c r="Z126" s="18">
        <v>10.79</v>
      </c>
      <c r="AA126" s="18"/>
      <c r="AB126" s="18">
        <f t="shared" si="23"/>
        <v>10.79</v>
      </c>
      <c r="AC126" s="18">
        <v>67.77</v>
      </c>
      <c r="AD126" s="18"/>
      <c r="AE126" s="18">
        <f t="shared" si="24"/>
        <v>67.77</v>
      </c>
      <c r="AF126" s="18">
        <v>56970</v>
      </c>
      <c r="AG126" s="18"/>
      <c r="AH126" s="18">
        <f t="shared" si="25"/>
        <v>56970</v>
      </c>
      <c r="AI126" s="18">
        <v>48600.5</v>
      </c>
      <c r="AJ126" s="18"/>
      <c r="AK126" s="18">
        <f t="shared" si="26"/>
        <v>48600.5</v>
      </c>
      <c r="AL126" s="18">
        <v>0.01</v>
      </c>
      <c r="AM126" s="18"/>
      <c r="AN126" s="18">
        <f t="shared" si="27"/>
        <v>0.01</v>
      </c>
      <c r="AO126" s="18">
        <v>1.6000000000000001E-3</v>
      </c>
      <c r="AP126" s="18"/>
      <c r="AQ126" s="18">
        <f t="shared" si="28"/>
        <v>1.6000000000000001E-3</v>
      </c>
      <c r="AR126" s="18">
        <v>0.01</v>
      </c>
      <c r="AS126" s="18"/>
      <c r="AT126" s="18">
        <f t="shared" si="29"/>
        <v>0.01</v>
      </c>
      <c r="AU126" s="18">
        <v>104522.46</v>
      </c>
      <c r="AV126" s="18"/>
      <c r="AW126" s="18">
        <f t="shared" si="30"/>
        <v>104522.46</v>
      </c>
      <c r="AX126" s="18">
        <v>0</v>
      </c>
      <c r="AY126" s="18"/>
      <c r="AZ126" s="18">
        <f t="shared" si="31"/>
        <v>0</v>
      </c>
      <c r="BA126" s="18">
        <v>0</v>
      </c>
      <c r="BB126" s="18"/>
      <c r="BC126" s="18">
        <f t="shared" si="32"/>
        <v>0</v>
      </c>
      <c r="BD126" s="18">
        <v>0</v>
      </c>
      <c r="BE126" s="18"/>
      <c r="BF126" s="18">
        <f t="shared" si="33"/>
        <v>0</v>
      </c>
    </row>
    <row r="127" spans="1:58" ht="38.25" x14ac:dyDescent="0.25">
      <c r="A127" s="124" t="s">
        <v>1242</v>
      </c>
      <c r="B127" s="124" t="s">
        <v>1468</v>
      </c>
      <c r="C127" s="18" t="s">
        <v>1685</v>
      </c>
      <c r="D127" s="18" t="s">
        <v>1686</v>
      </c>
      <c r="E127" s="18" t="s">
        <v>1503</v>
      </c>
      <c r="F127" s="18" t="s">
        <v>1111</v>
      </c>
      <c r="G127" s="119">
        <v>43131</v>
      </c>
      <c r="H127" s="18">
        <v>2.9369999999999998</v>
      </c>
      <c r="I127" s="18"/>
      <c r="J127" s="18">
        <f t="shared" si="17"/>
        <v>2.9369999999999998</v>
      </c>
      <c r="K127" s="18">
        <v>47.814</v>
      </c>
      <c r="L127" s="18"/>
      <c r="M127" s="18">
        <f t="shared" si="18"/>
        <v>47.814</v>
      </c>
      <c r="N127" s="18">
        <v>1792.31</v>
      </c>
      <c r="O127" s="18"/>
      <c r="P127" s="18">
        <f t="shared" si="19"/>
        <v>1792.31</v>
      </c>
      <c r="Q127" s="18">
        <v>3</v>
      </c>
      <c r="R127" s="18"/>
      <c r="S127" s="18">
        <f t="shared" si="20"/>
        <v>3</v>
      </c>
      <c r="T127" s="18">
        <v>1</v>
      </c>
      <c r="U127" s="18"/>
      <c r="V127" s="18">
        <f t="shared" si="21"/>
        <v>1</v>
      </c>
      <c r="W127" s="18">
        <v>376.55</v>
      </c>
      <c r="X127" s="18"/>
      <c r="Y127" s="18">
        <f t="shared" si="22"/>
        <v>376.55</v>
      </c>
      <c r="Z127" s="18">
        <v>14.045299999999999</v>
      </c>
      <c r="AA127" s="18"/>
      <c r="AB127" s="18">
        <f t="shared" si="23"/>
        <v>14.045299999999999</v>
      </c>
      <c r="AC127" s="18">
        <v>108.29949999999999</v>
      </c>
      <c r="AD127" s="18"/>
      <c r="AE127" s="18">
        <f t="shared" si="24"/>
        <v>108.29949999999999</v>
      </c>
      <c r="AF127" s="18">
        <v>94254.23</v>
      </c>
      <c r="AG127" s="18"/>
      <c r="AH127" s="18">
        <f t="shared" si="25"/>
        <v>94254.23</v>
      </c>
      <c r="AI127" s="18">
        <v>94254.23</v>
      </c>
      <c r="AJ127" s="18"/>
      <c r="AK127" s="18">
        <f t="shared" si="26"/>
        <v>94254.23</v>
      </c>
      <c r="AL127" s="18">
        <v>1173</v>
      </c>
      <c r="AM127" s="18"/>
      <c r="AN127" s="18">
        <f t="shared" si="27"/>
        <v>1173</v>
      </c>
      <c r="AO127" s="18">
        <v>297.7</v>
      </c>
      <c r="AP127" s="18"/>
      <c r="AQ127" s="18">
        <f t="shared" si="28"/>
        <v>297.7</v>
      </c>
      <c r="AR127" s="18">
        <v>1033.2</v>
      </c>
      <c r="AS127" s="18"/>
      <c r="AT127" s="18">
        <f t="shared" si="29"/>
        <v>1033.2</v>
      </c>
      <c r="AU127" s="18">
        <v>126739.2</v>
      </c>
      <c r="AV127" s="18"/>
      <c r="AW127" s="18">
        <f t="shared" si="30"/>
        <v>126739.2</v>
      </c>
      <c r="AX127" s="18">
        <v>2.9369999999999998</v>
      </c>
      <c r="AY127" s="18"/>
      <c r="AZ127" s="18">
        <f t="shared" si="31"/>
        <v>2.9369999999999998</v>
      </c>
      <c r="BA127" s="18">
        <v>50.750999999999998</v>
      </c>
      <c r="BB127" s="18"/>
      <c r="BC127" s="18">
        <f t="shared" si="32"/>
        <v>50.750999999999998</v>
      </c>
      <c r="BD127" s="18">
        <v>47.814</v>
      </c>
      <c r="BE127" s="18"/>
      <c r="BF127" s="18">
        <f t="shared" si="33"/>
        <v>47.814</v>
      </c>
    </row>
    <row r="128" spans="1:58" ht="25.5" x14ac:dyDescent="0.25">
      <c r="A128" s="124" t="s">
        <v>1243</v>
      </c>
      <c r="B128" s="124" t="s">
        <v>1468</v>
      </c>
      <c r="C128" s="18" t="s">
        <v>1687</v>
      </c>
      <c r="D128" s="18" t="s">
        <v>1688</v>
      </c>
      <c r="E128" s="18" t="s">
        <v>1477</v>
      </c>
      <c r="F128" s="18" t="s">
        <v>1111</v>
      </c>
      <c r="G128" s="119">
        <v>43404</v>
      </c>
      <c r="H128" s="18">
        <v>0</v>
      </c>
      <c r="I128" s="18"/>
      <c r="J128" s="18">
        <f t="shared" si="17"/>
        <v>0</v>
      </c>
      <c r="K128" s="18">
        <v>0</v>
      </c>
      <c r="L128" s="18"/>
      <c r="M128" s="18">
        <f t="shared" si="18"/>
        <v>0</v>
      </c>
      <c r="N128" s="18">
        <v>37.368000000000002</v>
      </c>
      <c r="O128" s="18"/>
      <c r="P128" s="18">
        <f t="shared" si="19"/>
        <v>37.368000000000002</v>
      </c>
      <c r="Q128" s="18">
        <v>3</v>
      </c>
      <c r="R128" s="18"/>
      <c r="S128" s="18">
        <f t="shared" si="20"/>
        <v>3</v>
      </c>
      <c r="T128" s="18">
        <v>1</v>
      </c>
      <c r="U128" s="18"/>
      <c r="V128" s="18">
        <f t="shared" si="21"/>
        <v>1</v>
      </c>
      <c r="W128" s="18">
        <v>837.43</v>
      </c>
      <c r="X128" s="18"/>
      <c r="Y128" s="18">
        <f t="shared" si="22"/>
        <v>837.43</v>
      </c>
      <c r="Z128" s="18">
        <v>18.5</v>
      </c>
      <c r="AA128" s="18"/>
      <c r="AB128" s="18">
        <f t="shared" si="23"/>
        <v>18.5</v>
      </c>
      <c r="AC128" s="18">
        <v>153</v>
      </c>
      <c r="AD128" s="18"/>
      <c r="AE128" s="18">
        <f t="shared" si="24"/>
        <v>153</v>
      </c>
      <c r="AF128" s="18">
        <v>134457.76</v>
      </c>
      <c r="AG128" s="18"/>
      <c r="AH128" s="18">
        <f t="shared" si="25"/>
        <v>134457.76</v>
      </c>
      <c r="AI128" s="18">
        <v>134457.76</v>
      </c>
      <c r="AJ128" s="18"/>
      <c r="AK128" s="18">
        <f t="shared" si="26"/>
        <v>134457.76</v>
      </c>
      <c r="AL128" s="18">
        <v>67.876999999999995</v>
      </c>
      <c r="AM128" s="18"/>
      <c r="AN128" s="18">
        <f t="shared" si="27"/>
        <v>67.876999999999995</v>
      </c>
      <c r="AO128" s="18">
        <v>1.3698999999999999</v>
      </c>
      <c r="AP128" s="18"/>
      <c r="AQ128" s="18">
        <f t="shared" si="28"/>
        <v>1.3698999999999999</v>
      </c>
      <c r="AR128" s="18">
        <v>6.8497000000000003</v>
      </c>
      <c r="AS128" s="18"/>
      <c r="AT128" s="18">
        <f t="shared" si="29"/>
        <v>6.8497000000000003</v>
      </c>
      <c r="AU128" s="18">
        <v>193672.43</v>
      </c>
      <c r="AV128" s="18"/>
      <c r="AW128" s="18">
        <f t="shared" si="30"/>
        <v>193672.43</v>
      </c>
      <c r="AX128" s="18">
        <v>0</v>
      </c>
      <c r="AY128" s="18"/>
      <c r="AZ128" s="18">
        <f t="shared" si="31"/>
        <v>0</v>
      </c>
      <c r="BA128" s="18">
        <v>0</v>
      </c>
      <c r="BB128" s="18"/>
      <c r="BC128" s="18">
        <f t="shared" si="32"/>
        <v>0</v>
      </c>
      <c r="BD128" s="18">
        <v>0</v>
      </c>
      <c r="BE128" s="18"/>
      <c r="BF128" s="18">
        <f t="shared" si="33"/>
        <v>0</v>
      </c>
    </row>
    <row r="129" spans="1:58" ht="38.25" x14ac:dyDescent="0.25">
      <c r="A129" s="124" t="s">
        <v>1244</v>
      </c>
      <c r="B129" s="124" t="s">
        <v>1468</v>
      </c>
      <c r="C129" s="18" t="s">
        <v>1689</v>
      </c>
      <c r="D129" s="18" t="s">
        <v>1690</v>
      </c>
      <c r="E129" s="18" t="s">
        <v>1483</v>
      </c>
      <c r="F129" s="18" t="s">
        <v>1111</v>
      </c>
      <c r="G129" s="119">
        <v>43190</v>
      </c>
      <c r="H129" s="18">
        <v>4.95</v>
      </c>
      <c r="I129" s="18"/>
      <c r="J129" s="18">
        <f t="shared" si="17"/>
        <v>4.95</v>
      </c>
      <c r="K129" s="18">
        <v>0</v>
      </c>
      <c r="L129" s="18"/>
      <c r="M129" s="18">
        <f t="shared" si="18"/>
        <v>0</v>
      </c>
      <c r="N129" s="18">
        <v>42.9527</v>
      </c>
      <c r="O129" s="18"/>
      <c r="P129" s="18">
        <f t="shared" si="19"/>
        <v>42.9527</v>
      </c>
      <c r="Q129" s="18">
        <v>7</v>
      </c>
      <c r="R129" s="18"/>
      <c r="S129" s="18">
        <f t="shared" si="20"/>
        <v>7</v>
      </c>
      <c r="T129" s="18">
        <v>1</v>
      </c>
      <c r="U129" s="18"/>
      <c r="V129" s="18">
        <f t="shared" si="21"/>
        <v>1</v>
      </c>
      <c r="W129" s="18">
        <v>1079.1400000000001</v>
      </c>
      <c r="X129" s="18"/>
      <c r="Y129" s="18">
        <f t="shared" si="22"/>
        <v>1079.1400000000001</v>
      </c>
      <c r="Z129" s="18">
        <v>38.14</v>
      </c>
      <c r="AA129" s="18"/>
      <c r="AB129" s="18">
        <f t="shared" si="23"/>
        <v>38.14</v>
      </c>
      <c r="AC129" s="18">
        <v>192.46</v>
      </c>
      <c r="AD129" s="18"/>
      <c r="AE129" s="18">
        <f t="shared" si="24"/>
        <v>192.46</v>
      </c>
      <c r="AF129" s="18">
        <v>154322.62</v>
      </c>
      <c r="AG129" s="18"/>
      <c r="AH129" s="18">
        <f t="shared" si="25"/>
        <v>154322.62</v>
      </c>
      <c r="AI129" s="18">
        <v>241421.93</v>
      </c>
      <c r="AJ129" s="18"/>
      <c r="AK129" s="18">
        <f t="shared" si="26"/>
        <v>241421.93</v>
      </c>
      <c r="AL129" s="18">
        <v>2.4299999999999999E-2</v>
      </c>
      <c r="AM129" s="18"/>
      <c r="AN129" s="18">
        <f t="shared" si="27"/>
        <v>2.4299999999999999E-2</v>
      </c>
      <c r="AO129" s="18">
        <v>2.2000000000000001E-3</v>
      </c>
      <c r="AP129" s="18"/>
      <c r="AQ129" s="18">
        <f t="shared" si="28"/>
        <v>2.2000000000000001E-3</v>
      </c>
      <c r="AR129" s="18">
        <v>2.3999999999999998E-3</v>
      </c>
      <c r="AS129" s="18"/>
      <c r="AT129" s="18">
        <f t="shared" si="29"/>
        <v>2.3999999999999998E-3</v>
      </c>
      <c r="AU129" s="18">
        <v>155293.01999999999</v>
      </c>
      <c r="AV129" s="18"/>
      <c r="AW129" s="18">
        <f t="shared" si="30"/>
        <v>155293.01999999999</v>
      </c>
      <c r="AX129" s="18">
        <v>9.9000000000000008E-3</v>
      </c>
      <c r="AY129" s="18"/>
      <c r="AZ129" s="18">
        <f t="shared" si="31"/>
        <v>9.9000000000000008E-3</v>
      </c>
      <c r="BA129" s="18">
        <v>9.9000000000000008E-3</v>
      </c>
      <c r="BB129" s="18"/>
      <c r="BC129" s="18">
        <f t="shared" si="32"/>
        <v>9.9000000000000008E-3</v>
      </c>
      <c r="BD129" s="18">
        <v>0</v>
      </c>
      <c r="BE129" s="18"/>
      <c r="BF129" s="18">
        <f t="shared" si="33"/>
        <v>0</v>
      </c>
    </row>
    <row r="130" spans="1:58" ht="38.25" x14ac:dyDescent="0.25">
      <c r="A130" s="124" t="s">
        <v>1245</v>
      </c>
      <c r="B130" s="124" t="s">
        <v>1468</v>
      </c>
      <c r="C130" s="18" t="s">
        <v>1689</v>
      </c>
      <c r="D130" s="18" t="s">
        <v>1691</v>
      </c>
      <c r="E130" s="18" t="s">
        <v>1483</v>
      </c>
      <c r="F130" s="18" t="s">
        <v>1111</v>
      </c>
      <c r="G130" s="119">
        <v>43343</v>
      </c>
      <c r="H130" s="18">
        <v>6.39</v>
      </c>
      <c r="I130" s="18"/>
      <c r="J130" s="18">
        <f t="shared" si="17"/>
        <v>6.39</v>
      </c>
      <c r="K130" s="18">
        <v>0</v>
      </c>
      <c r="L130" s="18"/>
      <c r="M130" s="18">
        <f t="shared" si="18"/>
        <v>0</v>
      </c>
      <c r="N130" s="18">
        <v>34.368000000000002</v>
      </c>
      <c r="O130" s="18"/>
      <c r="P130" s="18">
        <f t="shared" si="19"/>
        <v>34.368000000000002</v>
      </c>
      <c r="Q130" s="18">
        <v>4</v>
      </c>
      <c r="R130" s="18"/>
      <c r="S130" s="18">
        <f t="shared" si="20"/>
        <v>4</v>
      </c>
      <c r="T130" s="18">
        <v>1</v>
      </c>
      <c r="U130" s="18"/>
      <c r="V130" s="18">
        <f t="shared" si="21"/>
        <v>1</v>
      </c>
      <c r="W130" s="18">
        <v>774.06</v>
      </c>
      <c r="X130" s="18"/>
      <c r="Y130" s="18">
        <f t="shared" si="22"/>
        <v>774.06</v>
      </c>
      <c r="Z130" s="18">
        <v>46.15</v>
      </c>
      <c r="AA130" s="18"/>
      <c r="AB130" s="18">
        <f t="shared" si="23"/>
        <v>46.15</v>
      </c>
      <c r="AC130" s="18">
        <v>170.94</v>
      </c>
      <c r="AD130" s="18"/>
      <c r="AE130" s="18">
        <f t="shared" si="24"/>
        <v>170.94</v>
      </c>
      <c r="AF130" s="18">
        <v>124791</v>
      </c>
      <c r="AG130" s="18"/>
      <c r="AH130" s="18">
        <f t="shared" si="25"/>
        <v>124791</v>
      </c>
      <c r="AI130" s="18">
        <v>119027</v>
      </c>
      <c r="AJ130" s="18"/>
      <c r="AK130" s="18">
        <f t="shared" si="26"/>
        <v>119027</v>
      </c>
      <c r="AL130" s="18">
        <v>2.4899999999999999E-2</v>
      </c>
      <c r="AM130" s="18"/>
      <c r="AN130" s="18">
        <f t="shared" si="27"/>
        <v>2.4899999999999999E-2</v>
      </c>
      <c r="AO130" s="18">
        <v>2.3E-3</v>
      </c>
      <c r="AP130" s="18"/>
      <c r="AQ130" s="18">
        <f t="shared" si="28"/>
        <v>2.3E-3</v>
      </c>
      <c r="AR130" s="18">
        <v>7.1999999999999998E-3</v>
      </c>
      <c r="AS130" s="18"/>
      <c r="AT130" s="18">
        <f t="shared" si="29"/>
        <v>7.1999999999999998E-3</v>
      </c>
      <c r="AU130" s="18">
        <v>120127</v>
      </c>
      <c r="AV130" s="18"/>
      <c r="AW130" s="18">
        <f t="shared" si="30"/>
        <v>120127</v>
      </c>
      <c r="AX130" s="18">
        <v>0.01</v>
      </c>
      <c r="AY130" s="18"/>
      <c r="AZ130" s="18">
        <f t="shared" si="31"/>
        <v>0.01</v>
      </c>
      <c r="BA130" s="18">
        <v>0.01</v>
      </c>
      <c r="BB130" s="18"/>
      <c r="BC130" s="18">
        <f t="shared" si="32"/>
        <v>0.01</v>
      </c>
      <c r="BD130" s="18">
        <v>0</v>
      </c>
      <c r="BE130" s="18"/>
      <c r="BF130" s="18">
        <f t="shared" si="33"/>
        <v>0</v>
      </c>
    </row>
    <row r="131" spans="1:58" ht="38.25" x14ac:dyDescent="0.25">
      <c r="A131" s="124" t="s">
        <v>1246</v>
      </c>
      <c r="B131" s="124" t="s">
        <v>1468</v>
      </c>
      <c r="C131" s="18" t="s">
        <v>1689</v>
      </c>
      <c r="D131" s="18" t="s">
        <v>1692</v>
      </c>
      <c r="E131" s="18" t="s">
        <v>1483</v>
      </c>
      <c r="F131" s="18" t="s">
        <v>1111</v>
      </c>
      <c r="G131" s="119">
        <v>43281</v>
      </c>
      <c r="H131" s="18">
        <v>0</v>
      </c>
      <c r="I131" s="18"/>
      <c r="J131" s="18">
        <f t="shared" si="17"/>
        <v>0</v>
      </c>
      <c r="K131" s="18">
        <v>4.99</v>
      </c>
      <c r="L131" s="18"/>
      <c r="M131" s="18">
        <f t="shared" si="18"/>
        <v>4.99</v>
      </c>
      <c r="N131" s="18">
        <v>38.063000000000002</v>
      </c>
      <c r="O131" s="18"/>
      <c r="P131" s="18">
        <f t="shared" si="19"/>
        <v>38.063000000000002</v>
      </c>
      <c r="Q131" s="18">
        <v>5</v>
      </c>
      <c r="R131" s="18"/>
      <c r="S131" s="18">
        <f t="shared" si="20"/>
        <v>5</v>
      </c>
      <c r="T131" s="18">
        <v>1</v>
      </c>
      <c r="U131" s="18"/>
      <c r="V131" s="18">
        <f t="shared" si="21"/>
        <v>1</v>
      </c>
      <c r="W131" s="18">
        <v>595.46</v>
      </c>
      <c r="X131" s="18"/>
      <c r="Y131" s="18">
        <f t="shared" si="22"/>
        <v>595.46</v>
      </c>
      <c r="Z131" s="18">
        <v>49.28</v>
      </c>
      <c r="AA131" s="18"/>
      <c r="AB131" s="18">
        <f t="shared" si="23"/>
        <v>49.28</v>
      </c>
      <c r="AC131" s="18">
        <v>186.94</v>
      </c>
      <c r="AD131" s="18"/>
      <c r="AE131" s="18">
        <f t="shared" si="24"/>
        <v>186.94</v>
      </c>
      <c r="AF131" s="18">
        <v>137652</v>
      </c>
      <c r="AG131" s="18"/>
      <c r="AH131" s="18">
        <f t="shared" si="25"/>
        <v>137652</v>
      </c>
      <c r="AI131" s="18">
        <v>91712</v>
      </c>
      <c r="AJ131" s="18"/>
      <c r="AK131" s="18">
        <f t="shared" si="26"/>
        <v>91712</v>
      </c>
      <c r="AL131" s="18">
        <v>22.3</v>
      </c>
      <c r="AM131" s="18"/>
      <c r="AN131" s="18">
        <f t="shared" si="27"/>
        <v>22.3</v>
      </c>
      <c r="AO131" s="18">
        <v>1.5</v>
      </c>
      <c r="AP131" s="18"/>
      <c r="AQ131" s="18">
        <f t="shared" si="28"/>
        <v>1.5</v>
      </c>
      <c r="AR131" s="18">
        <v>2.5</v>
      </c>
      <c r="AS131" s="18"/>
      <c r="AT131" s="18">
        <f t="shared" si="29"/>
        <v>2.5</v>
      </c>
      <c r="AU131" s="18">
        <v>120733</v>
      </c>
      <c r="AV131" s="18"/>
      <c r="AW131" s="18">
        <f t="shared" si="30"/>
        <v>120733</v>
      </c>
      <c r="AX131" s="18">
        <v>0</v>
      </c>
      <c r="AY131" s="18"/>
      <c r="AZ131" s="18">
        <f t="shared" si="31"/>
        <v>0</v>
      </c>
      <c r="BA131" s="18">
        <v>5.7000000000000002E-2</v>
      </c>
      <c r="BB131" s="18"/>
      <c r="BC131" s="18">
        <f t="shared" si="32"/>
        <v>5.7000000000000002E-2</v>
      </c>
      <c r="BD131" s="18">
        <v>5.7000000000000002E-2</v>
      </c>
      <c r="BE131" s="18"/>
      <c r="BF131" s="18">
        <f t="shared" si="33"/>
        <v>5.7000000000000002E-2</v>
      </c>
    </row>
    <row r="132" spans="1:58" ht="38.25" x14ac:dyDescent="0.25">
      <c r="A132" s="124" t="s">
        <v>1247</v>
      </c>
      <c r="B132" s="124" t="s">
        <v>1468</v>
      </c>
      <c r="C132" s="18" t="s">
        <v>1693</v>
      </c>
      <c r="D132" s="18" t="s">
        <v>1694</v>
      </c>
      <c r="E132" s="18" t="s">
        <v>1474</v>
      </c>
      <c r="F132" s="18" t="s">
        <v>1111</v>
      </c>
      <c r="G132" s="119">
        <v>43312</v>
      </c>
      <c r="H132" s="18">
        <v>0</v>
      </c>
      <c r="I132" s="18"/>
      <c r="J132" s="18">
        <f t="shared" si="17"/>
        <v>0</v>
      </c>
      <c r="K132" s="18">
        <v>7.47</v>
      </c>
      <c r="L132" s="18"/>
      <c r="M132" s="18">
        <f t="shared" si="18"/>
        <v>7.47</v>
      </c>
      <c r="N132" s="18">
        <v>79.378200000000007</v>
      </c>
      <c r="O132" s="18"/>
      <c r="P132" s="18">
        <f t="shared" si="19"/>
        <v>79.378200000000007</v>
      </c>
      <c r="Q132" s="18">
        <v>6</v>
      </c>
      <c r="R132" s="18"/>
      <c r="S132" s="18">
        <f t="shared" si="20"/>
        <v>6</v>
      </c>
      <c r="T132" s="18">
        <v>1</v>
      </c>
      <c r="U132" s="18"/>
      <c r="V132" s="18">
        <f t="shared" si="21"/>
        <v>1</v>
      </c>
      <c r="W132" s="18">
        <v>2394.08</v>
      </c>
      <c r="X132" s="18"/>
      <c r="Y132" s="18">
        <f t="shared" si="22"/>
        <v>2394.08</v>
      </c>
      <c r="Z132" s="18">
        <v>81.3</v>
      </c>
      <c r="AA132" s="18"/>
      <c r="AB132" s="18">
        <f t="shared" si="23"/>
        <v>81.3</v>
      </c>
      <c r="AC132" s="18">
        <v>368.8</v>
      </c>
      <c r="AD132" s="18"/>
      <c r="AE132" s="18">
        <f t="shared" si="24"/>
        <v>368.8</v>
      </c>
      <c r="AF132" s="18">
        <v>287482</v>
      </c>
      <c r="AG132" s="18"/>
      <c r="AH132" s="18">
        <f t="shared" si="25"/>
        <v>287482</v>
      </c>
      <c r="AI132" s="18">
        <v>524786</v>
      </c>
      <c r="AJ132" s="18"/>
      <c r="AK132" s="18">
        <f t="shared" si="26"/>
        <v>524786</v>
      </c>
      <c r="AL132" s="18">
        <v>55.5</v>
      </c>
      <c r="AM132" s="18"/>
      <c r="AN132" s="18">
        <f t="shared" si="27"/>
        <v>55.5</v>
      </c>
      <c r="AO132" s="18">
        <v>0</v>
      </c>
      <c r="AP132" s="18"/>
      <c r="AQ132" s="18">
        <f t="shared" si="28"/>
        <v>0</v>
      </c>
      <c r="AR132" s="18">
        <v>14</v>
      </c>
      <c r="AS132" s="18"/>
      <c r="AT132" s="18">
        <f t="shared" si="29"/>
        <v>14</v>
      </c>
      <c r="AU132" s="18">
        <v>716830</v>
      </c>
      <c r="AV132" s="18"/>
      <c r="AW132" s="18">
        <f t="shared" si="30"/>
        <v>716830</v>
      </c>
      <c r="AX132" s="18">
        <v>0</v>
      </c>
      <c r="AY132" s="18"/>
      <c r="AZ132" s="18">
        <f t="shared" si="31"/>
        <v>0</v>
      </c>
      <c r="BA132" s="18">
        <v>0</v>
      </c>
      <c r="BB132" s="18"/>
      <c r="BC132" s="18">
        <f t="shared" si="32"/>
        <v>0</v>
      </c>
      <c r="BD132" s="18">
        <v>0</v>
      </c>
      <c r="BE132" s="18"/>
      <c r="BF132" s="18">
        <f t="shared" si="33"/>
        <v>0</v>
      </c>
    </row>
    <row r="133" spans="1:58" ht="25.5" x14ac:dyDescent="0.25">
      <c r="A133" s="124" t="s">
        <v>1248</v>
      </c>
      <c r="B133" s="124" t="s">
        <v>1468</v>
      </c>
      <c r="C133" s="18" t="s">
        <v>1695</v>
      </c>
      <c r="D133" s="18" t="s">
        <v>1696</v>
      </c>
      <c r="E133" s="18" t="s">
        <v>1500</v>
      </c>
      <c r="F133" s="18" t="s">
        <v>1111</v>
      </c>
      <c r="G133" s="119">
        <v>43555</v>
      </c>
      <c r="H133" s="18">
        <v>0</v>
      </c>
      <c r="I133" s="18"/>
      <c r="J133" s="18">
        <f t="shared" si="17"/>
        <v>0</v>
      </c>
      <c r="K133" s="18">
        <v>12.023</v>
      </c>
      <c r="L133" s="18"/>
      <c r="M133" s="18">
        <f t="shared" si="18"/>
        <v>0</v>
      </c>
      <c r="N133" s="18">
        <v>16.877500000000001</v>
      </c>
      <c r="O133" s="18"/>
      <c r="P133" s="18">
        <f t="shared" si="19"/>
        <v>0</v>
      </c>
      <c r="Q133" s="18">
        <v>3</v>
      </c>
      <c r="R133" s="18"/>
      <c r="S133" s="18">
        <f t="shared" si="20"/>
        <v>0</v>
      </c>
      <c r="T133" s="18">
        <v>1</v>
      </c>
      <c r="U133" s="18"/>
      <c r="V133" s="18">
        <f t="shared" si="21"/>
        <v>0</v>
      </c>
      <c r="W133" s="18">
        <v>691.8</v>
      </c>
      <c r="X133" s="18"/>
      <c r="Y133" s="18">
        <f t="shared" si="22"/>
        <v>0</v>
      </c>
      <c r="Z133" s="18">
        <v>18</v>
      </c>
      <c r="AA133" s="18"/>
      <c r="AB133" s="18">
        <f t="shared" si="23"/>
        <v>0</v>
      </c>
      <c r="AC133" s="18">
        <v>89.97</v>
      </c>
      <c r="AD133" s="18"/>
      <c r="AE133" s="18">
        <f t="shared" si="24"/>
        <v>0</v>
      </c>
      <c r="AF133" s="18">
        <v>71970</v>
      </c>
      <c r="AG133" s="18"/>
      <c r="AH133" s="18">
        <f t="shared" si="25"/>
        <v>0</v>
      </c>
      <c r="AI133" s="18">
        <v>128660.96</v>
      </c>
      <c r="AJ133" s="18"/>
      <c r="AK133" s="18">
        <f t="shared" si="26"/>
        <v>0</v>
      </c>
      <c r="AL133" s="18">
        <v>17.7</v>
      </c>
      <c r="AM133" s="18"/>
      <c r="AN133" s="18">
        <f t="shared" si="27"/>
        <v>0</v>
      </c>
      <c r="AO133" s="18">
        <v>2</v>
      </c>
      <c r="AP133" s="18"/>
      <c r="AQ133" s="18">
        <f t="shared" si="28"/>
        <v>0</v>
      </c>
      <c r="AR133" s="18">
        <v>3.7</v>
      </c>
      <c r="AS133" s="18"/>
      <c r="AT133" s="18">
        <f t="shared" si="29"/>
        <v>0</v>
      </c>
      <c r="AU133" s="18">
        <v>184876.63</v>
      </c>
      <c r="AV133" s="18"/>
      <c r="AW133" s="18">
        <f t="shared" si="30"/>
        <v>0</v>
      </c>
      <c r="AX133" s="18">
        <v>0</v>
      </c>
      <c r="AY133" s="18"/>
      <c r="AZ133" s="18">
        <f t="shared" si="31"/>
        <v>0</v>
      </c>
      <c r="BA133" s="18">
        <v>1.6E-2</v>
      </c>
      <c r="BB133" s="18"/>
      <c r="BC133" s="18">
        <f t="shared" si="32"/>
        <v>0</v>
      </c>
      <c r="BD133" s="18">
        <v>1.6E-2</v>
      </c>
      <c r="BE133" s="18"/>
      <c r="BF133" s="18">
        <f t="shared" si="33"/>
        <v>0</v>
      </c>
    </row>
    <row r="134" spans="1:58" ht="38.25" x14ac:dyDescent="0.25">
      <c r="A134" s="124" t="s">
        <v>1249</v>
      </c>
      <c r="B134" s="124" t="s">
        <v>1468</v>
      </c>
      <c r="C134" s="18" t="s">
        <v>1697</v>
      </c>
      <c r="D134" s="18" t="s">
        <v>1698</v>
      </c>
      <c r="E134" s="18" t="s">
        <v>1500</v>
      </c>
      <c r="F134" s="18" t="s">
        <v>1111</v>
      </c>
      <c r="G134" s="119">
        <v>43434</v>
      </c>
      <c r="H134" s="18">
        <v>0</v>
      </c>
      <c r="I134" s="18"/>
      <c r="J134" s="18">
        <f t="shared" ref="J134:J197" si="34">IF(H134="","",IF($F134="Projekt riadne ukončený (K)",I134,IF($G134&lt;=J$4,H134,0)))</f>
        <v>0</v>
      </c>
      <c r="K134" s="18">
        <v>0</v>
      </c>
      <c r="L134" s="18"/>
      <c r="M134" s="18">
        <f t="shared" ref="M134:M197" si="35">IF(K134="","",IF($F134="Projekt riadne ukončený (K)",L134,IF($G134&lt;=M$4,K134,0)))</f>
        <v>0</v>
      </c>
      <c r="N134" s="18">
        <v>1.9300000000000001E-2</v>
      </c>
      <c r="O134" s="18"/>
      <c r="P134" s="18">
        <f t="shared" ref="P134:P197" si="36">IF(N134="","",IF($F134="Projekt riadne ukončený (K)",O134,IF($G134&lt;=P$4,N134,0)))</f>
        <v>1.9300000000000001E-2</v>
      </c>
      <c r="Q134" s="18">
        <v>3</v>
      </c>
      <c r="R134" s="18"/>
      <c r="S134" s="18">
        <f t="shared" ref="S134:S197" si="37">IF(Q134="","",IF($F134="Projekt riadne ukončený (K)",R134,IF($G134&lt;=S$4,Q134,0)))</f>
        <v>3</v>
      </c>
      <c r="T134" s="18">
        <v>1</v>
      </c>
      <c r="U134" s="18"/>
      <c r="V134" s="18">
        <f t="shared" ref="V134:V197" si="38">IF(T134="","",IF($F134="Projekt riadne ukončený (K)",U134,IF($G134&lt;=V$4,T134,0)))</f>
        <v>1</v>
      </c>
      <c r="W134" s="18">
        <v>497.32</v>
      </c>
      <c r="X134" s="18"/>
      <c r="Y134" s="18">
        <f t="shared" ref="Y134:Y197" si="39">IF(W134="","",IF($F134="Projekt riadne ukončený (K)",X134,IF($G134&lt;=Y$4,W134,0)))</f>
        <v>497.32</v>
      </c>
      <c r="Z134" s="18">
        <v>18.327200000000001</v>
      </c>
      <c r="AA134" s="18"/>
      <c r="AB134" s="18">
        <f t="shared" ref="AB134:AB197" si="40">IF(Z134="","",IF($F134="Projekt riadne ukončený (K)",AA134,IF($G134&lt;=AB$4,Z134,0)))</f>
        <v>18.327200000000001</v>
      </c>
      <c r="AC134" s="18">
        <v>64.305999999999997</v>
      </c>
      <c r="AD134" s="18"/>
      <c r="AE134" s="18">
        <f t="shared" ref="AE134:AE197" si="41">IF(AC134="","",IF($F134="Projekt riadne ukončený (K)",AD134,IF($G134&lt;=AE$4,AC134,0)))</f>
        <v>64.305999999999997</v>
      </c>
      <c r="AF134" s="18">
        <v>45978.79</v>
      </c>
      <c r="AG134" s="18"/>
      <c r="AH134" s="18">
        <f t="shared" ref="AH134:AH197" si="42">IF(AF134="","",IF($F134="Projekt riadne ukončený (K)",AG134,IF($G134&lt;=AH$4,AF134,0)))</f>
        <v>45978.79</v>
      </c>
      <c r="AI134" s="18">
        <v>68630.16</v>
      </c>
      <c r="AJ134" s="18"/>
      <c r="AK134" s="18">
        <f t="shared" ref="AK134:AK197" si="43">IF(AI134="","",IF($F134="Projekt riadne ukončený (K)",AJ134,IF($G134&lt;=AK$4,AI134,0)))</f>
        <v>68630.16</v>
      </c>
      <c r="AL134" s="18">
        <v>12.77</v>
      </c>
      <c r="AM134" s="18"/>
      <c r="AN134" s="18">
        <f t="shared" ref="AN134:AN197" si="44">IF(AL134="","",IF($F134="Projekt riadne ukončený (K)",AM134,IF($G134&lt;=AN$4,AL134,0)))</f>
        <v>12.77</v>
      </c>
      <c r="AO134" s="18">
        <v>0.36</v>
      </c>
      <c r="AP134" s="18"/>
      <c r="AQ134" s="18">
        <f t="shared" ref="AQ134:AQ197" si="45">IF(AO134="","",IF($F134="Projekt riadne ukončený (K)",AP134,IF($G134&lt;=AQ$4,AO134,0)))</f>
        <v>0.36</v>
      </c>
      <c r="AR134" s="18">
        <v>1.57</v>
      </c>
      <c r="AS134" s="18"/>
      <c r="AT134" s="18">
        <f t="shared" ref="AT134:AT197" si="46">IF(AR134="","",IF($F134="Projekt riadne ukončený (K)",AS134,IF($G134&lt;=AT$4,AR134,0)))</f>
        <v>1.57</v>
      </c>
      <c r="AU134" s="18">
        <v>96977.4</v>
      </c>
      <c r="AV134" s="18"/>
      <c r="AW134" s="18">
        <f t="shared" ref="AW134:AW197" si="47">IF(AU134="","",IF($F134="Projekt riadne ukončený (K)",AV134,IF($G134&lt;=AW$4,AU134,0)))</f>
        <v>96977.4</v>
      </c>
      <c r="AX134" s="18">
        <v>0</v>
      </c>
      <c r="AY134" s="18"/>
      <c r="AZ134" s="18">
        <f t="shared" ref="AZ134:AZ197" si="48">IF(AX134="","",IF($F134="Projekt riadne ukončený (K)",AY134,IF($G134&lt;=AZ$4,AX134,0)))</f>
        <v>0</v>
      </c>
      <c r="BA134" s="18">
        <v>0</v>
      </c>
      <c r="BB134" s="18"/>
      <c r="BC134" s="18">
        <f t="shared" ref="BC134:BC197" si="49">IF(BA134="","",IF($F134="Projekt riadne ukončený (K)",BB134,IF($G134&lt;=BC$4,BA134,0)))</f>
        <v>0</v>
      </c>
      <c r="BD134" s="18">
        <v>0</v>
      </c>
      <c r="BE134" s="18"/>
      <c r="BF134" s="18">
        <f t="shared" ref="BF134:BF197" si="50">IF(BD134="","",IF($F134="Projekt riadne ukončený (K)",BE134,IF($G134&lt;=BF$4,BD134,0)))</f>
        <v>0</v>
      </c>
    </row>
    <row r="135" spans="1:58" ht="51" x14ac:dyDescent="0.25">
      <c r="A135" s="124" t="s">
        <v>1250</v>
      </c>
      <c r="B135" s="124" t="s">
        <v>1468</v>
      </c>
      <c r="C135" s="18" t="s">
        <v>1699</v>
      </c>
      <c r="D135" s="18" t="s">
        <v>1700</v>
      </c>
      <c r="E135" s="18" t="s">
        <v>1471</v>
      </c>
      <c r="F135" s="18" t="s">
        <v>1111</v>
      </c>
      <c r="G135" s="119">
        <v>43496</v>
      </c>
      <c r="H135" s="18">
        <v>0</v>
      </c>
      <c r="I135" s="18"/>
      <c r="J135" s="18">
        <f t="shared" si="34"/>
        <v>0</v>
      </c>
      <c r="K135" s="18">
        <v>0</v>
      </c>
      <c r="L135" s="18"/>
      <c r="M135" s="18">
        <f t="shared" si="35"/>
        <v>0</v>
      </c>
      <c r="N135" s="18">
        <v>220.22900000000001</v>
      </c>
      <c r="O135" s="18"/>
      <c r="P135" s="18">
        <f t="shared" si="36"/>
        <v>0</v>
      </c>
      <c r="Q135" s="18">
        <v>2</v>
      </c>
      <c r="R135" s="18"/>
      <c r="S135" s="18">
        <f t="shared" si="37"/>
        <v>0</v>
      </c>
      <c r="T135" s="18">
        <v>1</v>
      </c>
      <c r="U135" s="18"/>
      <c r="V135" s="18">
        <f t="shared" si="38"/>
        <v>0</v>
      </c>
      <c r="W135" s="18">
        <v>4212</v>
      </c>
      <c r="X135" s="18"/>
      <c r="Y135" s="18">
        <f t="shared" si="39"/>
        <v>0</v>
      </c>
      <c r="Z135" s="18">
        <v>158.6</v>
      </c>
      <c r="AA135" s="18"/>
      <c r="AB135" s="18">
        <f t="shared" si="40"/>
        <v>0</v>
      </c>
      <c r="AC135" s="18">
        <v>487.3</v>
      </c>
      <c r="AD135" s="18"/>
      <c r="AE135" s="18">
        <f t="shared" si="41"/>
        <v>0</v>
      </c>
      <c r="AF135" s="18">
        <v>328700</v>
      </c>
      <c r="AG135" s="18"/>
      <c r="AH135" s="18">
        <f t="shared" si="42"/>
        <v>0</v>
      </c>
      <c r="AI135" s="18">
        <v>328700</v>
      </c>
      <c r="AJ135" s="18"/>
      <c r="AK135" s="18">
        <f t="shared" si="43"/>
        <v>0</v>
      </c>
      <c r="AL135" s="18">
        <v>276.10000000000002</v>
      </c>
      <c r="AM135" s="18"/>
      <c r="AN135" s="18">
        <f t="shared" si="44"/>
        <v>0</v>
      </c>
      <c r="AO135" s="18">
        <v>23.6</v>
      </c>
      <c r="AP135" s="18"/>
      <c r="AQ135" s="18">
        <f t="shared" si="45"/>
        <v>0</v>
      </c>
      <c r="AR135" s="18">
        <v>2130</v>
      </c>
      <c r="AS135" s="18"/>
      <c r="AT135" s="18">
        <f t="shared" si="46"/>
        <v>0</v>
      </c>
      <c r="AU135" s="18">
        <v>378000</v>
      </c>
      <c r="AV135" s="18"/>
      <c r="AW135" s="18">
        <f t="shared" si="47"/>
        <v>0</v>
      </c>
      <c r="AX135" s="18">
        <v>0</v>
      </c>
      <c r="AY135" s="18"/>
      <c r="AZ135" s="18">
        <f t="shared" si="48"/>
        <v>0</v>
      </c>
      <c r="BA135" s="18">
        <v>0</v>
      </c>
      <c r="BB135" s="18"/>
      <c r="BC135" s="18">
        <f t="shared" si="49"/>
        <v>0</v>
      </c>
      <c r="BD135" s="18">
        <v>0</v>
      </c>
      <c r="BE135" s="18"/>
      <c r="BF135" s="18">
        <f t="shared" si="50"/>
        <v>0</v>
      </c>
    </row>
    <row r="136" spans="1:58" ht="38.25" x14ac:dyDescent="0.25">
      <c r="A136" s="124" t="s">
        <v>1251</v>
      </c>
      <c r="B136" s="124" t="s">
        <v>1468</v>
      </c>
      <c r="C136" s="18" t="s">
        <v>673</v>
      </c>
      <c r="D136" s="18" t="s">
        <v>1701</v>
      </c>
      <c r="E136" s="18" t="s">
        <v>1474</v>
      </c>
      <c r="F136" s="18" t="s">
        <v>1111</v>
      </c>
      <c r="G136" s="119">
        <v>43251</v>
      </c>
      <c r="H136" s="18">
        <v>0</v>
      </c>
      <c r="I136" s="18"/>
      <c r="J136" s="18">
        <f t="shared" si="34"/>
        <v>0</v>
      </c>
      <c r="K136" s="18">
        <v>0</v>
      </c>
      <c r="L136" s="18"/>
      <c r="M136" s="18">
        <f t="shared" si="35"/>
        <v>0</v>
      </c>
      <c r="N136" s="18">
        <v>24.0078</v>
      </c>
      <c r="O136" s="18"/>
      <c r="P136" s="18">
        <f t="shared" si="36"/>
        <v>24.0078</v>
      </c>
      <c r="Q136" s="18">
        <v>1</v>
      </c>
      <c r="R136" s="18"/>
      <c r="S136" s="18">
        <f t="shared" si="37"/>
        <v>1</v>
      </c>
      <c r="T136" s="18">
        <v>1</v>
      </c>
      <c r="U136" s="18"/>
      <c r="V136" s="18">
        <f t="shared" si="38"/>
        <v>1</v>
      </c>
      <c r="W136" s="18">
        <v>1365.37</v>
      </c>
      <c r="X136" s="18"/>
      <c r="Y136" s="18">
        <f t="shared" si="39"/>
        <v>1365.37</v>
      </c>
      <c r="Z136" s="18">
        <v>76.216300000000004</v>
      </c>
      <c r="AA136" s="18"/>
      <c r="AB136" s="18">
        <f t="shared" si="40"/>
        <v>76.216300000000004</v>
      </c>
      <c r="AC136" s="18">
        <v>196.23820000000001</v>
      </c>
      <c r="AD136" s="18"/>
      <c r="AE136" s="18">
        <f t="shared" si="41"/>
        <v>196.23820000000001</v>
      </c>
      <c r="AF136" s="18">
        <v>120159.01</v>
      </c>
      <c r="AG136" s="18"/>
      <c r="AH136" s="18">
        <f t="shared" si="42"/>
        <v>120159.01</v>
      </c>
      <c r="AI136" s="18">
        <v>106771.93</v>
      </c>
      <c r="AJ136" s="18"/>
      <c r="AK136" s="18">
        <f t="shared" si="43"/>
        <v>106771.93</v>
      </c>
      <c r="AL136" s="18">
        <v>18.68</v>
      </c>
      <c r="AM136" s="18"/>
      <c r="AN136" s="18">
        <f t="shared" si="44"/>
        <v>18.68</v>
      </c>
      <c r="AO136" s="18">
        <v>0.85</v>
      </c>
      <c r="AP136" s="18"/>
      <c r="AQ136" s="18">
        <f t="shared" si="45"/>
        <v>0.85</v>
      </c>
      <c r="AR136" s="18">
        <v>0.1</v>
      </c>
      <c r="AS136" s="18"/>
      <c r="AT136" s="18">
        <f t="shared" si="46"/>
        <v>0.1</v>
      </c>
      <c r="AU136" s="18">
        <v>145275.37</v>
      </c>
      <c r="AV136" s="18"/>
      <c r="AW136" s="18">
        <f t="shared" si="47"/>
        <v>145275.37</v>
      </c>
      <c r="AX136" s="18">
        <v>0</v>
      </c>
      <c r="AY136" s="18"/>
      <c r="AZ136" s="18">
        <f t="shared" si="48"/>
        <v>0</v>
      </c>
      <c r="BA136" s="18">
        <v>0</v>
      </c>
      <c r="BB136" s="18"/>
      <c r="BC136" s="18">
        <f t="shared" si="49"/>
        <v>0</v>
      </c>
      <c r="BD136" s="18">
        <v>0</v>
      </c>
      <c r="BE136" s="18"/>
      <c r="BF136" s="18">
        <f t="shared" si="50"/>
        <v>0</v>
      </c>
    </row>
    <row r="137" spans="1:58" ht="25.5" x14ac:dyDescent="0.25">
      <c r="A137" s="124" t="s">
        <v>1252</v>
      </c>
      <c r="B137" s="124" t="s">
        <v>1468</v>
      </c>
      <c r="C137" s="18" t="s">
        <v>1702</v>
      </c>
      <c r="D137" s="18" t="s">
        <v>1703</v>
      </c>
      <c r="E137" s="18" t="s">
        <v>1483</v>
      </c>
      <c r="F137" s="18" t="s">
        <v>1111</v>
      </c>
      <c r="G137" s="119">
        <v>43465</v>
      </c>
      <c r="H137" s="18">
        <v>0</v>
      </c>
      <c r="I137" s="18"/>
      <c r="J137" s="18">
        <f t="shared" si="34"/>
        <v>0</v>
      </c>
      <c r="K137" s="18">
        <v>35.616</v>
      </c>
      <c r="L137" s="18"/>
      <c r="M137" s="18">
        <f t="shared" si="35"/>
        <v>35.616</v>
      </c>
      <c r="N137" s="18">
        <v>4.609</v>
      </c>
      <c r="O137" s="18"/>
      <c r="P137" s="18">
        <f t="shared" si="36"/>
        <v>4.609</v>
      </c>
      <c r="Q137" s="18">
        <v>3</v>
      </c>
      <c r="R137" s="18"/>
      <c r="S137" s="18">
        <f t="shared" si="37"/>
        <v>3</v>
      </c>
      <c r="T137" s="18">
        <v>1</v>
      </c>
      <c r="U137" s="18"/>
      <c r="V137" s="18">
        <f t="shared" si="38"/>
        <v>1</v>
      </c>
      <c r="W137" s="18">
        <v>1293.6199999999999</v>
      </c>
      <c r="X137" s="18"/>
      <c r="Y137" s="18">
        <f t="shared" si="39"/>
        <v>1293.6199999999999</v>
      </c>
      <c r="Z137" s="18">
        <v>10.645</v>
      </c>
      <c r="AA137" s="18"/>
      <c r="AB137" s="18">
        <f t="shared" si="40"/>
        <v>10.645</v>
      </c>
      <c r="AC137" s="18">
        <v>55.789000000000001</v>
      </c>
      <c r="AD137" s="18"/>
      <c r="AE137" s="18">
        <f t="shared" si="41"/>
        <v>55.789000000000001</v>
      </c>
      <c r="AF137" s="18">
        <v>45143.29</v>
      </c>
      <c r="AG137" s="18"/>
      <c r="AH137" s="18">
        <f t="shared" si="42"/>
        <v>45143.29</v>
      </c>
      <c r="AI137" s="18">
        <v>45143.29</v>
      </c>
      <c r="AJ137" s="18"/>
      <c r="AK137" s="18">
        <f t="shared" si="43"/>
        <v>45143.29</v>
      </c>
      <c r="AL137" s="18">
        <v>15.77</v>
      </c>
      <c r="AM137" s="18"/>
      <c r="AN137" s="18">
        <f t="shared" si="44"/>
        <v>15.77</v>
      </c>
      <c r="AO137" s="18">
        <v>1.38</v>
      </c>
      <c r="AP137" s="18"/>
      <c r="AQ137" s="18">
        <f t="shared" si="45"/>
        <v>1.38</v>
      </c>
      <c r="AR137" s="18">
        <v>6.9</v>
      </c>
      <c r="AS137" s="18"/>
      <c r="AT137" s="18">
        <f t="shared" si="46"/>
        <v>6.9</v>
      </c>
      <c r="AU137" s="18">
        <v>175440.74</v>
      </c>
      <c r="AV137" s="18"/>
      <c r="AW137" s="18">
        <f t="shared" si="47"/>
        <v>175440.74</v>
      </c>
      <c r="AX137" s="18">
        <v>0</v>
      </c>
      <c r="AY137" s="18"/>
      <c r="AZ137" s="18">
        <f t="shared" si="48"/>
        <v>0</v>
      </c>
      <c r="BA137" s="18">
        <v>4.8000000000000001E-2</v>
      </c>
      <c r="BB137" s="18"/>
      <c r="BC137" s="18">
        <f t="shared" si="49"/>
        <v>4.8000000000000001E-2</v>
      </c>
      <c r="BD137" s="18">
        <v>4.8000000000000001E-2</v>
      </c>
      <c r="BE137" s="18"/>
      <c r="BF137" s="18">
        <f t="shared" si="50"/>
        <v>4.8000000000000001E-2</v>
      </c>
    </row>
    <row r="138" spans="1:58" ht="38.25" x14ac:dyDescent="0.25">
      <c r="A138" s="124" t="s">
        <v>1253</v>
      </c>
      <c r="B138" s="124" t="s">
        <v>1468</v>
      </c>
      <c r="C138" s="18" t="s">
        <v>1704</v>
      </c>
      <c r="D138" s="18" t="s">
        <v>1705</v>
      </c>
      <c r="E138" s="18" t="s">
        <v>1474</v>
      </c>
      <c r="F138" s="18" t="s">
        <v>1111</v>
      </c>
      <c r="G138" s="119">
        <v>43281</v>
      </c>
      <c r="H138" s="18">
        <v>0</v>
      </c>
      <c r="I138" s="18"/>
      <c r="J138" s="18">
        <f t="shared" si="34"/>
        <v>0</v>
      </c>
      <c r="K138" s="18">
        <v>0</v>
      </c>
      <c r="L138" s="18"/>
      <c r="M138" s="18">
        <f t="shared" si="35"/>
        <v>0</v>
      </c>
      <c r="N138" s="18">
        <v>23.824999999999999</v>
      </c>
      <c r="O138" s="18"/>
      <c r="P138" s="18">
        <f t="shared" si="36"/>
        <v>23.824999999999999</v>
      </c>
      <c r="Q138" s="18">
        <v>4</v>
      </c>
      <c r="R138" s="18"/>
      <c r="S138" s="18">
        <f t="shared" si="37"/>
        <v>4</v>
      </c>
      <c r="T138" s="18">
        <v>1</v>
      </c>
      <c r="U138" s="18"/>
      <c r="V138" s="18">
        <f t="shared" si="38"/>
        <v>1</v>
      </c>
      <c r="W138" s="18">
        <v>1093</v>
      </c>
      <c r="X138" s="18"/>
      <c r="Y138" s="18">
        <f t="shared" si="39"/>
        <v>1093</v>
      </c>
      <c r="Z138" s="18">
        <v>12.141</v>
      </c>
      <c r="AA138" s="18"/>
      <c r="AB138" s="18">
        <f t="shared" si="40"/>
        <v>12.141</v>
      </c>
      <c r="AC138" s="18">
        <v>97.682000000000002</v>
      </c>
      <c r="AD138" s="18"/>
      <c r="AE138" s="18">
        <f t="shared" si="41"/>
        <v>97.682000000000002</v>
      </c>
      <c r="AF138" s="18">
        <v>85541</v>
      </c>
      <c r="AG138" s="18"/>
      <c r="AH138" s="18">
        <f t="shared" si="42"/>
        <v>85541</v>
      </c>
      <c r="AI138" s="18">
        <v>275584</v>
      </c>
      <c r="AJ138" s="18"/>
      <c r="AK138" s="18">
        <f t="shared" si="43"/>
        <v>275584</v>
      </c>
      <c r="AL138" s="18">
        <v>14.2</v>
      </c>
      <c r="AM138" s="18"/>
      <c r="AN138" s="18">
        <f t="shared" si="44"/>
        <v>14.2</v>
      </c>
      <c r="AO138" s="18">
        <v>0.8</v>
      </c>
      <c r="AP138" s="18"/>
      <c r="AQ138" s="18">
        <f t="shared" si="45"/>
        <v>0.8</v>
      </c>
      <c r="AR138" s="18">
        <v>0.3</v>
      </c>
      <c r="AS138" s="18"/>
      <c r="AT138" s="18">
        <f t="shared" si="46"/>
        <v>0.3</v>
      </c>
      <c r="AU138" s="18">
        <v>395882</v>
      </c>
      <c r="AV138" s="18"/>
      <c r="AW138" s="18">
        <f t="shared" si="47"/>
        <v>395882</v>
      </c>
      <c r="AX138" s="18">
        <v>0</v>
      </c>
      <c r="AY138" s="18"/>
      <c r="AZ138" s="18">
        <f t="shared" si="48"/>
        <v>0</v>
      </c>
      <c r="BA138" s="18">
        <v>0</v>
      </c>
      <c r="BB138" s="18"/>
      <c r="BC138" s="18">
        <f t="shared" si="49"/>
        <v>0</v>
      </c>
      <c r="BD138" s="18">
        <v>0</v>
      </c>
      <c r="BE138" s="18"/>
      <c r="BF138" s="18">
        <f t="shared" si="50"/>
        <v>0</v>
      </c>
    </row>
    <row r="139" spans="1:58" ht="51" x14ac:dyDescent="0.25">
      <c r="A139" s="124" t="s">
        <v>1254</v>
      </c>
      <c r="B139" s="124" t="s">
        <v>1468</v>
      </c>
      <c r="C139" s="18" t="s">
        <v>1699</v>
      </c>
      <c r="D139" s="18" t="s">
        <v>1706</v>
      </c>
      <c r="E139" s="18" t="s">
        <v>1471</v>
      </c>
      <c r="F139" s="18" t="s">
        <v>1111</v>
      </c>
      <c r="G139" s="119">
        <v>43069</v>
      </c>
      <c r="H139" s="18">
        <v>28.873000000000001</v>
      </c>
      <c r="I139" s="18"/>
      <c r="J139" s="18">
        <f t="shared" si="34"/>
        <v>28.873000000000001</v>
      </c>
      <c r="K139" s="18">
        <v>68</v>
      </c>
      <c r="L139" s="18"/>
      <c r="M139" s="18">
        <f t="shared" si="35"/>
        <v>68</v>
      </c>
      <c r="N139" s="18">
        <v>199.51</v>
      </c>
      <c r="O139" s="18"/>
      <c r="P139" s="18">
        <f t="shared" si="36"/>
        <v>199.51</v>
      </c>
      <c r="Q139" s="18">
        <v>6</v>
      </c>
      <c r="R139" s="18"/>
      <c r="S139" s="18">
        <f t="shared" si="37"/>
        <v>6</v>
      </c>
      <c r="T139" s="18">
        <v>1</v>
      </c>
      <c r="U139" s="18"/>
      <c r="V139" s="18">
        <f t="shared" si="38"/>
        <v>1</v>
      </c>
      <c r="W139" s="18">
        <v>8514.2000000000007</v>
      </c>
      <c r="X139" s="18"/>
      <c r="Y139" s="18">
        <f t="shared" si="39"/>
        <v>8514.2000000000007</v>
      </c>
      <c r="Z139" s="18">
        <v>274.34300000000002</v>
      </c>
      <c r="AA139" s="18"/>
      <c r="AB139" s="18">
        <f t="shared" si="40"/>
        <v>274.34300000000002</v>
      </c>
      <c r="AC139" s="18">
        <v>995.68200000000002</v>
      </c>
      <c r="AD139" s="18"/>
      <c r="AE139" s="18">
        <f t="shared" si="41"/>
        <v>995.68200000000002</v>
      </c>
      <c r="AF139" s="18">
        <v>721339</v>
      </c>
      <c r="AG139" s="18"/>
      <c r="AH139" s="18">
        <f t="shared" si="42"/>
        <v>721339</v>
      </c>
      <c r="AI139" s="18">
        <v>2083827</v>
      </c>
      <c r="AJ139" s="18"/>
      <c r="AK139" s="18">
        <f t="shared" si="43"/>
        <v>2083827</v>
      </c>
      <c r="AL139" s="18">
        <v>291.39999999999998</v>
      </c>
      <c r="AM139" s="18"/>
      <c r="AN139" s="18">
        <f t="shared" si="44"/>
        <v>291.39999999999998</v>
      </c>
      <c r="AO139" s="18">
        <v>21.08</v>
      </c>
      <c r="AP139" s="18"/>
      <c r="AQ139" s="18">
        <f t="shared" si="45"/>
        <v>21.08</v>
      </c>
      <c r="AR139" s="18">
        <v>49.87</v>
      </c>
      <c r="AS139" s="18"/>
      <c r="AT139" s="18">
        <f t="shared" si="46"/>
        <v>49.87</v>
      </c>
      <c r="AU139" s="18">
        <v>1158658</v>
      </c>
      <c r="AV139" s="18"/>
      <c r="AW139" s="18">
        <f t="shared" si="47"/>
        <v>1158658</v>
      </c>
      <c r="AX139" s="18">
        <v>2.9700000000000001E-2</v>
      </c>
      <c r="AY139" s="18"/>
      <c r="AZ139" s="18">
        <f t="shared" si="48"/>
        <v>2.9700000000000001E-2</v>
      </c>
      <c r="BA139" s="18">
        <v>0.16869999999999999</v>
      </c>
      <c r="BB139" s="18"/>
      <c r="BC139" s="18">
        <f t="shared" si="49"/>
        <v>0.16869999999999999</v>
      </c>
      <c r="BD139" s="18">
        <v>0.13900000000000001</v>
      </c>
      <c r="BE139" s="18"/>
      <c r="BF139" s="18">
        <f t="shared" si="50"/>
        <v>0.13900000000000001</v>
      </c>
    </row>
    <row r="140" spans="1:58" ht="38.25" x14ac:dyDescent="0.25">
      <c r="A140" s="124" t="s">
        <v>1255</v>
      </c>
      <c r="B140" s="124" t="s">
        <v>1468</v>
      </c>
      <c r="C140" s="18" t="s">
        <v>1707</v>
      </c>
      <c r="D140" s="18" t="s">
        <v>1708</v>
      </c>
      <c r="E140" s="18" t="s">
        <v>1477</v>
      </c>
      <c r="F140" s="18" t="s">
        <v>1111</v>
      </c>
      <c r="G140" s="119">
        <v>43434</v>
      </c>
      <c r="H140" s="18">
        <v>0</v>
      </c>
      <c r="I140" s="18"/>
      <c r="J140" s="18">
        <f t="shared" si="34"/>
        <v>0</v>
      </c>
      <c r="K140" s="18">
        <v>0</v>
      </c>
      <c r="L140" s="18"/>
      <c r="M140" s="18">
        <f t="shared" si="35"/>
        <v>0</v>
      </c>
      <c r="N140" s="18">
        <v>191.09800000000001</v>
      </c>
      <c r="O140" s="18"/>
      <c r="P140" s="18">
        <f t="shared" si="36"/>
        <v>191.09800000000001</v>
      </c>
      <c r="Q140" s="18">
        <v>12</v>
      </c>
      <c r="R140" s="18"/>
      <c r="S140" s="18">
        <f t="shared" si="37"/>
        <v>12</v>
      </c>
      <c r="T140" s="18">
        <v>2</v>
      </c>
      <c r="U140" s="18"/>
      <c r="V140" s="18">
        <f t="shared" si="38"/>
        <v>2</v>
      </c>
      <c r="W140" s="18">
        <v>3353.3</v>
      </c>
      <c r="X140" s="18"/>
      <c r="Y140" s="18">
        <f t="shared" si="39"/>
        <v>3353.3</v>
      </c>
      <c r="Z140" s="18">
        <v>1198.27</v>
      </c>
      <c r="AA140" s="18"/>
      <c r="AB140" s="18">
        <f t="shared" si="40"/>
        <v>1198.27</v>
      </c>
      <c r="AC140" s="18">
        <v>1600.19</v>
      </c>
      <c r="AD140" s="18"/>
      <c r="AE140" s="18">
        <f t="shared" si="41"/>
        <v>1600.19</v>
      </c>
      <c r="AF140" s="18">
        <v>401915</v>
      </c>
      <c r="AG140" s="18"/>
      <c r="AH140" s="18">
        <f t="shared" si="42"/>
        <v>401915</v>
      </c>
      <c r="AI140" s="18">
        <v>486580</v>
      </c>
      <c r="AJ140" s="18"/>
      <c r="AK140" s="18">
        <f t="shared" si="43"/>
        <v>486580</v>
      </c>
      <c r="AL140" s="18">
        <v>236.5</v>
      </c>
      <c r="AM140" s="18"/>
      <c r="AN140" s="18">
        <f t="shared" si="44"/>
        <v>236.5</v>
      </c>
      <c r="AO140" s="18">
        <v>32.25</v>
      </c>
      <c r="AP140" s="18"/>
      <c r="AQ140" s="18">
        <f t="shared" si="45"/>
        <v>32.25</v>
      </c>
      <c r="AR140" s="18">
        <v>342.4</v>
      </c>
      <c r="AS140" s="18"/>
      <c r="AT140" s="18">
        <f t="shared" si="46"/>
        <v>342.4</v>
      </c>
      <c r="AU140" s="18">
        <v>562681</v>
      </c>
      <c r="AV140" s="18"/>
      <c r="AW140" s="18">
        <f t="shared" si="47"/>
        <v>562681</v>
      </c>
      <c r="AX140" s="18">
        <v>0</v>
      </c>
      <c r="AY140" s="18"/>
      <c r="AZ140" s="18">
        <f t="shared" si="48"/>
        <v>0</v>
      </c>
      <c r="BA140" s="18">
        <v>0</v>
      </c>
      <c r="BB140" s="18"/>
      <c r="BC140" s="18">
        <f t="shared" si="49"/>
        <v>0</v>
      </c>
      <c r="BD140" s="18">
        <v>0</v>
      </c>
      <c r="BE140" s="18"/>
      <c r="BF140" s="18">
        <f t="shared" si="50"/>
        <v>0</v>
      </c>
    </row>
    <row r="141" spans="1:58" ht="25.5" x14ac:dyDescent="0.25">
      <c r="A141" s="124" t="s">
        <v>1256</v>
      </c>
      <c r="B141" s="124" t="s">
        <v>1468</v>
      </c>
      <c r="C141" s="18" t="s">
        <v>1709</v>
      </c>
      <c r="D141" s="18" t="s">
        <v>1710</v>
      </c>
      <c r="E141" s="18" t="s">
        <v>1477</v>
      </c>
      <c r="F141" s="18" t="s">
        <v>1111</v>
      </c>
      <c r="G141" s="119">
        <v>43281</v>
      </c>
      <c r="H141" s="18">
        <v>0</v>
      </c>
      <c r="I141" s="18"/>
      <c r="J141" s="18">
        <f t="shared" si="34"/>
        <v>0</v>
      </c>
      <c r="K141" s="18">
        <v>0</v>
      </c>
      <c r="L141" s="18"/>
      <c r="M141" s="18">
        <f t="shared" si="35"/>
        <v>0</v>
      </c>
      <c r="N141" s="18">
        <v>2.3099999999999999E-2</v>
      </c>
      <c r="O141" s="18"/>
      <c r="P141" s="18">
        <f t="shared" si="36"/>
        <v>2.3099999999999999E-2</v>
      </c>
      <c r="Q141" s="18">
        <v>2</v>
      </c>
      <c r="R141" s="18"/>
      <c r="S141" s="18">
        <f t="shared" si="37"/>
        <v>2</v>
      </c>
      <c r="T141" s="18">
        <v>1</v>
      </c>
      <c r="U141" s="18"/>
      <c r="V141" s="18">
        <f t="shared" si="38"/>
        <v>1</v>
      </c>
      <c r="W141" s="18">
        <v>978.73</v>
      </c>
      <c r="X141" s="18"/>
      <c r="Y141" s="18">
        <f t="shared" si="39"/>
        <v>978.73</v>
      </c>
      <c r="Z141" s="18">
        <v>10.365</v>
      </c>
      <c r="AA141" s="18"/>
      <c r="AB141" s="18">
        <f t="shared" si="40"/>
        <v>10.365</v>
      </c>
      <c r="AC141" s="18">
        <v>37.869999999999997</v>
      </c>
      <c r="AD141" s="18"/>
      <c r="AE141" s="18">
        <f t="shared" si="41"/>
        <v>37.869999999999997</v>
      </c>
      <c r="AF141" s="18">
        <v>27504.98</v>
      </c>
      <c r="AG141" s="18"/>
      <c r="AH141" s="18">
        <f t="shared" si="42"/>
        <v>27504.98</v>
      </c>
      <c r="AI141" s="18">
        <v>100809.19</v>
      </c>
      <c r="AJ141" s="18"/>
      <c r="AK141" s="18">
        <f t="shared" si="43"/>
        <v>100809.19</v>
      </c>
      <c r="AL141" s="18">
        <v>13.55</v>
      </c>
      <c r="AM141" s="18"/>
      <c r="AN141" s="18">
        <f t="shared" si="44"/>
        <v>13.55</v>
      </c>
      <c r="AO141" s="18">
        <v>0.21</v>
      </c>
      <c r="AP141" s="18"/>
      <c r="AQ141" s="18">
        <f t="shared" si="45"/>
        <v>0.21</v>
      </c>
      <c r="AR141" s="18">
        <v>0.08</v>
      </c>
      <c r="AS141" s="18"/>
      <c r="AT141" s="18">
        <f t="shared" si="46"/>
        <v>0.08</v>
      </c>
      <c r="AU141" s="18">
        <v>124298.71</v>
      </c>
      <c r="AV141" s="18"/>
      <c r="AW141" s="18">
        <f t="shared" si="47"/>
        <v>124298.71</v>
      </c>
      <c r="AX141" s="18">
        <v>0</v>
      </c>
      <c r="AY141" s="18"/>
      <c r="AZ141" s="18">
        <f t="shared" si="48"/>
        <v>0</v>
      </c>
      <c r="BA141" s="18">
        <v>0</v>
      </c>
      <c r="BB141" s="18"/>
      <c r="BC141" s="18">
        <f t="shared" si="49"/>
        <v>0</v>
      </c>
      <c r="BD141" s="18">
        <v>0</v>
      </c>
      <c r="BE141" s="18"/>
      <c r="BF141" s="18">
        <f t="shared" si="50"/>
        <v>0</v>
      </c>
    </row>
    <row r="142" spans="1:58" ht="25.5" x14ac:dyDescent="0.25">
      <c r="A142" s="124" t="s">
        <v>1257</v>
      </c>
      <c r="B142" s="124" t="s">
        <v>1468</v>
      </c>
      <c r="C142" s="18" t="s">
        <v>1711</v>
      </c>
      <c r="D142" s="18" t="s">
        <v>1712</v>
      </c>
      <c r="E142" s="18" t="s">
        <v>1483</v>
      </c>
      <c r="F142" s="18" t="s">
        <v>1111</v>
      </c>
      <c r="G142" s="119">
        <v>43434</v>
      </c>
      <c r="H142" s="18">
        <v>0</v>
      </c>
      <c r="I142" s="18"/>
      <c r="J142" s="18">
        <f t="shared" si="34"/>
        <v>0</v>
      </c>
      <c r="K142" s="18">
        <v>57.86</v>
      </c>
      <c r="L142" s="18"/>
      <c r="M142" s="18">
        <f t="shared" si="35"/>
        <v>57.86</v>
      </c>
      <c r="N142" s="18">
        <v>58.27</v>
      </c>
      <c r="O142" s="18"/>
      <c r="P142" s="18">
        <f t="shared" si="36"/>
        <v>58.27</v>
      </c>
      <c r="Q142" s="18">
        <v>2</v>
      </c>
      <c r="R142" s="18"/>
      <c r="S142" s="18">
        <f t="shared" si="37"/>
        <v>2</v>
      </c>
      <c r="T142" s="18">
        <v>2</v>
      </c>
      <c r="U142" s="18"/>
      <c r="V142" s="18">
        <f t="shared" si="38"/>
        <v>2</v>
      </c>
      <c r="W142" s="18">
        <v>2389.5</v>
      </c>
      <c r="X142" s="18"/>
      <c r="Y142" s="18">
        <f t="shared" si="39"/>
        <v>2389.5</v>
      </c>
      <c r="Z142" s="18">
        <v>102.7</v>
      </c>
      <c r="AA142" s="18"/>
      <c r="AB142" s="18">
        <f t="shared" si="40"/>
        <v>102.7</v>
      </c>
      <c r="AC142" s="18">
        <v>321.12</v>
      </c>
      <c r="AD142" s="18"/>
      <c r="AE142" s="18">
        <f t="shared" si="41"/>
        <v>321.12</v>
      </c>
      <c r="AF142" s="18">
        <v>156358</v>
      </c>
      <c r="AG142" s="18"/>
      <c r="AH142" s="18">
        <f t="shared" si="42"/>
        <v>156358</v>
      </c>
      <c r="AI142" s="18">
        <v>213815.46</v>
      </c>
      <c r="AJ142" s="18"/>
      <c r="AK142" s="18">
        <f t="shared" si="43"/>
        <v>213815.46</v>
      </c>
      <c r="AL142" s="18">
        <v>33.89</v>
      </c>
      <c r="AM142" s="18"/>
      <c r="AN142" s="18">
        <f t="shared" si="44"/>
        <v>33.89</v>
      </c>
      <c r="AO142" s="18">
        <v>1.738</v>
      </c>
      <c r="AP142" s="18"/>
      <c r="AQ142" s="18">
        <f t="shared" si="45"/>
        <v>1.738</v>
      </c>
      <c r="AR142" s="18">
        <v>0.20899999999999999</v>
      </c>
      <c r="AS142" s="18"/>
      <c r="AT142" s="18">
        <f t="shared" si="46"/>
        <v>0.20899999999999999</v>
      </c>
      <c r="AU142" s="18">
        <v>214213</v>
      </c>
      <c r="AV142" s="18"/>
      <c r="AW142" s="18">
        <f t="shared" si="47"/>
        <v>214213</v>
      </c>
      <c r="AX142" s="18">
        <v>0</v>
      </c>
      <c r="AY142" s="18"/>
      <c r="AZ142" s="18">
        <f t="shared" si="48"/>
        <v>0</v>
      </c>
      <c r="BA142" s="18">
        <v>7.0000000000000007E-2</v>
      </c>
      <c r="BB142" s="18"/>
      <c r="BC142" s="18">
        <f t="shared" si="49"/>
        <v>7.0000000000000007E-2</v>
      </c>
      <c r="BD142" s="18">
        <v>7.0000000000000007E-2</v>
      </c>
      <c r="BE142" s="18"/>
      <c r="BF142" s="18">
        <f t="shared" si="50"/>
        <v>7.0000000000000007E-2</v>
      </c>
    </row>
    <row r="143" spans="1:58" ht="38.25" x14ac:dyDescent="0.25">
      <c r="A143" s="124" t="s">
        <v>1258</v>
      </c>
      <c r="B143" s="124" t="s">
        <v>1468</v>
      </c>
      <c r="C143" s="18" t="s">
        <v>1713</v>
      </c>
      <c r="D143" s="18" t="s">
        <v>1714</v>
      </c>
      <c r="E143" s="18" t="s">
        <v>1477</v>
      </c>
      <c r="F143" s="18" t="s">
        <v>1111</v>
      </c>
      <c r="G143" s="119">
        <v>43465</v>
      </c>
      <c r="H143" s="18">
        <v>5.0490000000000004</v>
      </c>
      <c r="I143" s="18"/>
      <c r="J143" s="18">
        <f t="shared" si="34"/>
        <v>5.0490000000000004</v>
      </c>
      <c r="K143" s="18">
        <v>30.68</v>
      </c>
      <c r="L143" s="18"/>
      <c r="M143" s="18">
        <f t="shared" si="35"/>
        <v>30.68</v>
      </c>
      <c r="N143" s="18">
        <v>26.893699999999999</v>
      </c>
      <c r="O143" s="18"/>
      <c r="P143" s="18">
        <f t="shared" si="36"/>
        <v>26.893699999999999</v>
      </c>
      <c r="Q143" s="18">
        <v>3</v>
      </c>
      <c r="R143" s="18"/>
      <c r="S143" s="18">
        <f t="shared" si="37"/>
        <v>3</v>
      </c>
      <c r="T143" s="18">
        <v>1</v>
      </c>
      <c r="U143" s="18"/>
      <c r="V143" s="18">
        <f t="shared" si="38"/>
        <v>1</v>
      </c>
      <c r="W143" s="18">
        <v>333.74</v>
      </c>
      <c r="X143" s="18"/>
      <c r="Y143" s="18">
        <f t="shared" si="39"/>
        <v>333.74</v>
      </c>
      <c r="Z143" s="18">
        <v>32.880000000000003</v>
      </c>
      <c r="AA143" s="18"/>
      <c r="AB143" s="18">
        <f t="shared" si="40"/>
        <v>32.880000000000003</v>
      </c>
      <c r="AC143" s="18">
        <v>96.99</v>
      </c>
      <c r="AD143" s="18"/>
      <c r="AE143" s="18">
        <f t="shared" si="41"/>
        <v>96.99</v>
      </c>
      <c r="AF143" s="18">
        <v>83811</v>
      </c>
      <c r="AG143" s="18"/>
      <c r="AH143" s="18">
        <f t="shared" si="42"/>
        <v>83811</v>
      </c>
      <c r="AI143" s="18">
        <v>119209</v>
      </c>
      <c r="AJ143" s="18"/>
      <c r="AK143" s="18">
        <f t="shared" si="43"/>
        <v>119209</v>
      </c>
      <c r="AL143" s="18">
        <v>54.1</v>
      </c>
      <c r="AM143" s="18"/>
      <c r="AN143" s="18">
        <f t="shared" si="44"/>
        <v>54.1</v>
      </c>
      <c r="AO143" s="18">
        <v>132</v>
      </c>
      <c r="AP143" s="18"/>
      <c r="AQ143" s="18">
        <f t="shared" si="45"/>
        <v>132</v>
      </c>
      <c r="AR143" s="18">
        <v>102.3</v>
      </c>
      <c r="AS143" s="18"/>
      <c r="AT143" s="18">
        <f t="shared" si="46"/>
        <v>102.3</v>
      </c>
      <c r="AU143" s="18">
        <v>129930</v>
      </c>
      <c r="AV143" s="18"/>
      <c r="AW143" s="18">
        <f t="shared" si="47"/>
        <v>129930</v>
      </c>
      <c r="AX143" s="18">
        <v>5.0000000000000001E-3</v>
      </c>
      <c r="AY143" s="18"/>
      <c r="AZ143" s="18">
        <f t="shared" si="48"/>
        <v>5.0000000000000001E-3</v>
      </c>
      <c r="BA143" s="18">
        <v>1.6E-2</v>
      </c>
      <c r="BB143" s="18"/>
      <c r="BC143" s="18">
        <f t="shared" si="49"/>
        <v>1.6E-2</v>
      </c>
      <c r="BD143" s="18">
        <v>1.6E-2</v>
      </c>
      <c r="BE143" s="18"/>
      <c r="BF143" s="18">
        <f t="shared" si="50"/>
        <v>1.6E-2</v>
      </c>
    </row>
    <row r="144" spans="1:58" ht="38.25" x14ac:dyDescent="0.25">
      <c r="A144" s="124" t="s">
        <v>1259</v>
      </c>
      <c r="B144" s="124" t="s">
        <v>1468</v>
      </c>
      <c r="C144" s="18" t="s">
        <v>1707</v>
      </c>
      <c r="D144" s="18" t="s">
        <v>1715</v>
      </c>
      <c r="E144" s="18" t="s">
        <v>1477</v>
      </c>
      <c r="F144" s="18" t="s">
        <v>1111</v>
      </c>
      <c r="G144" s="119">
        <v>43708</v>
      </c>
      <c r="H144" s="18">
        <v>0</v>
      </c>
      <c r="I144" s="18"/>
      <c r="J144" s="18">
        <f t="shared" si="34"/>
        <v>0</v>
      </c>
      <c r="K144" s="18">
        <v>13.016999999999999</v>
      </c>
      <c r="L144" s="18"/>
      <c r="M144" s="18">
        <f t="shared" si="35"/>
        <v>0</v>
      </c>
      <c r="N144" s="18">
        <v>14.037000000000001</v>
      </c>
      <c r="O144" s="18"/>
      <c r="P144" s="18">
        <f t="shared" si="36"/>
        <v>0</v>
      </c>
      <c r="Q144" s="18">
        <v>10</v>
      </c>
      <c r="R144" s="18"/>
      <c r="S144" s="18">
        <f t="shared" si="37"/>
        <v>0</v>
      </c>
      <c r="T144" s="18">
        <v>3</v>
      </c>
      <c r="U144" s="18"/>
      <c r="V144" s="18">
        <f t="shared" si="38"/>
        <v>0</v>
      </c>
      <c r="W144" s="18">
        <v>8754.1</v>
      </c>
      <c r="X144" s="18"/>
      <c r="Y144" s="18">
        <f t="shared" si="39"/>
        <v>0</v>
      </c>
      <c r="Z144" s="18">
        <v>288.40899999999999</v>
      </c>
      <c r="AA144" s="18"/>
      <c r="AB144" s="18">
        <f t="shared" si="40"/>
        <v>0</v>
      </c>
      <c r="AC144" s="18">
        <v>784.90700000000004</v>
      </c>
      <c r="AD144" s="18"/>
      <c r="AE144" s="18">
        <f t="shared" si="41"/>
        <v>0</v>
      </c>
      <c r="AF144" s="18">
        <v>496498</v>
      </c>
      <c r="AG144" s="18"/>
      <c r="AH144" s="18">
        <f t="shared" si="42"/>
        <v>0</v>
      </c>
      <c r="AI144" s="18">
        <v>986622</v>
      </c>
      <c r="AJ144" s="18"/>
      <c r="AK144" s="18">
        <f t="shared" si="43"/>
        <v>0</v>
      </c>
      <c r="AL144" s="18">
        <v>23.9</v>
      </c>
      <c r="AM144" s="18"/>
      <c r="AN144" s="18">
        <f t="shared" si="44"/>
        <v>0</v>
      </c>
      <c r="AO144" s="18">
        <v>11.4</v>
      </c>
      <c r="AP144" s="18"/>
      <c r="AQ144" s="18">
        <f t="shared" si="45"/>
        <v>0</v>
      </c>
      <c r="AR144" s="18">
        <v>460</v>
      </c>
      <c r="AS144" s="18"/>
      <c r="AT144" s="18">
        <f t="shared" si="46"/>
        <v>0</v>
      </c>
      <c r="AU144" s="18">
        <v>167572</v>
      </c>
      <c r="AV144" s="18"/>
      <c r="AW144" s="18">
        <f t="shared" si="47"/>
        <v>0</v>
      </c>
      <c r="AX144" s="18">
        <v>0</v>
      </c>
      <c r="AY144" s="18"/>
      <c r="AZ144" s="18">
        <f t="shared" si="48"/>
        <v>0</v>
      </c>
      <c r="BA144" s="18">
        <v>0</v>
      </c>
      <c r="BB144" s="18"/>
      <c r="BC144" s="18">
        <f t="shared" si="49"/>
        <v>0</v>
      </c>
      <c r="BD144" s="18">
        <v>1.55E-2</v>
      </c>
      <c r="BE144" s="18"/>
      <c r="BF144" s="18">
        <f t="shared" si="50"/>
        <v>0</v>
      </c>
    </row>
    <row r="145" spans="1:58" ht="38.25" x14ac:dyDescent="0.25">
      <c r="A145" s="124" t="s">
        <v>1260</v>
      </c>
      <c r="B145" s="124" t="s">
        <v>1468</v>
      </c>
      <c r="C145" s="18" t="s">
        <v>1716</v>
      </c>
      <c r="D145" s="18" t="s">
        <v>1717</v>
      </c>
      <c r="E145" s="18" t="s">
        <v>1483</v>
      </c>
      <c r="F145" s="18" t="s">
        <v>1111</v>
      </c>
      <c r="G145" s="119">
        <v>43465</v>
      </c>
      <c r="H145" s="18">
        <v>0</v>
      </c>
      <c r="I145" s="18"/>
      <c r="J145" s="18">
        <f t="shared" si="34"/>
        <v>0</v>
      </c>
      <c r="K145" s="18">
        <v>0</v>
      </c>
      <c r="L145" s="18"/>
      <c r="M145" s="18">
        <f t="shared" si="35"/>
        <v>0</v>
      </c>
      <c r="N145" s="18">
        <v>5.3609999999999998</v>
      </c>
      <c r="O145" s="18"/>
      <c r="P145" s="18">
        <f t="shared" si="36"/>
        <v>5.3609999999999998</v>
      </c>
      <c r="Q145" s="18">
        <v>3</v>
      </c>
      <c r="R145" s="18"/>
      <c r="S145" s="18">
        <f t="shared" si="37"/>
        <v>3</v>
      </c>
      <c r="T145" s="18">
        <v>1</v>
      </c>
      <c r="U145" s="18"/>
      <c r="V145" s="18">
        <f t="shared" si="38"/>
        <v>1</v>
      </c>
      <c r="W145" s="18">
        <v>688.92</v>
      </c>
      <c r="X145" s="18"/>
      <c r="Y145" s="18">
        <f t="shared" si="39"/>
        <v>688.92</v>
      </c>
      <c r="Z145" s="18">
        <v>13.893000000000001</v>
      </c>
      <c r="AA145" s="18"/>
      <c r="AB145" s="18">
        <f t="shared" si="40"/>
        <v>13.893000000000001</v>
      </c>
      <c r="AC145" s="18">
        <v>33.250999999999998</v>
      </c>
      <c r="AD145" s="18"/>
      <c r="AE145" s="18">
        <f t="shared" si="41"/>
        <v>33.250999999999998</v>
      </c>
      <c r="AF145" s="18">
        <v>19.358000000000001</v>
      </c>
      <c r="AG145" s="18"/>
      <c r="AH145" s="18">
        <f t="shared" si="42"/>
        <v>19.358000000000001</v>
      </c>
      <c r="AI145" s="18">
        <v>81699.02</v>
      </c>
      <c r="AJ145" s="18"/>
      <c r="AK145" s="18">
        <f t="shared" si="43"/>
        <v>81699.02</v>
      </c>
      <c r="AL145" s="18">
        <v>2.6349</v>
      </c>
      <c r="AM145" s="18"/>
      <c r="AN145" s="18">
        <f t="shared" si="44"/>
        <v>2.6349</v>
      </c>
      <c r="AO145" s="18">
        <v>0.12670000000000001</v>
      </c>
      <c r="AP145" s="18"/>
      <c r="AQ145" s="18">
        <f t="shared" si="45"/>
        <v>0.12670000000000001</v>
      </c>
      <c r="AR145" s="18">
        <v>4.2299999999999997E-2</v>
      </c>
      <c r="AS145" s="18"/>
      <c r="AT145" s="18">
        <f t="shared" si="46"/>
        <v>4.2299999999999997E-2</v>
      </c>
      <c r="AU145" s="18">
        <v>26.234000000000002</v>
      </c>
      <c r="AV145" s="18"/>
      <c r="AW145" s="18">
        <f t="shared" si="47"/>
        <v>26.234000000000002</v>
      </c>
      <c r="AX145" s="18">
        <v>0</v>
      </c>
      <c r="AY145" s="18"/>
      <c r="AZ145" s="18">
        <f t="shared" si="48"/>
        <v>0</v>
      </c>
      <c r="BA145" s="18">
        <v>0</v>
      </c>
      <c r="BB145" s="18"/>
      <c r="BC145" s="18">
        <f t="shared" si="49"/>
        <v>0</v>
      </c>
      <c r="BD145" s="18">
        <v>0</v>
      </c>
      <c r="BE145" s="18"/>
      <c r="BF145" s="18">
        <f t="shared" si="50"/>
        <v>0</v>
      </c>
    </row>
    <row r="146" spans="1:58" ht="25.5" x14ac:dyDescent="0.25">
      <c r="A146" s="124" t="s">
        <v>1261</v>
      </c>
      <c r="B146" s="124" t="s">
        <v>1468</v>
      </c>
      <c r="C146" s="18" t="s">
        <v>1718</v>
      </c>
      <c r="D146" s="18" t="s">
        <v>1719</v>
      </c>
      <c r="E146" s="18" t="s">
        <v>1483</v>
      </c>
      <c r="F146" s="18" t="s">
        <v>1111</v>
      </c>
      <c r="G146" s="119">
        <v>43799</v>
      </c>
      <c r="H146" s="18">
        <v>0</v>
      </c>
      <c r="I146" s="18"/>
      <c r="J146" s="18">
        <f t="shared" si="34"/>
        <v>0</v>
      </c>
      <c r="K146" s="18">
        <v>0</v>
      </c>
      <c r="L146" s="18"/>
      <c r="M146" s="18">
        <f t="shared" si="35"/>
        <v>0</v>
      </c>
      <c r="N146" s="18">
        <v>14.65</v>
      </c>
      <c r="O146" s="18"/>
      <c r="P146" s="18">
        <f t="shared" si="36"/>
        <v>0</v>
      </c>
      <c r="Q146" s="18">
        <v>2</v>
      </c>
      <c r="R146" s="18"/>
      <c r="S146" s="18">
        <f t="shared" si="37"/>
        <v>0</v>
      </c>
      <c r="T146" s="18">
        <v>1</v>
      </c>
      <c r="U146" s="18"/>
      <c r="V146" s="18">
        <f t="shared" si="38"/>
        <v>0</v>
      </c>
      <c r="W146" s="18">
        <v>596.6</v>
      </c>
      <c r="X146" s="18"/>
      <c r="Y146" s="18">
        <f t="shared" si="39"/>
        <v>0</v>
      </c>
      <c r="Z146" s="18">
        <v>54.847999999999999</v>
      </c>
      <c r="AA146" s="18"/>
      <c r="AB146" s="18">
        <f t="shared" si="40"/>
        <v>0</v>
      </c>
      <c r="AC146" s="18">
        <v>116.548</v>
      </c>
      <c r="AD146" s="18"/>
      <c r="AE146" s="18">
        <f t="shared" si="41"/>
        <v>0</v>
      </c>
      <c r="AF146" s="18">
        <v>61700</v>
      </c>
      <c r="AG146" s="18"/>
      <c r="AH146" s="18">
        <f t="shared" si="42"/>
        <v>0</v>
      </c>
      <c r="AI146" s="18">
        <v>61700</v>
      </c>
      <c r="AJ146" s="18"/>
      <c r="AK146" s="18">
        <f t="shared" si="43"/>
        <v>0</v>
      </c>
      <c r="AL146" s="18">
        <v>8.8999999999999999E-3</v>
      </c>
      <c r="AM146" s="18"/>
      <c r="AN146" s="18">
        <f t="shared" si="44"/>
        <v>0</v>
      </c>
      <c r="AO146" s="18">
        <v>4.0000000000000002E-4</v>
      </c>
      <c r="AP146" s="18"/>
      <c r="AQ146" s="18">
        <f t="shared" si="45"/>
        <v>0</v>
      </c>
      <c r="AR146" s="18">
        <v>7.7000000000000002E-3</v>
      </c>
      <c r="AS146" s="18"/>
      <c r="AT146" s="18">
        <f t="shared" si="46"/>
        <v>0</v>
      </c>
      <c r="AU146" s="18">
        <v>56784.34</v>
      </c>
      <c r="AV146" s="18"/>
      <c r="AW146" s="18">
        <f t="shared" si="47"/>
        <v>0</v>
      </c>
      <c r="AX146" s="18">
        <v>0</v>
      </c>
      <c r="AY146" s="18"/>
      <c r="AZ146" s="18">
        <f t="shared" si="48"/>
        <v>0</v>
      </c>
      <c r="BA146" s="18">
        <v>0</v>
      </c>
      <c r="BB146" s="18"/>
      <c r="BC146" s="18">
        <f t="shared" si="49"/>
        <v>0</v>
      </c>
      <c r="BD146" s="18">
        <v>0</v>
      </c>
      <c r="BE146" s="18"/>
      <c r="BF146" s="18">
        <f t="shared" si="50"/>
        <v>0</v>
      </c>
    </row>
    <row r="147" spans="1:58" ht="25.5" x14ac:dyDescent="0.25">
      <c r="A147" s="124" t="s">
        <v>1262</v>
      </c>
      <c r="B147" s="124" t="s">
        <v>1468</v>
      </c>
      <c r="C147" s="18" t="s">
        <v>1720</v>
      </c>
      <c r="D147" s="18" t="s">
        <v>1721</v>
      </c>
      <c r="E147" s="18" t="s">
        <v>1477</v>
      </c>
      <c r="F147" s="18" t="s">
        <v>1111</v>
      </c>
      <c r="G147" s="119">
        <v>43039</v>
      </c>
      <c r="H147" s="18">
        <v>0</v>
      </c>
      <c r="I147" s="18">
        <v>0</v>
      </c>
      <c r="J147" s="18">
        <f t="shared" si="34"/>
        <v>0</v>
      </c>
      <c r="K147" s="18">
        <v>165.09</v>
      </c>
      <c r="L147" s="18">
        <v>0</v>
      </c>
      <c r="M147" s="18">
        <f t="shared" si="35"/>
        <v>165.09</v>
      </c>
      <c r="N147" s="18">
        <v>112.04</v>
      </c>
      <c r="O147" s="18">
        <v>118.41</v>
      </c>
      <c r="P147" s="18">
        <f t="shared" si="36"/>
        <v>112.04</v>
      </c>
      <c r="Q147" s="18">
        <v>3</v>
      </c>
      <c r="R147" s="18">
        <v>3</v>
      </c>
      <c r="S147" s="18">
        <f t="shared" si="37"/>
        <v>3</v>
      </c>
      <c r="T147" s="18">
        <v>1</v>
      </c>
      <c r="U147" s="18">
        <v>1</v>
      </c>
      <c r="V147" s="18">
        <f t="shared" si="38"/>
        <v>1</v>
      </c>
      <c r="W147" s="18">
        <v>2364.9699999999998</v>
      </c>
      <c r="X147" s="18">
        <v>2364.9699999999998</v>
      </c>
      <c r="Y147" s="18">
        <f t="shared" si="39"/>
        <v>2364.9699999999998</v>
      </c>
      <c r="Z147" s="18">
        <v>193.65</v>
      </c>
      <c r="AA147" s="18">
        <v>0</v>
      </c>
      <c r="AB147" s="18">
        <f t="shared" si="40"/>
        <v>193.65</v>
      </c>
      <c r="AC147" s="18">
        <v>382.95</v>
      </c>
      <c r="AD147" s="18">
        <v>382.95</v>
      </c>
      <c r="AE147" s="18">
        <f t="shared" si="41"/>
        <v>382.95</v>
      </c>
      <c r="AF147" s="18">
        <v>189341</v>
      </c>
      <c r="AG147" s="18">
        <v>0</v>
      </c>
      <c r="AH147" s="18">
        <f t="shared" si="42"/>
        <v>189341</v>
      </c>
      <c r="AI147" s="18">
        <v>293280</v>
      </c>
      <c r="AJ147" s="18">
        <v>317260.73</v>
      </c>
      <c r="AK147" s="18">
        <f t="shared" si="43"/>
        <v>293280</v>
      </c>
      <c r="AL147" s="18">
        <v>150</v>
      </c>
      <c r="AM147" s="18">
        <v>0</v>
      </c>
      <c r="AN147" s="18">
        <f t="shared" si="44"/>
        <v>150</v>
      </c>
      <c r="AO147" s="18">
        <v>49.7</v>
      </c>
      <c r="AP147" s="18">
        <v>0</v>
      </c>
      <c r="AQ147" s="18">
        <f t="shared" si="45"/>
        <v>49.7</v>
      </c>
      <c r="AR147" s="18">
        <v>620</v>
      </c>
      <c r="AS147" s="18">
        <v>0</v>
      </c>
      <c r="AT147" s="18">
        <f t="shared" si="46"/>
        <v>620</v>
      </c>
      <c r="AU147" s="18">
        <v>607348</v>
      </c>
      <c r="AV147" s="18">
        <v>0</v>
      </c>
      <c r="AW147" s="18">
        <f t="shared" si="47"/>
        <v>607348</v>
      </c>
      <c r="AX147" s="18">
        <v>0</v>
      </c>
      <c r="AY147" s="18">
        <v>0</v>
      </c>
      <c r="AZ147" s="18">
        <f t="shared" si="48"/>
        <v>0</v>
      </c>
      <c r="BA147" s="18">
        <v>0.14000000000000001</v>
      </c>
      <c r="BB147" s="18">
        <v>0.14000000000000001</v>
      </c>
      <c r="BC147" s="18">
        <f t="shared" si="49"/>
        <v>0.14000000000000001</v>
      </c>
      <c r="BD147" s="18">
        <v>0.14000000000000001</v>
      </c>
      <c r="BE147" s="18">
        <v>0.14000000000000001</v>
      </c>
      <c r="BF147" s="18">
        <f t="shared" si="50"/>
        <v>0.14000000000000001</v>
      </c>
    </row>
    <row r="148" spans="1:58" ht="25.5" x14ac:dyDescent="0.25">
      <c r="A148" s="124" t="s">
        <v>1263</v>
      </c>
      <c r="B148" s="124" t="s">
        <v>1468</v>
      </c>
      <c r="C148" s="18" t="s">
        <v>1722</v>
      </c>
      <c r="D148" s="18" t="s">
        <v>1723</v>
      </c>
      <c r="E148" s="18" t="s">
        <v>1500</v>
      </c>
      <c r="F148" s="18" t="s">
        <v>1111</v>
      </c>
      <c r="G148" s="119">
        <v>43434</v>
      </c>
      <c r="H148" s="18">
        <v>0</v>
      </c>
      <c r="I148" s="18"/>
      <c r="J148" s="18">
        <f t="shared" si="34"/>
        <v>0</v>
      </c>
      <c r="K148" s="18">
        <v>0</v>
      </c>
      <c r="L148" s="18"/>
      <c r="M148" s="18">
        <f t="shared" si="35"/>
        <v>0</v>
      </c>
      <c r="N148" s="18">
        <v>52.81</v>
      </c>
      <c r="O148" s="18"/>
      <c r="P148" s="18">
        <f t="shared" si="36"/>
        <v>52.81</v>
      </c>
      <c r="Q148" s="18">
        <v>2</v>
      </c>
      <c r="R148" s="18"/>
      <c r="S148" s="18">
        <f t="shared" si="37"/>
        <v>2</v>
      </c>
      <c r="T148" s="18">
        <v>1</v>
      </c>
      <c r="U148" s="18"/>
      <c r="V148" s="18">
        <f t="shared" si="38"/>
        <v>1</v>
      </c>
      <c r="W148" s="18">
        <v>2239.3000000000002</v>
      </c>
      <c r="X148" s="18"/>
      <c r="Y148" s="18">
        <f t="shared" si="39"/>
        <v>2239.3000000000002</v>
      </c>
      <c r="Z148" s="18">
        <v>143</v>
      </c>
      <c r="AA148" s="18"/>
      <c r="AB148" s="18">
        <f t="shared" si="40"/>
        <v>143</v>
      </c>
      <c r="AC148" s="18">
        <v>337.05</v>
      </c>
      <c r="AD148" s="18"/>
      <c r="AE148" s="18">
        <f t="shared" si="41"/>
        <v>337.05</v>
      </c>
      <c r="AF148" s="18">
        <v>191831</v>
      </c>
      <c r="AG148" s="18"/>
      <c r="AH148" s="18">
        <f t="shared" si="42"/>
        <v>191831</v>
      </c>
      <c r="AI148" s="18">
        <v>194248</v>
      </c>
      <c r="AJ148" s="18"/>
      <c r="AK148" s="18">
        <f t="shared" si="43"/>
        <v>194248</v>
      </c>
      <c r="AL148" s="18">
        <v>310</v>
      </c>
      <c r="AM148" s="18"/>
      <c r="AN148" s="18">
        <f t="shared" si="44"/>
        <v>310</v>
      </c>
      <c r="AO148" s="18">
        <v>16</v>
      </c>
      <c r="AP148" s="18"/>
      <c r="AQ148" s="18">
        <f t="shared" si="45"/>
        <v>16</v>
      </c>
      <c r="AR148" s="18">
        <v>19</v>
      </c>
      <c r="AS148" s="18"/>
      <c r="AT148" s="18">
        <f t="shared" si="46"/>
        <v>19</v>
      </c>
      <c r="AU148" s="18">
        <v>260890</v>
      </c>
      <c r="AV148" s="18"/>
      <c r="AW148" s="18">
        <f t="shared" si="47"/>
        <v>260890</v>
      </c>
      <c r="AX148" s="18">
        <v>0</v>
      </c>
      <c r="AY148" s="18"/>
      <c r="AZ148" s="18">
        <f t="shared" si="48"/>
        <v>0</v>
      </c>
      <c r="BA148" s="18">
        <v>0</v>
      </c>
      <c r="BB148" s="18"/>
      <c r="BC148" s="18">
        <f t="shared" si="49"/>
        <v>0</v>
      </c>
      <c r="BD148" s="18">
        <v>0</v>
      </c>
      <c r="BE148" s="18"/>
      <c r="BF148" s="18">
        <f t="shared" si="50"/>
        <v>0</v>
      </c>
    </row>
    <row r="149" spans="1:58" ht="38.25" x14ac:dyDescent="0.25">
      <c r="A149" s="124" t="s">
        <v>1264</v>
      </c>
      <c r="B149" s="124" t="s">
        <v>1468</v>
      </c>
      <c r="C149" s="18" t="s">
        <v>1724</v>
      </c>
      <c r="D149" s="18" t="s">
        <v>1725</v>
      </c>
      <c r="E149" s="18" t="s">
        <v>1500</v>
      </c>
      <c r="F149" s="18" t="s">
        <v>1111</v>
      </c>
      <c r="G149" s="119">
        <v>43131</v>
      </c>
      <c r="H149" s="18">
        <v>0</v>
      </c>
      <c r="I149" s="18"/>
      <c r="J149" s="18">
        <f t="shared" si="34"/>
        <v>0</v>
      </c>
      <c r="K149" s="18">
        <v>0</v>
      </c>
      <c r="L149" s="18"/>
      <c r="M149" s="18">
        <f t="shared" si="35"/>
        <v>0</v>
      </c>
      <c r="N149" s="18">
        <v>33.409999999999997</v>
      </c>
      <c r="O149" s="18"/>
      <c r="P149" s="18">
        <f t="shared" si="36"/>
        <v>33.409999999999997</v>
      </c>
      <c r="Q149" s="18">
        <v>3</v>
      </c>
      <c r="R149" s="18"/>
      <c r="S149" s="18">
        <f t="shared" si="37"/>
        <v>3</v>
      </c>
      <c r="T149" s="18">
        <v>1</v>
      </c>
      <c r="U149" s="18"/>
      <c r="V149" s="18">
        <f t="shared" si="38"/>
        <v>1</v>
      </c>
      <c r="W149" s="18">
        <v>1302</v>
      </c>
      <c r="X149" s="18"/>
      <c r="Y149" s="18">
        <f t="shared" si="39"/>
        <v>1302</v>
      </c>
      <c r="Z149" s="18">
        <v>32.25</v>
      </c>
      <c r="AA149" s="18"/>
      <c r="AB149" s="18">
        <f t="shared" si="40"/>
        <v>32.25</v>
      </c>
      <c r="AC149" s="18">
        <v>199.27699999999999</v>
      </c>
      <c r="AD149" s="18"/>
      <c r="AE149" s="18">
        <f t="shared" si="41"/>
        <v>199.27699999999999</v>
      </c>
      <c r="AF149" s="18">
        <v>167019</v>
      </c>
      <c r="AG149" s="18"/>
      <c r="AH149" s="18">
        <f t="shared" si="42"/>
        <v>167019</v>
      </c>
      <c r="AI149" s="18">
        <v>167019</v>
      </c>
      <c r="AJ149" s="18"/>
      <c r="AK149" s="18">
        <f t="shared" si="43"/>
        <v>167019</v>
      </c>
      <c r="AL149" s="18">
        <v>42.76</v>
      </c>
      <c r="AM149" s="18"/>
      <c r="AN149" s="18">
        <f t="shared" si="44"/>
        <v>42.76</v>
      </c>
      <c r="AO149" s="18">
        <v>0.95</v>
      </c>
      <c r="AP149" s="18"/>
      <c r="AQ149" s="18">
        <f t="shared" si="45"/>
        <v>0.95</v>
      </c>
      <c r="AR149" s="18">
        <v>3.8</v>
      </c>
      <c r="AS149" s="18"/>
      <c r="AT149" s="18">
        <f t="shared" si="46"/>
        <v>3.8</v>
      </c>
      <c r="AU149" s="18">
        <v>167018.70000000001</v>
      </c>
      <c r="AV149" s="18"/>
      <c r="AW149" s="18">
        <f t="shared" si="47"/>
        <v>167018.70000000001</v>
      </c>
      <c r="AX149" s="18">
        <v>0</v>
      </c>
      <c r="AY149" s="18"/>
      <c r="AZ149" s="18">
        <f t="shared" si="48"/>
        <v>0</v>
      </c>
      <c r="BA149" s="18">
        <v>0</v>
      </c>
      <c r="BB149" s="18"/>
      <c r="BC149" s="18">
        <f t="shared" si="49"/>
        <v>0</v>
      </c>
      <c r="BD149" s="18">
        <v>0</v>
      </c>
      <c r="BE149" s="18"/>
      <c r="BF149" s="18">
        <f t="shared" si="50"/>
        <v>0</v>
      </c>
    </row>
    <row r="150" spans="1:58" ht="25.5" x14ac:dyDescent="0.25">
      <c r="A150" s="124" t="s">
        <v>1265</v>
      </c>
      <c r="B150" s="124" t="s">
        <v>1468</v>
      </c>
      <c r="C150" s="18" t="s">
        <v>1726</v>
      </c>
      <c r="D150" s="18" t="s">
        <v>1727</v>
      </c>
      <c r="E150" s="18" t="s">
        <v>1500</v>
      </c>
      <c r="F150" s="18" t="s">
        <v>1111</v>
      </c>
      <c r="G150" s="119">
        <v>43100</v>
      </c>
      <c r="H150" s="18">
        <v>0</v>
      </c>
      <c r="I150" s="18"/>
      <c r="J150" s="18">
        <f t="shared" si="34"/>
        <v>0</v>
      </c>
      <c r="K150" s="18">
        <v>18.45</v>
      </c>
      <c r="L150" s="18"/>
      <c r="M150" s="18">
        <f t="shared" si="35"/>
        <v>18.45</v>
      </c>
      <c r="N150" s="18">
        <v>21.48</v>
      </c>
      <c r="O150" s="18"/>
      <c r="P150" s="18">
        <f t="shared" si="36"/>
        <v>21.48</v>
      </c>
      <c r="Q150" s="18">
        <v>3</v>
      </c>
      <c r="R150" s="18"/>
      <c r="S150" s="18">
        <f t="shared" si="37"/>
        <v>3</v>
      </c>
      <c r="T150" s="18">
        <v>1</v>
      </c>
      <c r="U150" s="18"/>
      <c r="V150" s="18">
        <f t="shared" si="38"/>
        <v>1</v>
      </c>
      <c r="W150" s="18">
        <v>651.6</v>
      </c>
      <c r="X150" s="18"/>
      <c r="Y150" s="18">
        <f t="shared" si="39"/>
        <v>651.6</v>
      </c>
      <c r="Z150" s="18">
        <v>16.279</v>
      </c>
      <c r="AA150" s="18"/>
      <c r="AB150" s="18">
        <f t="shared" si="40"/>
        <v>16.279</v>
      </c>
      <c r="AC150" s="18">
        <v>96.037000000000006</v>
      </c>
      <c r="AD150" s="18"/>
      <c r="AE150" s="18">
        <f t="shared" si="41"/>
        <v>96.037000000000006</v>
      </c>
      <c r="AF150" s="18">
        <v>79758</v>
      </c>
      <c r="AG150" s="18"/>
      <c r="AH150" s="18">
        <f t="shared" si="42"/>
        <v>79758</v>
      </c>
      <c r="AI150" s="18">
        <v>65518</v>
      </c>
      <c r="AJ150" s="18"/>
      <c r="AK150" s="18">
        <f t="shared" si="43"/>
        <v>65518</v>
      </c>
      <c r="AL150" s="18">
        <v>11</v>
      </c>
      <c r="AM150" s="18"/>
      <c r="AN150" s="18">
        <f t="shared" si="44"/>
        <v>11</v>
      </c>
      <c r="AO150" s="18">
        <v>6</v>
      </c>
      <c r="AP150" s="18"/>
      <c r="AQ150" s="18">
        <f t="shared" si="45"/>
        <v>6</v>
      </c>
      <c r="AR150" s="18">
        <v>0.8</v>
      </c>
      <c r="AS150" s="18"/>
      <c r="AT150" s="18">
        <f t="shared" si="46"/>
        <v>0.8</v>
      </c>
      <c r="AU150" s="18">
        <v>95648.36</v>
      </c>
      <c r="AV150" s="18"/>
      <c r="AW150" s="18">
        <f t="shared" si="47"/>
        <v>95648.36</v>
      </c>
      <c r="AX150" s="18">
        <v>0</v>
      </c>
      <c r="AY150" s="18"/>
      <c r="AZ150" s="18">
        <f t="shared" si="48"/>
        <v>0</v>
      </c>
      <c r="BA150" s="18">
        <v>3.2000000000000001E-2</v>
      </c>
      <c r="BB150" s="18"/>
      <c r="BC150" s="18">
        <f t="shared" si="49"/>
        <v>3.2000000000000001E-2</v>
      </c>
      <c r="BD150" s="18">
        <v>3.2000000000000001E-2</v>
      </c>
      <c r="BE150" s="18"/>
      <c r="BF150" s="18">
        <f t="shared" si="50"/>
        <v>3.2000000000000001E-2</v>
      </c>
    </row>
    <row r="151" spans="1:58" ht="51" x14ac:dyDescent="0.25">
      <c r="A151" s="124" t="s">
        <v>1266</v>
      </c>
      <c r="B151" s="124" t="s">
        <v>1468</v>
      </c>
      <c r="C151" s="18" t="s">
        <v>1728</v>
      </c>
      <c r="D151" s="18" t="s">
        <v>1729</v>
      </c>
      <c r="E151" s="18" t="s">
        <v>1483</v>
      </c>
      <c r="F151" s="18" t="s">
        <v>1111</v>
      </c>
      <c r="G151" s="119">
        <v>43251</v>
      </c>
      <c r="H151" s="18">
        <v>0</v>
      </c>
      <c r="I151" s="18"/>
      <c r="J151" s="18">
        <f t="shared" si="34"/>
        <v>0</v>
      </c>
      <c r="K151" s="18">
        <v>4.4180000000000001</v>
      </c>
      <c r="L151" s="18"/>
      <c r="M151" s="18">
        <f t="shared" si="35"/>
        <v>4.4180000000000001</v>
      </c>
      <c r="N151" s="18">
        <v>32.610500000000002</v>
      </c>
      <c r="O151" s="18"/>
      <c r="P151" s="18">
        <f t="shared" si="36"/>
        <v>32.610500000000002</v>
      </c>
      <c r="Q151" s="18">
        <v>6</v>
      </c>
      <c r="R151" s="18"/>
      <c r="S151" s="18">
        <f t="shared" si="37"/>
        <v>6</v>
      </c>
      <c r="T151" s="18">
        <v>2</v>
      </c>
      <c r="U151" s="18"/>
      <c r="V151" s="18">
        <f t="shared" si="38"/>
        <v>2</v>
      </c>
      <c r="W151" s="18">
        <v>747.49</v>
      </c>
      <c r="X151" s="18"/>
      <c r="Y151" s="18">
        <f t="shared" si="39"/>
        <v>747.49</v>
      </c>
      <c r="Z151" s="18">
        <v>31.274000000000001</v>
      </c>
      <c r="AA151" s="18"/>
      <c r="AB151" s="18">
        <f t="shared" si="40"/>
        <v>31.274000000000001</v>
      </c>
      <c r="AC151" s="18">
        <v>205.78700000000001</v>
      </c>
      <c r="AD151" s="18"/>
      <c r="AE151" s="18">
        <f t="shared" si="41"/>
        <v>205.78700000000001</v>
      </c>
      <c r="AF151" s="18">
        <v>174513</v>
      </c>
      <c r="AG151" s="18"/>
      <c r="AH151" s="18">
        <f t="shared" si="42"/>
        <v>174513</v>
      </c>
      <c r="AI151" s="18">
        <v>174513</v>
      </c>
      <c r="AJ151" s="18"/>
      <c r="AK151" s="18">
        <f t="shared" si="43"/>
        <v>174513</v>
      </c>
      <c r="AL151" s="18">
        <v>48.81</v>
      </c>
      <c r="AM151" s="18"/>
      <c r="AN151" s="18">
        <f t="shared" si="44"/>
        <v>48.81</v>
      </c>
      <c r="AO151" s="18">
        <v>32714.1</v>
      </c>
      <c r="AP151" s="18"/>
      <c r="AQ151" s="18">
        <f t="shared" si="45"/>
        <v>32714.1</v>
      </c>
      <c r="AR151" s="18">
        <v>27</v>
      </c>
      <c r="AS151" s="18"/>
      <c r="AT151" s="18">
        <f t="shared" si="46"/>
        <v>27</v>
      </c>
      <c r="AU151" s="18">
        <v>27515.32</v>
      </c>
      <c r="AV151" s="18"/>
      <c r="AW151" s="18">
        <f t="shared" si="47"/>
        <v>27515.32</v>
      </c>
      <c r="AX151" s="18">
        <v>0</v>
      </c>
      <c r="AY151" s="18"/>
      <c r="AZ151" s="18">
        <f t="shared" si="48"/>
        <v>0</v>
      </c>
      <c r="BA151" s="18">
        <v>4.0000000000000001E-3</v>
      </c>
      <c r="BB151" s="18"/>
      <c r="BC151" s="18">
        <f t="shared" si="49"/>
        <v>4.0000000000000001E-3</v>
      </c>
      <c r="BD151" s="18">
        <v>4.0000000000000001E-3</v>
      </c>
      <c r="BE151" s="18"/>
      <c r="BF151" s="18">
        <f t="shared" si="50"/>
        <v>4.0000000000000001E-3</v>
      </c>
    </row>
    <row r="152" spans="1:58" ht="25.5" x14ac:dyDescent="0.25">
      <c r="A152" s="124" t="s">
        <v>1267</v>
      </c>
      <c r="B152" s="124" t="s">
        <v>1468</v>
      </c>
      <c r="C152" s="18" t="s">
        <v>1730</v>
      </c>
      <c r="D152" s="18" t="s">
        <v>1731</v>
      </c>
      <c r="E152" s="18" t="s">
        <v>1483</v>
      </c>
      <c r="F152" s="18" t="s">
        <v>1111</v>
      </c>
      <c r="G152" s="119">
        <v>43220</v>
      </c>
      <c r="H152" s="18">
        <v>0</v>
      </c>
      <c r="I152" s="18"/>
      <c r="J152" s="18">
        <f t="shared" si="34"/>
        <v>0</v>
      </c>
      <c r="K152" s="18">
        <v>38.28</v>
      </c>
      <c r="L152" s="18"/>
      <c r="M152" s="18">
        <f t="shared" si="35"/>
        <v>38.28</v>
      </c>
      <c r="N152" s="18">
        <v>8.35</v>
      </c>
      <c r="O152" s="18"/>
      <c r="P152" s="18">
        <f t="shared" si="36"/>
        <v>8.35</v>
      </c>
      <c r="Q152" s="18">
        <v>5</v>
      </c>
      <c r="R152" s="18"/>
      <c r="S152" s="18">
        <f t="shared" si="37"/>
        <v>5</v>
      </c>
      <c r="T152" s="18">
        <v>1</v>
      </c>
      <c r="U152" s="18"/>
      <c r="V152" s="18">
        <f t="shared" si="38"/>
        <v>1</v>
      </c>
      <c r="W152" s="18">
        <v>2502.02</v>
      </c>
      <c r="X152" s="18"/>
      <c r="Y152" s="18">
        <f t="shared" si="39"/>
        <v>2502.02</v>
      </c>
      <c r="Z152" s="18">
        <v>33.14</v>
      </c>
      <c r="AA152" s="18"/>
      <c r="AB152" s="18">
        <f t="shared" si="40"/>
        <v>33.14</v>
      </c>
      <c r="AC152" s="18">
        <v>206.36</v>
      </c>
      <c r="AD152" s="18"/>
      <c r="AE152" s="18">
        <f t="shared" si="41"/>
        <v>206.36</v>
      </c>
      <c r="AF152" s="18">
        <v>173220</v>
      </c>
      <c r="AG152" s="18"/>
      <c r="AH152" s="18">
        <f t="shared" si="42"/>
        <v>173220</v>
      </c>
      <c r="AI152" s="18">
        <v>485330</v>
      </c>
      <c r="AJ152" s="18"/>
      <c r="AK152" s="18">
        <f t="shared" si="43"/>
        <v>485330</v>
      </c>
      <c r="AL152" s="18">
        <v>27.9</v>
      </c>
      <c r="AM152" s="18"/>
      <c r="AN152" s="18">
        <f t="shared" si="44"/>
        <v>27.9</v>
      </c>
      <c r="AO152" s="18">
        <v>5.08</v>
      </c>
      <c r="AP152" s="18"/>
      <c r="AQ152" s="18">
        <f t="shared" si="45"/>
        <v>5.08</v>
      </c>
      <c r="AR152" s="18">
        <v>25.4</v>
      </c>
      <c r="AS152" s="18"/>
      <c r="AT152" s="18">
        <f t="shared" si="46"/>
        <v>25.4</v>
      </c>
      <c r="AU152" s="18">
        <v>360314.6</v>
      </c>
      <c r="AV152" s="18"/>
      <c r="AW152" s="18">
        <f t="shared" si="47"/>
        <v>360314.6</v>
      </c>
      <c r="AX152" s="18">
        <v>0</v>
      </c>
      <c r="AY152" s="18"/>
      <c r="AZ152" s="18">
        <f t="shared" si="48"/>
        <v>0</v>
      </c>
      <c r="BA152" s="18">
        <v>6.0000000000000001E-3</v>
      </c>
      <c r="BB152" s="18"/>
      <c r="BC152" s="18">
        <f t="shared" si="49"/>
        <v>6.0000000000000001E-3</v>
      </c>
      <c r="BD152" s="18">
        <v>6.0000000000000001E-3</v>
      </c>
      <c r="BE152" s="18"/>
      <c r="BF152" s="18">
        <f t="shared" si="50"/>
        <v>6.0000000000000001E-3</v>
      </c>
    </row>
    <row r="153" spans="1:58" ht="25.5" x14ac:dyDescent="0.25">
      <c r="A153" s="124" t="s">
        <v>1268</v>
      </c>
      <c r="B153" s="124" t="s">
        <v>1468</v>
      </c>
      <c r="C153" s="18" t="s">
        <v>1730</v>
      </c>
      <c r="D153" s="18" t="s">
        <v>1732</v>
      </c>
      <c r="E153" s="18" t="s">
        <v>1483</v>
      </c>
      <c r="F153" s="18" t="s">
        <v>1111</v>
      </c>
      <c r="G153" s="119">
        <v>43524</v>
      </c>
      <c r="H153" s="18">
        <v>0</v>
      </c>
      <c r="I153" s="18"/>
      <c r="J153" s="18">
        <f t="shared" si="34"/>
        <v>0</v>
      </c>
      <c r="K153" s="18">
        <v>0</v>
      </c>
      <c r="L153" s="18"/>
      <c r="M153" s="18">
        <f t="shared" si="35"/>
        <v>0</v>
      </c>
      <c r="N153" s="18">
        <v>10.2927</v>
      </c>
      <c r="O153" s="18"/>
      <c r="P153" s="18">
        <f t="shared" si="36"/>
        <v>0</v>
      </c>
      <c r="Q153" s="18">
        <v>3</v>
      </c>
      <c r="R153" s="18"/>
      <c r="S153" s="18">
        <f t="shared" si="37"/>
        <v>0</v>
      </c>
      <c r="T153" s="18">
        <v>1</v>
      </c>
      <c r="U153" s="18"/>
      <c r="V153" s="18">
        <f t="shared" si="38"/>
        <v>0</v>
      </c>
      <c r="W153" s="18">
        <v>1184.73</v>
      </c>
      <c r="X153" s="18"/>
      <c r="Y153" s="18">
        <f t="shared" si="39"/>
        <v>0</v>
      </c>
      <c r="Z153" s="18">
        <v>163.482</v>
      </c>
      <c r="AA153" s="18"/>
      <c r="AB153" s="18">
        <f t="shared" si="40"/>
        <v>0</v>
      </c>
      <c r="AC153" s="18">
        <v>271.02300000000002</v>
      </c>
      <c r="AD153" s="18"/>
      <c r="AE153" s="18">
        <f t="shared" si="41"/>
        <v>0</v>
      </c>
      <c r="AF153" s="18">
        <v>107541</v>
      </c>
      <c r="AG153" s="18"/>
      <c r="AH153" s="18">
        <f t="shared" si="42"/>
        <v>0</v>
      </c>
      <c r="AI153" s="18">
        <v>134550</v>
      </c>
      <c r="AJ153" s="18"/>
      <c r="AK153" s="18">
        <f t="shared" si="43"/>
        <v>0</v>
      </c>
      <c r="AL153" s="18">
        <v>61.7</v>
      </c>
      <c r="AM153" s="18"/>
      <c r="AN153" s="18">
        <f t="shared" si="44"/>
        <v>0</v>
      </c>
      <c r="AO153" s="18">
        <v>120</v>
      </c>
      <c r="AP153" s="18"/>
      <c r="AQ153" s="18">
        <f t="shared" si="45"/>
        <v>0</v>
      </c>
      <c r="AR153" s="18">
        <v>1.4419999999999999</v>
      </c>
      <c r="AS153" s="18"/>
      <c r="AT153" s="18">
        <f t="shared" si="46"/>
        <v>0</v>
      </c>
      <c r="AU153" s="18">
        <v>246933.27</v>
      </c>
      <c r="AV153" s="18"/>
      <c r="AW153" s="18">
        <f t="shared" si="47"/>
        <v>0</v>
      </c>
      <c r="AX153" s="18">
        <v>0</v>
      </c>
      <c r="AY153" s="18"/>
      <c r="AZ153" s="18">
        <f t="shared" si="48"/>
        <v>0</v>
      </c>
      <c r="BA153" s="18">
        <v>0</v>
      </c>
      <c r="BB153" s="18"/>
      <c r="BC153" s="18">
        <f t="shared" si="49"/>
        <v>0</v>
      </c>
      <c r="BD153" s="18">
        <v>0</v>
      </c>
      <c r="BE153" s="18"/>
      <c r="BF153" s="18">
        <f t="shared" si="50"/>
        <v>0</v>
      </c>
    </row>
    <row r="154" spans="1:58" ht="25.5" x14ac:dyDescent="0.25">
      <c r="A154" s="124" t="s">
        <v>1269</v>
      </c>
      <c r="B154" s="124" t="s">
        <v>1468</v>
      </c>
      <c r="C154" s="18" t="s">
        <v>1733</v>
      </c>
      <c r="D154" s="18" t="s">
        <v>1734</v>
      </c>
      <c r="E154" s="18" t="s">
        <v>1471</v>
      </c>
      <c r="F154" s="18" t="s">
        <v>1111</v>
      </c>
      <c r="G154" s="119">
        <v>43434</v>
      </c>
      <c r="H154" s="18">
        <v>4</v>
      </c>
      <c r="I154" s="18"/>
      <c r="J154" s="18">
        <f t="shared" si="34"/>
        <v>4</v>
      </c>
      <c r="K154" s="18">
        <v>0</v>
      </c>
      <c r="L154" s="18"/>
      <c r="M154" s="18">
        <f t="shared" si="35"/>
        <v>0</v>
      </c>
      <c r="N154" s="18">
        <v>17.7</v>
      </c>
      <c r="O154" s="18"/>
      <c r="P154" s="18">
        <f t="shared" si="36"/>
        <v>17.7</v>
      </c>
      <c r="Q154" s="18">
        <v>5</v>
      </c>
      <c r="R154" s="18"/>
      <c r="S154" s="18">
        <f t="shared" si="37"/>
        <v>5</v>
      </c>
      <c r="T154" s="18">
        <v>1</v>
      </c>
      <c r="U154" s="18"/>
      <c r="V154" s="18">
        <f t="shared" si="38"/>
        <v>1</v>
      </c>
      <c r="W154" s="18">
        <v>736</v>
      </c>
      <c r="X154" s="18"/>
      <c r="Y154" s="18">
        <f t="shared" si="39"/>
        <v>736</v>
      </c>
      <c r="Z154" s="18">
        <v>45.084000000000003</v>
      </c>
      <c r="AA154" s="18"/>
      <c r="AB154" s="18">
        <f t="shared" si="40"/>
        <v>45.084000000000003</v>
      </c>
      <c r="AC154" s="18">
        <v>91.768000000000001</v>
      </c>
      <c r="AD154" s="18"/>
      <c r="AE154" s="18">
        <f t="shared" si="41"/>
        <v>91.768000000000001</v>
      </c>
      <c r="AF154" s="18">
        <v>46683</v>
      </c>
      <c r="AG154" s="18"/>
      <c r="AH154" s="18">
        <f t="shared" si="42"/>
        <v>46683</v>
      </c>
      <c r="AI154" s="18">
        <v>46683</v>
      </c>
      <c r="AJ154" s="18"/>
      <c r="AK154" s="18">
        <f t="shared" si="43"/>
        <v>46683</v>
      </c>
      <c r="AL154" s="18">
        <v>49</v>
      </c>
      <c r="AM154" s="18"/>
      <c r="AN154" s="18">
        <f t="shared" si="44"/>
        <v>49</v>
      </c>
      <c r="AO154" s="18">
        <v>9</v>
      </c>
      <c r="AP154" s="18"/>
      <c r="AQ154" s="18">
        <f t="shared" si="45"/>
        <v>9</v>
      </c>
      <c r="AR154" s="18">
        <v>45</v>
      </c>
      <c r="AS154" s="18"/>
      <c r="AT154" s="18">
        <f t="shared" si="46"/>
        <v>45</v>
      </c>
      <c r="AU154" s="18">
        <v>46683</v>
      </c>
      <c r="AV154" s="18"/>
      <c r="AW154" s="18">
        <f t="shared" si="47"/>
        <v>46683</v>
      </c>
      <c r="AX154" s="18">
        <v>4.0000000000000001E-3</v>
      </c>
      <c r="AY154" s="18"/>
      <c r="AZ154" s="18">
        <f t="shared" si="48"/>
        <v>4.0000000000000001E-3</v>
      </c>
      <c r="BA154" s="18">
        <v>4.0000000000000001E-3</v>
      </c>
      <c r="BB154" s="18"/>
      <c r="BC154" s="18">
        <f t="shared" si="49"/>
        <v>4.0000000000000001E-3</v>
      </c>
      <c r="BD154" s="18">
        <v>0</v>
      </c>
      <c r="BE154" s="18"/>
      <c r="BF154" s="18">
        <f t="shared" si="50"/>
        <v>0</v>
      </c>
    </row>
    <row r="155" spans="1:58" ht="25.5" x14ac:dyDescent="0.25">
      <c r="A155" s="124" t="s">
        <v>1270</v>
      </c>
      <c r="B155" s="124" t="s">
        <v>1468</v>
      </c>
      <c r="C155" s="18" t="s">
        <v>1735</v>
      </c>
      <c r="D155" s="18" t="s">
        <v>1736</v>
      </c>
      <c r="E155" s="18" t="s">
        <v>1471</v>
      </c>
      <c r="F155" s="18" t="s">
        <v>1111</v>
      </c>
      <c r="G155" s="119">
        <v>43100</v>
      </c>
      <c r="H155" s="18">
        <v>0</v>
      </c>
      <c r="I155" s="18"/>
      <c r="J155" s="18">
        <f t="shared" si="34"/>
        <v>0</v>
      </c>
      <c r="K155" s="18">
        <v>0</v>
      </c>
      <c r="L155" s="18"/>
      <c r="M155" s="18">
        <f t="shared" si="35"/>
        <v>0</v>
      </c>
      <c r="N155" s="18">
        <v>35.255600000000001</v>
      </c>
      <c r="O155" s="18"/>
      <c r="P155" s="18">
        <f t="shared" si="36"/>
        <v>35.255600000000001</v>
      </c>
      <c r="Q155" s="18">
        <v>4</v>
      </c>
      <c r="R155" s="18"/>
      <c r="S155" s="18">
        <f t="shared" si="37"/>
        <v>4</v>
      </c>
      <c r="T155" s="18">
        <v>1</v>
      </c>
      <c r="U155" s="18"/>
      <c r="V155" s="18">
        <f t="shared" si="38"/>
        <v>1</v>
      </c>
      <c r="W155" s="18">
        <v>833.5</v>
      </c>
      <c r="X155" s="18"/>
      <c r="Y155" s="18">
        <f t="shared" si="39"/>
        <v>833.5</v>
      </c>
      <c r="Z155" s="18">
        <v>53.960999999999999</v>
      </c>
      <c r="AA155" s="18"/>
      <c r="AB155" s="18">
        <f t="shared" si="40"/>
        <v>53.960999999999999</v>
      </c>
      <c r="AC155" s="18">
        <v>150.24700000000001</v>
      </c>
      <c r="AD155" s="18"/>
      <c r="AE155" s="18">
        <f t="shared" si="41"/>
        <v>150.24700000000001</v>
      </c>
      <c r="AF155" s="18">
        <v>96.286000000000001</v>
      </c>
      <c r="AG155" s="18"/>
      <c r="AH155" s="18">
        <f t="shared" si="42"/>
        <v>96.286000000000001</v>
      </c>
      <c r="AI155" s="18">
        <v>152530.5</v>
      </c>
      <c r="AJ155" s="18"/>
      <c r="AK155" s="18">
        <f t="shared" si="43"/>
        <v>152530.5</v>
      </c>
      <c r="AL155" s="18">
        <v>25.7103</v>
      </c>
      <c r="AM155" s="18"/>
      <c r="AN155" s="18">
        <f t="shared" si="44"/>
        <v>25.7103</v>
      </c>
      <c r="AO155" s="18">
        <v>8.3391000000000002</v>
      </c>
      <c r="AP155" s="18"/>
      <c r="AQ155" s="18">
        <f t="shared" si="45"/>
        <v>8.3391000000000002</v>
      </c>
      <c r="AR155" s="18">
        <v>29.2773</v>
      </c>
      <c r="AS155" s="18"/>
      <c r="AT155" s="18">
        <f t="shared" si="46"/>
        <v>29.2773</v>
      </c>
      <c r="AU155" s="18">
        <v>247274.45</v>
      </c>
      <c r="AV155" s="18"/>
      <c r="AW155" s="18">
        <f t="shared" si="47"/>
        <v>247274.45</v>
      </c>
      <c r="AX155" s="18">
        <v>0</v>
      </c>
      <c r="AY155" s="18"/>
      <c r="AZ155" s="18">
        <f t="shared" si="48"/>
        <v>0</v>
      </c>
      <c r="BA155" s="18">
        <v>0</v>
      </c>
      <c r="BB155" s="18"/>
      <c r="BC155" s="18">
        <f t="shared" si="49"/>
        <v>0</v>
      </c>
      <c r="BD155" s="18">
        <v>0</v>
      </c>
      <c r="BE155" s="18"/>
      <c r="BF155" s="18">
        <f t="shared" si="50"/>
        <v>0</v>
      </c>
    </row>
    <row r="156" spans="1:58" ht="38.25" x14ac:dyDescent="0.25">
      <c r="A156" s="124" t="s">
        <v>1271</v>
      </c>
      <c r="B156" s="124" t="s">
        <v>1468</v>
      </c>
      <c r="C156" s="18" t="s">
        <v>1737</v>
      </c>
      <c r="D156" s="18" t="s">
        <v>1738</v>
      </c>
      <c r="E156" s="18" t="s">
        <v>1503</v>
      </c>
      <c r="F156" s="18" t="s">
        <v>1111</v>
      </c>
      <c r="G156" s="119">
        <v>43585</v>
      </c>
      <c r="H156" s="18">
        <v>0</v>
      </c>
      <c r="I156" s="18"/>
      <c r="J156" s="18">
        <f t="shared" si="34"/>
        <v>0</v>
      </c>
      <c r="K156" s="18">
        <v>20.018999999999998</v>
      </c>
      <c r="L156" s="18"/>
      <c r="M156" s="18">
        <f t="shared" si="35"/>
        <v>0</v>
      </c>
      <c r="N156" s="18">
        <v>37.25</v>
      </c>
      <c r="O156" s="18"/>
      <c r="P156" s="18">
        <f t="shared" si="36"/>
        <v>0</v>
      </c>
      <c r="Q156" s="18">
        <v>4</v>
      </c>
      <c r="R156" s="18"/>
      <c r="S156" s="18">
        <f t="shared" si="37"/>
        <v>0</v>
      </c>
      <c r="T156" s="18">
        <v>1</v>
      </c>
      <c r="U156" s="18"/>
      <c r="V156" s="18">
        <f t="shared" si="38"/>
        <v>0</v>
      </c>
      <c r="W156" s="18">
        <v>1103.6099999999999</v>
      </c>
      <c r="X156" s="18"/>
      <c r="Y156" s="18">
        <f t="shared" si="39"/>
        <v>0</v>
      </c>
      <c r="Z156" s="18">
        <v>124.123</v>
      </c>
      <c r="AA156" s="18"/>
      <c r="AB156" s="18">
        <f t="shared" si="40"/>
        <v>0</v>
      </c>
      <c r="AC156" s="18">
        <v>179.37180000000001</v>
      </c>
      <c r="AD156" s="18"/>
      <c r="AE156" s="18">
        <f t="shared" si="41"/>
        <v>0</v>
      </c>
      <c r="AF156" s="18">
        <v>55248.800000000003</v>
      </c>
      <c r="AG156" s="18"/>
      <c r="AH156" s="18">
        <f t="shared" si="42"/>
        <v>0</v>
      </c>
      <c r="AI156" s="18">
        <v>252726.69</v>
      </c>
      <c r="AJ156" s="18"/>
      <c r="AK156" s="18">
        <f t="shared" si="43"/>
        <v>0</v>
      </c>
      <c r="AL156" s="18">
        <v>0.26900000000000002</v>
      </c>
      <c r="AM156" s="18"/>
      <c r="AN156" s="18">
        <f t="shared" si="44"/>
        <v>0</v>
      </c>
      <c r="AO156" s="18">
        <v>17.64</v>
      </c>
      <c r="AP156" s="18"/>
      <c r="AQ156" s="18">
        <f t="shared" si="45"/>
        <v>0</v>
      </c>
      <c r="AR156" s="18">
        <v>2.2400000000000002</v>
      </c>
      <c r="AS156" s="18"/>
      <c r="AT156" s="18">
        <f t="shared" si="46"/>
        <v>0</v>
      </c>
      <c r="AU156" s="18">
        <v>328897.84999999998</v>
      </c>
      <c r="AV156" s="18"/>
      <c r="AW156" s="18">
        <f t="shared" si="47"/>
        <v>0</v>
      </c>
      <c r="AX156" s="18">
        <v>0</v>
      </c>
      <c r="AY156" s="18"/>
      <c r="AZ156" s="18">
        <f t="shared" si="48"/>
        <v>0</v>
      </c>
      <c r="BA156" s="18">
        <v>0</v>
      </c>
      <c r="BB156" s="18"/>
      <c r="BC156" s="18">
        <f t="shared" si="49"/>
        <v>0</v>
      </c>
      <c r="BD156" s="18">
        <v>0</v>
      </c>
      <c r="BE156" s="18"/>
      <c r="BF156" s="18">
        <f t="shared" si="50"/>
        <v>0</v>
      </c>
    </row>
    <row r="157" spans="1:58" ht="25.5" x14ac:dyDescent="0.25">
      <c r="A157" s="124" t="s">
        <v>1272</v>
      </c>
      <c r="B157" s="124" t="s">
        <v>1468</v>
      </c>
      <c r="C157" s="18" t="s">
        <v>1739</v>
      </c>
      <c r="D157" s="18" t="s">
        <v>1740</v>
      </c>
      <c r="E157" s="18" t="s">
        <v>1483</v>
      </c>
      <c r="F157" s="18" t="s">
        <v>1111</v>
      </c>
      <c r="G157" s="119">
        <v>43465</v>
      </c>
      <c r="H157" s="18">
        <v>0</v>
      </c>
      <c r="I157" s="18"/>
      <c r="J157" s="18">
        <f t="shared" si="34"/>
        <v>0</v>
      </c>
      <c r="K157" s="18">
        <v>2.6859999999999999</v>
      </c>
      <c r="L157" s="18"/>
      <c r="M157" s="18">
        <f t="shared" si="35"/>
        <v>2.6859999999999999</v>
      </c>
      <c r="N157" s="18">
        <v>4.7389999999999999</v>
      </c>
      <c r="O157" s="18"/>
      <c r="P157" s="18">
        <f t="shared" si="36"/>
        <v>4.7389999999999999</v>
      </c>
      <c r="Q157" s="18">
        <v>5</v>
      </c>
      <c r="R157" s="18"/>
      <c r="S157" s="18">
        <f t="shared" si="37"/>
        <v>5</v>
      </c>
      <c r="T157" s="18">
        <v>1</v>
      </c>
      <c r="U157" s="18"/>
      <c r="V157" s="18">
        <f t="shared" si="38"/>
        <v>1</v>
      </c>
      <c r="W157" s="18">
        <v>933.13</v>
      </c>
      <c r="X157" s="18"/>
      <c r="Y157" s="18">
        <f t="shared" si="39"/>
        <v>933.13</v>
      </c>
      <c r="Z157" s="18">
        <v>24.69</v>
      </c>
      <c r="AA157" s="18"/>
      <c r="AB157" s="18">
        <f t="shared" si="40"/>
        <v>24.69</v>
      </c>
      <c r="AC157" s="18">
        <v>99.7</v>
      </c>
      <c r="AD157" s="18"/>
      <c r="AE157" s="18">
        <f t="shared" si="41"/>
        <v>99.7</v>
      </c>
      <c r="AF157" s="18">
        <v>75.010000000000005</v>
      </c>
      <c r="AG157" s="18"/>
      <c r="AH157" s="18">
        <f t="shared" si="42"/>
        <v>75.010000000000005</v>
      </c>
      <c r="AI157" s="18">
        <v>89627.1</v>
      </c>
      <c r="AJ157" s="18"/>
      <c r="AK157" s="18">
        <f t="shared" si="43"/>
        <v>89627.1</v>
      </c>
      <c r="AL157" s="18">
        <v>77.900000000000006</v>
      </c>
      <c r="AM157" s="18"/>
      <c r="AN157" s="18">
        <f t="shared" si="44"/>
        <v>77.900000000000006</v>
      </c>
      <c r="AO157" s="18">
        <v>379</v>
      </c>
      <c r="AP157" s="18"/>
      <c r="AQ157" s="18">
        <f t="shared" si="45"/>
        <v>379</v>
      </c>
      <c r="AR157" s="18">
        <v>0.46</v>
      </c>
      <c r="AS157" s="18"/>
      <c r="AT157" s="18">
        <f t="shared" si="46"/>
        <v>0.46</v>
      </c>
      <c r="AU157" s="18">
        <v>25032.27</v>
      </c>
      <c r="AV157" s="18"/>
      <c r="AW157" s="18">
        <f t="shared" si="47"/>
        <v>25032.27</v>
      </c>
      <c r="AX157" s="18">
        <v>0</v>
      </c>
      <c r="AY157" s="18"/>
      <c r="AZ157" s="18">
        <f t="shared" si="48"/>
        <v>0</v>
      </c>
      <c r="BA157" s="18">
        <v>1.8E-3</v>
      </c>
      <c r="BB157" s="18"/>
      <c r="BC157" s="18">
        <f t="shared" si="49"/>
        <v>1.8E-3</v>
      </c>
      <c r="BD157" s="18">
        <v>1.8E-3</v>
      </c>
      <c r="BE157" s="18"/>
      <c r="BF157" s="18">
        <f t="shared" si="50"/>
        <v>1.8E-3</v>
      </c>
    </row>
    <row r="158" spans="1:58" ht="25.5" x14ac:dyDescent="0.25">
      <c r="A158" s="124" t="s">
        <v>1273</v>
      </c>
      <c r="B158" s="124" t="s">
        <v>1468</v>
      </c>
      <c r="C158" s="18" t="s">
        <v>1741</v>
      </c>
      <c r="D158" s="18" t="s">
        <v>1742</v>
      </c>
      <c r="E158" s="18" t="s">
        <v>1471</v>
      </c>
      <c r="F158" s="18" t="s">
        <v>1111</v>
      </c>
      <c r="G158" s="119">
        <v>43220</v>
      </c>
      <c r="H158" s="18">
        <v>0</v>
      </c>
      <c r="I158" s="18"/>
      <c r="J158" s="18">
        <f t="shared" si="34"/>
        <v>0</v>
      </c>
      <c r="K158" s="18">
        <v>0</v>
      </c>
      <c r="L158" s="18"/>
      <c r="M158" s="18">
        <f t="shared" si="35"/>
        <v>0</v>
      </c>
      <c r="N158" s="18">
        <v>7.5499999999999998E-2</v>
      </c>
      <c r="O158" s="18"/>
      <c r="P158" s="18">
        <f t="shared" si="36"/>
        <v>7.5499999999999998E-2</v>
      </c>
      <c r="Q158" s="18">
        <v>3</v>
      </c>
      <c r="R158" s="18"/>
      <c r="S158" s="18">
        <f t="shared" si="37"/>
        <v>3</v>
      </c>
      <c r="T158" s="18">
        <v>1</v>
      </c>
      <c r="U158" s="18"/>
      <c r="V158" s="18">
        <f t="shared" si="38"/>
        <v>1</v>
      </c>
      <c r="W158" s="18">
        <v>2140.4499999999998</v>
      </c>
      <c r="X158" s="18"/>
      <c r="Y158" s="18">
        <f t="shared" si="39"/>
        <v>2140.4499999999998</v>
      </c>
      <c r="Z158" s="18">
        <v>72.836399999999998</v>
      </c>
      <c r="AA158" s="18"/>
      <c r="AB158" s="18">
        <f t="shared" si="40"/>
        <v>72.836399999999998</v>
      </c>
      <c r="AC158" s="18">
        <v>338.774</v>
      </c>
      <c r="AD158" s="18"/>
      <c r="AE158" s="18">
        <f t="shared" si="41"/>
        <v>338.774</v>
      </c>
      <c r="AF158" s="18">
        <v>265937.59000000003</v>
      </c>
      <c r="AG158" s="18"/>
      <c r="AH158" s="18">
        <f t="shared" si="42"/>
        <v>265937.59000000003</v>
      </c>
      <c r="AI158" s="18">
        <v>303943.90000000002</v>
      </c>
      <c r="AJ158" s="18"/>
      <c r="AK158" s="18">
        <f t="shared" si="43"/>
        <v>303943.90000000002</v>
      </c>
      <c r="AL158" s="18">
        <v>55.13</v>
      </c>
      <c r="AM158" s="18"/>
      <c r="AN158" s="18">
        <f t="shared" si="44"/>
        <v>55.13</v>
      </c>
      <c r="AO158" s="18">
        <v>2.52</v>
      </c>
      <c r="AP158" s="18"/>
      <c r="AQ158" s="18">
        <f t="shared" si="45"/>
        <v>2.52</v>
      </c>
      <c r="AR158" s="18">
        <v>11.86</v>
      </c>
      <c r="AS158" s="18"/>
      <c r="AT158" s="18">
        <f t="shared" si="46"/>
        <v>11.86</v>
      </c>
      <c r="AU158" s="18">
        <v>453775.4</v>
      </c>
      <c r="AV158" s="18"/>
      <c r="AW158" s="18">
        <f t="shared" si="47"/>
        <v>453775.4</v>
      </c>
      <c r="AX158" s="18">
        <v>0</v>
      </c>
      <c r="AY158" s="18"/>
      <c r="AZ158" s="18">
        <f t="shared" si="48"/>
        <v>0</v>
      </c>
      <c r="BA158" s="18">
        <v>0</v>
      </c>
      <c r="BB158" s="18"/>
      <c r="BC158" s="18">
        <f t="shared" si="49"/>
        <v>0</v>
      </c>
      <c r="BD158" s="18">
        <v>0</v>
      </c>
      <c r="BE158" s="18"/>
      <c r="BF158" s="18">
        <f t="shared" si="50"/>
        <v>0</v>
      </c>
    </row>
    <row r="159" spans="1:58" ht="25.5" x14ac:dyDescent="0.25">
      <c r="A159" s="124" t="s">
        <v>1274</v>
      </c>
      <c r="B159" s="124" t="s">
        <v>1468</v>
      </c>
      <c r="C159" s="18" t="s">
        <v>1743</v>
      </c>
      <c r="D159" s="18" t="s">
        <v>1744</v>
      </c>
      <c r="E159" s="18" t="s">
        <v>1471</v>
      </c>
      <c r="F159" s="18" t="s">
        <v>1111</v>
      </c>
      <c r="G159" s="119">
        <v>43677</v>
      </c>
      <c r="H159" s="18">
        <v>22.000699999999998</v>
      </c>
      <c r="I159" s="18"/>
      <c r="J159" s="18">
        <f t="shared" si="34"/>
        <v>0</v>
      </c>
      <c r="K159" s="18">
        <v>0</v>
      </c>
      <c r="L159" s="18"/>
      <c r="M159" s="18">
        <f t="shared" si="35"/>
        <v>0</v>
      </c>
      <c r="N159" s="18">
        <v>0.1293</v>
      </c>
      <c r="O159" s="18"/>
      <c r="P159" s="18">
        <f t="shared" si="36"/>
        <v>0</v>
      </c>
      <c r="Q159" s="18">
        <v>4</v>
      </c>
      <c r="R159" s="18"/>
      <c r="S159" s="18">
        <f t="shared" si="37"/>
        <v>0</v>
      </c>
      <c r="T159" s="18">
        <v>1</v>
      </c>
      <c r="U159" s="18"/>
      <c r="V159" s="18">
        <f t="shared" si="38"/>
        <v>0</v>
      </c>
      <c r="W159" s="18">
        <v>2520.13</v>
      </c>
      <c r="X159" s="18"/>
      <c r="Y159" s="18">
        <f t="shared" si="39"/>
        <v>0</v>
      </c>
      <c r="Z159" s="18">
        <v>59.738999999999997</v>
      </c>
      <c r="AA159" s="18"/>
      <c r="AB159" s="18">
        <f t="shared" si="40"/>
        <v>0</v>
      </c>
      <c r="AC159" s="18">
        <v>364.70699999999999</v>
      </c>
      <c r="AD159" s="18"/>
      <c r="AE159" s="18">
        <f t="shared" si="41"/>
        <v>0</v>
      </c>
      <c r="AF159" s="18">
        <v>304697.99</v>
      </c>
      <c r="AG159" s="18"/>
      <c r="AH159" s="18">
        <f t="shared" si="42"/>
        <v>0</v>
      </c>
      <c r="AI159" s="18">
        <v>481344.83</v>
      </c>
      <c r="AJ159" s="18"/>
      <c r="AK159" s="18">
        <f t="shared" si="43"/>
        <v>0</v>
      </c>
      <c r="AL159" s="18">
        <v>133.16</v>
      </c>
      <c r="AM159" s="18"/>
      <c r="AN159" s="18">
        <f t="shared" si="44"/>
        <v>0</v>
      </c>
      <c r="AO159" s="18">
        <v>12.05</v>
      </c>
      <c r="AP159" s="18"/>
      <c r="AQ159" s="18">
        <f t="shared" si="45"/>
        <v>0</v>
      </c>
      <c r="AR159" s="18">
        <v>58.72</v>
      </c>
      <c r="AS159" s="18"/>
      <c r="AT159" s="18">
        <f t="shared" si="46"/>
        <v>0</v>
      </c>
      <c r="AU159" s="18">
        <v>774738.36</v>
      </c>
      <c r="AV159" s="18"/>
      <c r="AW159" s="18">
        <f t="shared" si="47"/>
        <v>0</v>
      </c>
      <c r="AX159" s="18">
        <v>2.1999999999999999E-2</v>
      </c>
      <c r="AY159" s="18"/>
      <c r="AZ159" s="18">
        <f t="shared" si="48"/>
        <v>0</v>
      </c>
      <c r="BA159" s="18">
        <v>2.1999999999999999E-2</v>
      </c>
      <c r="BB159" s="18"/>
      <c r="BC159" s="18">
        <f t="shared" si="49"/>
        <v>0</v>
      </c>
      <c r="BD159" s="18">
        <v>0</v>
      </c>
      <c r="BE159" s="18"/>
      <c r="BF159" s="18">
        <f t="shared" si="50"/>
        <v>0</v>
      </c>
    </row>
    <row r="160" spans="1:58" ht="25.5" x14ac:dyDescent="0.25">
      <c r="A160" s="124" t="s">
        <v>1275</v>
      </c>
      <c r="B160" s="124" t="s">
        <v>1468</v>
      </c>
      <c r="C160" s="18" t="s">
        <v>1745</v>
      </c>
      <c r="D160" s="18" t="s">
        <v>1746</v>
      </c>
      <c r="E160" s="18" t="s">
        <v>1500</v>
      </c>
      <c r="F160" s="18" t="s">
        <v>1111</v>
      </c>
      <c r="G160" s="119">
        <v>43465</v>
      </c>
      <c r="H160" s="18">
        <v>6</v>
      </c>
      <c r="I160" s="18"/>
      <c r="J160" s="18">
        <f t="shared" si="34"/>
        <v>6</v>
      </c>
      <c r="K160" s="18">
        <v>0</v>
      </c>
      <c r="L160" s="18"/>
      <c r="M160" s="18">
        <f t="shared" si="35"/>
        <v>0</v>
      </c>
      <c r="N160" s="18">
        <v>13.4628</v>
      </c>
      <c r="O160" s="18"/>
      <c r="P160" s="18">
        <f t="shared" si="36"/>
        <v>13.4628</v>
      </c>
      <c r="Q160" s="18">
        <v>5</v>
      </c>
      <c r="R160" s="18"/>
      <c r="S160" s="18">
        <f t="shared" si="37"/>
        <v>5</v>
      </c>
      <c r="T160" s="18">
        <v>1</v>
      </c>
      <c r="U160" s="18"/>
      <c r="V160" s="18">
        <f t="shared" si="38"/>
        <v>1</v>
      </c>
      <c r="W160" s="18">
        <v>1686.34</v>
      </c>
      <c r="X160" s="18"/>
      <c r="Y160" s="18">
        <f t="shared" si="39"/>
        <v>1686.34</v>
      </c>
      <c r="Z160" s="18">
        <v>94.14</v>
      </c>
      <c r="AA160" s="18"/>
      <c r="AB160" s="18">
        <f t="shared" si="40"/>
        <v>94.14</v>
      </c>
      <c r="AC160" s="18">
        <v>157.42500000000001</v>
      </c>
      <c r="AD160" s="18"/>
      <c r="AE160" s="18">
        <f t="shared" si="41"/>
        <v>157.42500000000001</v>
      </c>
      <c r="AF160" s="18">
        <v>63285</v>
      </c>
      <c r="AG160" s="18"/>
      <c r="AH160" s="18">
        <f t="shared" si="42"/>
        <v>63285</v>
      </c>
      <c r="AI160" s="18">
        <v>103372.64</v>
      </c>
      <c r="AJ160" s="18"/>
      <c r="AK160" s="18">
        <f t="shared" si="43"/>
        <v>103372.64</v>
      </c>
      <c r="AL160" s="18">
        <v>7.9</v>
      </c>
      <c r="AM160" s="18"/>
      <c r="AN160" s="18">
        <f t="shared" si="44"/>
        <v>7.9</v>
      </c>
      <c r="AO160" s="18">
        <v>0.28699999999999998</v>
      </c>
      <c r="AP160" s="18"/>
      <c r="AQ160" s="18">
        <f t="shared" si="45"/>
        <v>0.28699999999999998</v>
      </c>
      <c r="AR160" s="18">
        <v>0.05</v>
      </c>
      <c r="AS160" s="18"/>
      <c r="AT160" s="18">
        <f t="shared" si="46"/>
        <v>0.05</v>
      </c>
      <c r="AU160" s="18">
        <v>155143.28</v>
      </c>
      <c r="AV160" s="18"/>
      <c r="AW160" s="18">
        <f t="shared" si="47"/>
        <v>155143.28</v>
      </c>
      <c r="AX160" s="18">
        <v>6.0000000000000001E-3</v>
      </c>
      <c r="AY160" s="18"/>
      <c r="AZ160" s="18">
        <f t="shared" si="48"/>
        <v>6.0000000000000001E-3</v>
      </c>
      <c r="BA160" s="18">
        <v>6.0000000000000001E-3</v>
      </c>
      <c r="BB160" s="18"/>
      <c r="BC160" s="18">
        <f t="shared" si="49"/>
        <v>6.0000000000000001E-3</v>
      </c>
      <c r="BD160" s="18">
        <v>0</v>
      </c>
      <c r="BE160" s="18"/>
      <c r="BF160" s="18">
        <f t="shared" si="50"/>
        <v>0</v>
      </c>
    </row>
    <row r="161" spans="1:58" ht="25.5" x14ac:dyDescent="0.25">
      <c r="A161" s="124" t="s">
        <v>1276</v>
      </c>
      <c r="B161" s="124" t="s">
        <v>1468</v>
      </c>
      <c r="C161" s="18" t="s">
        <v>1747</v>
      </c>
      <c r="D161" s="18" t="s">
        <v>1748</v>
      </c>
      <c r="E161" s="18" t="s">
        <v>1500</v>
      </c>
      <c r="F161" s="18" t="s">
        <v>1111</v>
      </c>
      <c r="G161" s="119">
        <v>43069</v>
      </c>
      <c r="H161" s="18">
        <v>0</v>
      </c>
      <c r="I161" s="18"/>
      <c r="J161" s="18">
        <f t="shared" si="34"/>
        <v>0</v>
      </c>
      <c r="K161" s="18">
        <v>0</v>
      </c>
      <c r="L161" s="18"/>
      <c r="M161" s="18">
        <f t="shared" si="35"/>
        <v>0</v>
      </c>
      <c r="N161" s="18">
        <v>18.341999999999999</v>
      </c>
      <c r="O161" s="18"/>
      <c r="P161" s="18">
        <f t="shared" si="36"/>
        <v>18.341999999999999</v>
      </c>
      <c r="Q161" s="18">
        <v>7</v>
      </c>
      <c r="R161" s="18"/>
      <c r="S161" s="18">
        <f t="shared" si="37"/>
        <v>7</v>
      </c>
      <c r="T161" s="18">
        <v>1</v>
      </c>
      <c r="U161" s="18"/>
      <c r="V161" s="18">
        <f t="shared" si="38"/>
        <v>1</v>
      </c>
      <c r="W161" s="18">
        <v>368.5</v>
      </c>
      <c r="X161" s="18"/>
      <c r="Y161" s="18">
        <f t="shared" si="39"/>
        <v>368.5</v>
      </c>
      <c r="Z161" s="18">
        <v>7.907</v>
      </c>
      <c r="AA161" s="18"/>
      <c r="AB161" s="18">
        <f t="shared" si="40"/>
        <v>7.907</v>
      </c>
      <c r="AC161" s="18">
        <v>74.040000000000006</v>
      </c>
      <c r="AD161" s="18"/>
      <c r="AE161" s="18">
        <f t="shared" si="41"/>
        <v>74.040000000000006</v>
      </c>
      <c r="AF161" s="18">
        <v>66133</v>
      </c>
      <c r="AG161" s="18"/>
      <c r="AH161" s="18">
        <f t="shared" si="42"/>
        <v>66133</v>
      </c>
      <c r="AI161" s="18">
        <v>90993.71</v>
      </c>
      <c r="AJ161" s="18"/>
      <c r="AK161" s="18">
        <f t="shared" si="43"/>
        <v>90993.71</v>
      </c>
      <c r="AL161" s="18">
        <v>11.5</v>
      </c>
      <c r="AM161" s="18"/>
      <c r="AN161" s="18">
        <f t="shared" si="44"/>
        <v>11.5</v>
      </c>
      <c r="AO161" s="18">
        <v>0.53200000000000003</v>
      </c>
      <c r="AP161" s="18"/>
      <c r="AQ161" s="18">
        <f t="shared" si="45"/>
        <v>0.53200000000000003</v>
      </c>
      <c r="AR161" s="18">
        <v>1.5</v>
      </c>
      <c r="AS161" s="18"/>
      <c r="AT161" s="18">
        <f t="shared" si="46"/>
        <v>1.5</v>
      </c>
      <c r="AU161" s="18">
        <v>126933.6</v>
      </c>
      <c r="AV161" s="18"/>
      <c r="AW161" s="18">
        <f t="shared" si="47"/>
        <v>126933.6</v>
      </c>
      <c r="AX161" s="18">
        <v>0</v>
      </c>
      <c r="AY161" s="18"/>
      <c r="AZ161" s="18">
        <f t="shared" si="48"/>
        <v>0</v>
      </c>
      <c r="BA161" s="18">
        <v>8.9999999999999993E-3</v>
      </c>
      <c r="BB161" s="18"/>
      <c r="BC161" s="18">
        <f t="shared" si="49"/>
        <v>8.9999999999999993E-3</v>
      </c>
      <c r="BD161" s="18">
        <v>8.9999999999999993E-3</v>
      </c>
      <c r="BE161" s="18"/>
      <c r="BF161" s="18">
        <f t="shared" si="50"/>
        <v>8.9999999999999993E-3</v>
      </c>
    </row>
    <row r="162" spans="1:58" ht="25.5" x14ac:dyDescent="0.25">
      <c r="A162" s="124" t="s">
        <v>1277</v>
      </c>
      <c r="B162" s="124" t="s">
        <v>1468</v>
      </c>
      <c r="C162" s="18" t="s">
        <v>1749</v>
      </c>
      <c r="D162" s="18" t="s">
        <v>1750</v>
      </c>
      <c r="E162" s="18" t="s">
        <v>1500</v>
      </c>
      <c r="F162" s="18" t="s">
        <v>1111</v>
      </c>
      <c r="G162" s="119">
        <v>43220</v>
      </c>
      <c r="H162" s="18">
        <v>0</v>
      </c>
      <c r="I162" s="18"/>
      <c r="J162" s="18">
        <f t="shared" si="34"/>
        <v>0</v>
      </c>
      <c r="K162" s="18">
        <v>0</v>
      </c>
      <c r="L162" s="18"/>
      <c r="M162" s="18">
        <f t="shared" si="35"/>
        <v>0</v>
      </c>
      <c r="N162" s="18">
        <v>24.93</v>
      </c>
      <c r="O162" s="18"/>
      <c r="P162" s="18">
        <f t="shared" si="36"/>
        <v>24.93</v>
      </c>
      <c r="Q162" s="18">
        <v>5</v>
      </c>
      <c r="R162" s="18"/>
      <c r="S162" s="18">
        <f t="shared" si="37"/>
        <v>5</v>
      </c>
      <c r="T162" s="18">
        <v>1</v>
      </c>
      <c r="U162" s="18"/>
      <c r="V162" s="18">
        <f t="shared" si="38"/>
        <v>1</v>
      </c>
      <c r="W162" s="18">
        <v>676.62</v>
      </c>
      <c r="X162" s="18"/>
      <c r="Y162" s="18">
        <f t="shared" si="39"/>
        <v>676.62</v>
      </c>
      <c r="Z162" s="18">
        <v>98.849000000000004</v>
      </c>
      <c r="AA162" s="18"/>
      <c r="AB162" s="18">
        <f t="shared" si="40"/>
        <v>98.849000000000004</v>
      </c>
      <c r="AC162" s="18">
        <v>123.639</v>
      </c>
      <c r="AD162" s="18"/>
      <c r="AE162" s="18">
        <f t="shared" si="41"/>
        <v>123.639</v>
      </c>
      <c r="AF162" s="18">
        <v>24790</v>
      </c>
      <c r="AG162" s="18"/>
      <c r="AH162" s="18">
        <f t="shared" si="42"/>
        <v>24790</v>
      </c>
      <c r="AI162" s="18">
        <v>106838.3</v>
      </c>
      <c r="AJ162" s="18"/>
      <c r="AK162" s="18">
        <f t="shared" si="43"/>
        <v>106838.3</v>
      </c>
      <c r="AL162" s="18">
        <v>15</v>
      </c>
      <c r="AM162" s="18"/>
      <c r="AN162" s="18">
        <f t="shared" si="44"/>
        <v>15</v>
      </c>
      <c r="AO162" s="18">
        <v>0.7</v>
      </c>
      <c r="AP162" s="18"/>
      <c r="AQ162" s="18">
        <f t="shared" si="45"/>
        <v>0.7</v>
      </c>
      <c r="AR162" s="18">
        <v>0</v>
      </c>
      <c r="AS162" s="18"/>
      <c r="AT162" s="18">
        <f t="shared" si="46"/>
        <v>0</v>
      </c>
      <c r="AU162" s="18">
        <v>157530.66</v>
      </c>
      <c r="AV162" s="18"/>
      <c r="AW162" s="18">
        <f t="shared" si="47"/>
        <v>157530.66</v>
      </c>
      <c r="AX162" s="18">
        <v>0</v>
      </c>
      <c r="AY162" s="18"/>
      <c r="AZ162" s="18">
        <f t="shared" si="48"/>
        <v>0</v>
      </c>
      <c r="BA162" s="18">
        <v>6.0000000000000001E-3</v>
      </c>
      <c r="BB162" s="18"/>
      <c r="BC162" s="18">
        <f t="shared" si="49"/>
        <v>6.0000000000000001E-3</v>
      </c>
      <c r="BD162" s="18">
        <v>6.0000000000000001E-3</v>
      </c>
      <c r="BE162" s="18"/>
      <c r="BF162" s="18">
        <f t="shared" si="50"/>
        <v>6.0000000000000001E-3</v>
      </c>
    </row>
    <row r="163" spans="1:58" ht="38.25" x14ac:dyDescent="0.25">
      <c r="A163" s="124" t="s">
        <v>1278</v>
      </c>
      <c r="B163" s="124" t="s">
        <v>1468</v>
      </c>
      <c r="C163" s="18" t="s">
        <v>1751</v>
      </c>
      <c r="D163" s="18" t="s">
        <v>1752</v>
      </c>
      <c r="E163" s="18" t="s">
        <v>1471</v>
      </c>
      <c r="F163" s="18" t="s">
        <v>1111</v>
      </c>
      <c r="G163" s="119">
        <v>43069</v>
      </c>
      <c r="H163" s="18">
        <v>0</v>
      </c>
      <c r="I163" s="18"/>
      <c r="J163" s="18">
        <f t="shared" si="34"/>
        <v>0</v>
      </c>
      <c r="K163" s="18">
        <v>0</v>
      </c>
      <c r="L163" s="18"/>
      <c r="M163" s="18">
        <f t="shared" si="35"/>
        <v>0</v>
      </c>
      <c r="N163" s="18">
        <v>9.7799999999999998E-2</v>
      </c>
      <c r="O163" s="18"/>
      <c r="P163" s="18">
        <f t="shared" si="36"/>
        <v>9.7799999999999998E-2</v>
      </c>
      <c r="Q163" s="18">
        <v>3</v>
      </c>
      <c r="R163" s="18"/>
      <c r="S163" s="18">
        <f t="shared" si="37"/>
        <v>3</v>
      </c>
      <c r="T163" s="18">
        <v>1</v>
      </c>
      <c r="U163" s="18"/>
      <c r="V163" s="18">
        <f t="shared" si="38"/>
        <v>1</v>
      </c>
      <c r="W163" s="18">
        <v>1507.96</v>
      </c>
      <c r="X163" s="18"/>
      <c r="Y163" s="18">
        <f t="shared" si="39"/>
        <v>1507.96</v>
      </c>
      <c r="Z163" s="18">
        <v>195.22890000000001</v>
      </c>
      <c r="AA163" s="18"/>
      <c r="AB163" s="18">
        <f t="shared" si="40"/>
        <v>195.22890000000001</v>
      </c>
      <c r="AC163" s="18">
        <v>704.61839999999995</v>
      </c>
      <c r="AD163" s="18"/>
      <c r="AE163" s="18">
        <f t="shared" si="41"/>
        <v>704.61839999999995</v>
      </c>
      <c r="AF163" s="18">
        <v>509394.58</v>
      </c>
      <c r="AG163" s="18"/>
      <c r="AH163" s="18">
        <f t="shared" si="42"/>
        <v>509394.58</v>
      </c>
      <c r="AI163" s="18">
        <v>257358</v>
      </c>
      <c r="AJ163" s="18"/>
      <c r="AK163" s="18">
        <f t="shared" si="43"/>
        <v>257358</v>
      </c>
      <c r="AL163" s="18">
        <v>92.31</v>
      </c>
      <c r="AM163" s="18"/>
      <c r="AN163" s="18">
        <f t="shared" si="44"/>
        <v>92.31</v>
      </c>
      <c r="AO163" s="18">
        <v>7.12</v>
      </c>
      <c r="AP163" s="18"/>
      <c r="AQ163" s="18">
        <f t="shared" si="45"/>
        <v>7.12</v>
      </c>
      <c r="AR163" s="18">
        <v>34.549999999999997</v>
      </c>
      <c r="AS163" s="18"/>
      <c r="AT163" s="18">
        <f t="shared" si="46"/>
        <v>34.549999999999997</v>
      </c>
      <c r="AU163" s="18">
        <v>211510</v>
      </c>
      <c r="AV163" s="18"/>
      <c r="AW163" s="18">
        <f t="shared" si="47"/>
        <v>211510</v>
      </c>
      <c r="AX163" s="18">
        <v>0</v>
      </c>
      <c r="AY163" s="18"/>
      <c r="AZ163" s="18">
        <f t="shared" si="48"/>
        <v>0</v>
      </c>
      <c r="BA163" s="18">
        <v>0</v>
      </c>
      <c r="BB163" s="18"/>
      <c r="BC163" s="18">
        <f t="shared" si="49"/>
        <v>0</v>
      </c>
      <c r="BD163" s="18">
        <v>0</v>
      </c>
      <c r="BE163" s="18"/>
      <c r="BF163" s="18">
        <f t="shared" si="50"/>
        <v>0</v>
      </c>
    </row>
    <row r="164" spans="1:58" ht="25.5" x14ac:dyDescent="0.25">
      <c r="A164" s="124" t="s">
        <v>1279</v>
      </c>
      <c r="B164" s="124" t="s">
        <v>1468</v>
      </c>
      <c r="C164" s="18" t="s">
        <v>1753</v>
      </c>
      <c r="D164" s="18" t="s">
        <v>1754</v>
      </c>
      <c r="E164" s="18" t="s">
        <v>1471</v>
      </c>
      <c r="F164" s="18" t="s">
        <v>1111</v>
      </c>
      <c r="G164" s="119">
        <v>43131</v>
      </c>
      <c r="H164" s="18">
        <v>0</v>
      </c>
      <c r="I164" s="18"/>
      <c r="J164" s="18">
        <f t="shared" si="34"/>
        <v>0</v>
      </c>
      <c r="K164" s="18">
        <v>41.924999999999997</v>
      </c>
      <c r="L164" s="18"/>
      <c r="M164" s="18">
        <f t="shared" si="35"/>
        <v>41.924999999999997</v>
      </c>
      <c r="N164" s="18">
        <v>0.12509999999999999</v>
      </c>
      <c r="O164" s="18"/>
      <c r="P164" s="18">
        <f t="shared" si="36"/>
        <v>0.12509999999999999</v>
      </c>
      <c r="Q164" s="18">
        <v>3</v>
      </c>
      <c r="R164" s="18"/>
      <c r="S164" s="18">
        <f t="shared" si="37"/>
        <v>3</v>
      </c>
      <c r="T164" s="18">
        <v>1</v>
      </c>
      <c r="U164" s="18"/>
      <c r="V164" s="18">
        <f t="shared" si="38"/>
        <v>1</v>
      </c>
      <c r="W164" s="18">
        <v>1281.5999999999999</v>
      </c>
      <c r="X164" s="18"/>
      <c r="Y164" s="18">
        <f t="shared" si="39"/>
        <v>1281.5999999999999</v>
      </c>
      <c r="Z164" s="18">
        <v>35.9</v>
      </c>
      <c r="AA164" s="18"/>
      <c r="AB164" s="18">
        <f t="shared" si="40"/>
        <v>35.9</v>
      </c>
      <c r="AC164" s="18">
        <v>410.40679999999998</v>
      </c>
      <c r="AD164" s="18"/>
      <c r="AE164" s="18">
        <f t="shared" si="41"/>
        <v>410.40679999999998</v>
      </c>
      <c r="AF164" s="18">
        <v>302918.98</v>
      </c>
      <c r="AG164" s="18"/>
      <c r="AH164" s="18">
        <f t="shared" si="42"/>
        <v>302918.98</v>
      </c>
      <c r="AI164" s="18">
        <v>256281.55</v>
      </c>
      <c r="AJ164" s="18"/>
      <c r="AK164" s="18">
        <f t="shared" si="43"/>
        <v>256281.55</v>
      </c>
      <c r="AL164" s="18">
        <v>109.96</v>
      </c>
      <c r="AM164" s="18"/>
      <c r="AN164" s="18">
        <f t="shared" si="44"/>
        <v>109.96</v>
      </c>
      <c r="AO164" s="18">
        <v>7.66</v>
      </c>
      <c r="AP164" s="18"/>
      <c r="AQ164" s="18">
        <f t="shared" si="45"/>
        <v>7.66</v>
      </c>
      <c r="AR164" s="18">
        <v>36.94</v>
      </c>
      <c r="AS164" s="18"/>
      <c r="AT164" s="18">
        <f t="shared" si="46"/>
        <v>36.94</v>
      </c>
      <c r="AU164" s="18">
        <v>450674.64</v>
      </c>
      <c r="AV164" s="18"/>
      <c r="AW164" s="18">
        <f t="shared" si="47"/>
        <v>450674.64</v>
      </c>
      <c r="AX164" s="18">
        <v>0</v>
      </c>
      <c r="AY164" s="18"/>
      <c r="AZ164" s="18">
        <f t="shared" si="48"/>
        <v>0</v>
      </c>
      <c r="BA164" s="18">
        <v>3.5000000000000003E-2</v>
      </c>
      <c r="BB164" s="18"/>
      <c r="BC164" s="18">
        <f t="shared" si="49"/>
        <v>3.5000000000000003E-2</v>
      </c>
      <c r="BD164" s="18">
        <v>3.5000000000000003E-2</v>
      </c>
      <c r="BE164" s="18"/>
      <c r="BF164" s="18">
        <f t="shared" si="50"/>
        <v>3.5000000000000003E-2</v>
      </c>
    </row>
    <row r="165" spans="1:58" ht="25.5" x14ac:dyDescent="0.25">
      <c r="A165" s="124" t="s">
        <v>1280</v>
      </c>
      <c r="B165" s="124" t="s">
        <v>1468</v>
      </c>
      <c r="C165" s="18" t="s">
        <v>1755</v>
      </c>
      <c r="D165" s="18" t="s">
        <v>1756</v>
      </c>
      <c r="E165" s="18" t="s">
        <v>1471</v>
      </c>
      <c r="F165" s="18" t="s">
        <v>1111</v>
      </c>
      <c r="G165" s="119">
        <v>43100</v>
      </c>
      <c r="H165" s="18">
        <v>0</v>
      </c>
      <c r="I165" s="18"/>
      <c r="J165" s="18">
        <f t="shared" si="34"/>
        <v>0</v>
      </c>
      <c r="K165" s="18">
        <v>0</v>
      </c>
      <c r="L165" s="18"/>
      <c r="M165" s="18">
        <f t="shared" si="35"/>
        <v>0</v>
      </c>
      <c r="N165" s="18">
        <v>6</v>
      </c>
      <c r="O165" s="18"/>
      <c r="P165" s="18">
        <f t="shared" si="36"/>
        <v>6</v>
      </c>
      <c r="Q165" s="18">
        <v>3</v>
      </c>
      <c r="R165" s="18"/>
      <c r="S165" s="18">
        <f t="shared" si="37"/>
        <v>3</v>
      </c>
      <c r="T165" s="18">
        <v>1</v>
      </c>
      <c r="U165" s="18"/>
      <c r="V165" s="18">
        <f t="shared" si="38"/>
        <v>1</v>
      </c>
      <c r="W165" s="18">
        <v>463</v>
      </c>
      <c r="X165" s="18"/>
      <c r="Y165" s="18">
        <f t="shared" si="39"/>
        <v>463</v>
      </c>
      <c r="Z165" s="18">
        <v>17</v>
      </c>
      <c r="AA165" s="18"/>
      <c r="AB165" s="18">
        <f t="shared" si="40"/>
        <v>17</v>
      </c>
      <c r="AC165" s="18">
        <v>87</v>
      </c>
      <c r="AD165" s="18"/>
      <c r="AE165" s="18">
        <f t="shared" si="41"/>
        <v>87</v>
      </c>
      <c r="AF165" s="18">
        <v>70000</v>
      </c>
      <c r="AG165" s="18"/>
      <c r="AH165" s="18">
        <f t="shared" si="42"/>
        <v>70000</v>
      </c>
      <c r="AI165" s="18">
        <v>78758</v>
      </c>
      <c r="AJ165" s="18"/>
      <c r="AK165" s="18">
        <f t="shared" si="43"/>
        <v>78758</v>
      </c>
      <c r="AL165" s="18">
        <v>15</v>
      </c>
      <c r="AM165" s="18"/>
      <c r="AN165" s="18">
        <f t="shared" si="44"/>
        <v>15</v>
      </c>
      <c r="AO165" s="18">
        <v>6</v>
      </c>
      <c r="AP165" s="18"/>
      <c r="AQ165" s="18">
        <f t="shared" si="45"/>
        <v>6</v>
      </c>
      <c r="AR165" s="18">
        <v>23</v>
      </c>
      <c r="AS165" s="18"/>
      <c r="AT165" s="18">
        <f t="shared" si="46"/>
        <v>23</v>
      </c>
      <c r="AU165" s="18">
        <v>131662</v>
      </c>
      <c r="AV165" s="18"/>
      <c r="AW165" s="18">
        <f t="shared" si="47"/>
        <v>131662</v>
      </c>
      <c r="AX165" s="18">
        <v>0</v>
      </c>
      <c r="AY165" s="18"/>
      <c r="AZ165" s="18">
        <f t="shared" si="48"/>
        <v>0</v>
      </c>
      <c r="BA165" s="18">
        <v>0</v>
      </c>
      <c r="BB165" s="18"/>
      <c r="BC165" s="18">
        <f t="shared" si="49"/>
        <v>0</v>
      </c>
      <c r="BD165" s="18">
        <v>0</v>
      </c>
      <c r="BE165" s="18"/>
      <c r="BF165" s="18">
        <f t="shared" si="50"/>
        <v>0</v>
      </c>
    </row>
    <row r="166" spans="1:58" ht="25.5" x14ac:dyDescent="0.25">
      <c r="A166" s="124" t="s">
        <v>1281</v>
      </c>
      <c r="B166" s="124" t="s">
        <v>1468</v>
      </c>
      <c r="C166" s="18" t="s">
        <v>1757</v>
      </c>
      <c r="D166" s="18" t="s">
        <v>1758</v>
      </c>
      <c r="E166" s="18" t="s">
        <v>1489</v>
      </c>
      <c r="F166" s="18" t="s">
        <v>1111</v>
      </c>
      <c r="G166" s="119">
        <v>43404</v>
      </c>
      <c r="H166" s="18">
        <v>0</v>
      </c>
      <c r="I166" s="18"/>
      <c r="J166" s="18">
        <f t="shared" si="34"/>
        <v>0</v>
      </c>
      <c r="K166" s="18">
        <v>0</v>
      </c>
      <c r="L166" s="18"/>
      <c r="M166" s="18">
        <f t="shared" si="35"/>
        <v>0</v>
      </c>
      <c r="N166" s="18">
        <v>3.04E-2</v>
      </c>
      <c r="O166" s="18"/>
      <c r="P166" s="18">
        <f t="shared" si="36"/>
        <v>3.04E-2</v>
      </c>
      <c r="Q166" s="18">
        <v>1</v>
      </c>
      <c r="R166" s="18"/>
      <c r="S166" s="18">
        <f t="shared" si="37"/>
        <v>1</v>
      </c>
      <c r="T166" s="18">
        <v>1</v>
      </c>
      <c r="U166" s="18"/>
      <c r="V166" s="18">
        <f t="shared" si="38"/>
        <v>1</v>
      </c>
      <c r="W166" s="18">
        <v>0</v>
      </c>
      <c r="X166" s="18"/>
      <c r="Y166" s="18">
        <f t="shared" si="39"/>
        <v>0</v>
      </c>
      <c r="Z166" s="18">
        <v>10.856999999999999</v>
      </c>
      <c r="AA166" s="18"/>
      <c r="AB166" s="18">
        <f t="shared" si="40"/>
        <v>10.856999999999999</v>
      </c>
      <c r="AC166" s="18">
        <v>114.65</v>
      </c>
      <c r="AD166" s="18"/>
      <c r="AE166" s="18">
        <f t="shared" si="41"/>
        <v>114.65</v>
      </c>
      <c r="AF166" s="18">
        <v>103788</v>
      </c>
      <c r="AG166" s="18"/>
      <c r="AH166" s="18">
        <f t="shared" si="42"/>
        <v>103788</v>
      </c>
      <c r="AI166" s="18">
        <v>112474.28</v>
      </c>
      <c r="AJ166" s="18"/>
      <c r="AK166" s="18">
        <f t="shared" si="43"/>
        <v>112474.28</v>
      </c>
      <c r="AL166" s="18">
        <v>16.5</v>
      </c>
      <c r="AM166" s="18"/>
      <c r="AN166" s="18">
        <f t="shared" si="44"/>
        <v>16.5</v>
      </c>
      <c r="AO166" s="18">
        <v>0</v>
      </c>
      <c r="AP166" s="18"/>
      <c r="AQ166" s="18">
        <f t="shared" si="45"/>
        <v>0</v>
      </c>
      <c r="AR166" s="18">
        <v>11.5</v>
      </c>
      <c r="AS166" s="18"/>
      <c r="AT166" s="18">
        <f t="shared" si="46"/>
        <v>11.5</v>
      </c>
      <c r="AU166" s="18">
        <v>164788.34</v>
      </c>
      <c r="AV166" s="18"/>
      <c r="AW166" s="18">
        <f t="shared" si="47"/>
        <v>164788.34</v>
      </c>
      <c r="AX166" s="18">
        <v>0</v>
      </c>
      <c r="AY166" s="18"/>
      <c r="AZ166" s="18">
        <f t="shared" si="48"/>
        <v>0</v>
      </c>
      <c r="BA166" s="18">
        <v>0</v>
      </c>
      <c r="BB166" s="18"/>
      <c r="BC166" s="18">
        <f t="shared" si="49"/>
        <v>0</v>
      </c>
      <c r="BD166" s="18">
        <v>0</v>
      </c>
      <c r="BE166" s="18"/>
      <c r="BF166" s="18">
        <f t="shared" si="50"/>
        <v>0</v>
      </c>
    </row>
    <row r="167" spans="1:58" ht="38.25" x14ac:dyDescent="0.25">
      <c r="A167" s="124" t="s">
        <v>1282</v>
      </c>
      <c r="B167" s="124" t="s">
        <v>1468</v>
      </c>
      <c r="C167" s="18" t="s">
        <v>1759</v>
      </c>
      <c r="D167" s="18" t="s">
        <v>1760</v>
      </c>
      <c r="E167" s="18" t="s">
        <v>1489</v>
      </c>
      <c r="F167" s="18" t="s">
        <v>1111</v>
      </c>
      <c r="G167" s="119">
        <v>43131</v>
      </c>
      <c r="H167" s="18">
        <v>0</v>
      </c>
      <c r="I167" s="18"/>
      <c r="J167" s="18">
        <f t="shared" si="34"/>
        <v>0</v>
      </c>
      <c r="K167" s="18">
        <v>0</v>
      </c>
      <c r="L167" s="18"/>
      <c r="M167" s="18">
        <f t="shared" si="35"/>
        <v>0</v>
      </c>
      <c r="N167" s="18">
        <v>51.087000000000003</v>
      </c>
      <c r="O167" s="18"/>
      <c r="P167" s="18">
        <f t="shared" si="36"/>
        <v>51.087000000000003</v>
      </c>
      <c r="Q167" s="18">
        <v>2</v>
      </c>
      <c r="R167" s="18"/>
      <c r="S167" s="18">
        <f t="shared" si="37"/>
        <v>2</v>
      </c>
      <c r="T167" s="18">
        <v>1</v>
      </c>
      <c r="U167" s="18"/>
      <c r="V167" s="18">
        <f t="shared" si="38"/>
        <v>1</v>
      </c>
      <c r="W167" s="18">
        <v>1510.55</v>
      </c>
      <c r="X167" s="18"/>
      <c r="Y167" s="18">
        <f t="shared" si="39"/>
        <v>1510.55</v>
      </c>
      <c r="Z167" s="18">
        <v>31.44</v>
      </c>
      <c r="AA167" s="18"/>
      <c r="AB167" s="18">
        <f t="shared" si="40"/>
        <v>31.44</v>
      </c>
      <c r="AC167" s="18">
        <v>99.665000000000006</v>
      </c>
      <c r="AD167" s="18"/>
      <c r="AE167" s="18">
        <f t="shared" si="41"/>
        <v>99.665000000000006</v>
      </c>
      <c r="AF167" s="18">
        <v>68225</v>
      </c>
      <c r="AG167" s="18"/>
      <c r="AH167" s="18">
        <f t="shared" si="42"/>
        <v>68225</v>
      </c>
      <c r="AI167" s="18">
        <v>156512</v>
      </c>
      <c r="AJ167" s="18"/>
      <c r="AK167" s="18">
        <f t="shared" si="43"/>
        <v>156512</v>
      </c>
      <c r="AL167" s="18">
        <v>30.36</v>
      </c>
      <c r="AM167" s="18"/>
      <c r="AN167" s="18">
        <f t="shared" si="44"/>
        <v>30.36</v>
      </c>
      <c r="AO167" s="18">
        <v>2.2669999999999999</v>
      </c>
      <c r="AP167" s="18"/>
      <c r="AQ167" s="18">
        <f t="shared" si="45"/>
        <v>2.2669999999999999</v>
      </c>
      <c r="AR167" s="18">
        <v>3.2509999999999999</v>
      </c>
      <c r="AS167" s="18"/>
      <c r="AT167" s="18">
        <f t="shared" si="46"/>
        <v>3.2509999999999999</v>
      </c>
      <c r="AU167" s="18">
        <v>253240</v>
      </c>
      <c r="AV167" s="18"/>
      <c r="AW167" s="18">
        <f t="shared" si="47"/>
        <v>253240</v>
      </c>
      <c r="AX167" s="18">
        <v>0</v>
      </c>
      <c r="AY167" s="18"/>
      <c r="AZ167" s="18">
        <f t="shared" si="48"/>
        <v>0</v>
      </c>
      <c r="BA167" s="18">
        <v>0</v>
      </c>
      <c r="BB167" s="18"/>
      <c r="BC167" s="18">
        <f t="shared" si="49"/>
        <v>0</v>
      </c>
      <c r="BD167" s="18">
        <v>0</v>
      </c>
      <c r="BE167" s="18"/>
      <c r="BF167" s="18">
        <f t="shared" si="50"/>
        <v>0</v>
      </c>
    </row>
    <row r="168" spans="1:58" ht="38.25" x14ac:dyDescent="0.25">
      <c r="A168" s="124" t="s">
        <v>1283</v>
      </c>
      <c r="B168" s="124" t="s">
        <v>1468</v>
      </c>
      <c r="C168" s="18" t="s">
        <v>1761</v>
      </c>
      <c r="D168" s="18" t="s">
        <v>1762</v>
      </c>
      <c r="E168" s="18" t="s">
        <v>1474</v>
      </c>
      <c r="F168" s="18" t="s">
        <v>1111</v>
      </c>
      <c r="G168" s="119">
        <v>43251</v>
      </c>
      <c r="H168" s="18">
        <v>0</v>
      </c>
      <c r="I168" s="18"/>
      <c r="J168" s="18">
        <f t="shared" si="34"/>
        <v>0</v>
      </c>
      <c r="K168" s="18">
        <v>69.3</v>
      </c>
      <c r="L168" s="18"/>
      <c r="M168" s="18">
        <f t="shared" si="35"/>
        <v>69.3</v>
      </c>
      <c r="N168" s="18">
        <v>43.9</v>
      </c>
      <c r="O168" s="18"/>
      <c r="P168" s="18">
        <f t="shared" si="36"/>
        <v>43.9</v>
      </c>
      <c r="Q168" s="18">
        <v>6</v>
      </c>
      <c r="R168" s="18"/>
      <c r="S168" s="18">
        <f t="shared" si="37"/>
        <v>6</v>
      </c>
      <c r="T168" s="18">
        <v>2</v>
      </c>
      <c r="U168" s="18"/>
      <c r="V168" s="18">
        <f t="shared" si="38"/>
        <v>2</v>
      </c>
      <c r="W168" s="18">
        <v>3333</v>
      </c>
      <c r="X168" s="18"/>
      <c r="Y168" s="18">
        <f t="shared" si="39"/>
        <v>3333</v>
      </c>
      <c r="Z168" s="18">
        <v>175.7</v>
      </c>
      <c r="AA168" s="18"/>
      <c r="AB168" s="18">
        <f t="shared" si="40"/>
        <v>175.7</v>
      </c>
      <c r="AC168" s="18">
        <v>452.4</v>
      </c>
      <c r="AD168" s="18"/>
      <c r="AE168" s="18">
        <f t="shared" si="41"/>
        <v>452.4</v>
      </c>
      <c r="AF168" s="18">
        <v>276700</v>
      </c>
      <c r="AG168" s="18"/>
      <c r="AH168" s="18">
        <f t="shared" si="42"/>
        <v>276700</v>
      </c>
      <c r="AI168" s="18">
        <v>276700</v>
      </c>
      <c r="AJ168" s="18"/>
      <c r="AK168" s="18">
        <f t="shared" si="43"/>
        <v>276700</v>
      </c>
      <c r="AL168" s="18">
        <v>14.2</v>
      </c>
      <c r="AM168" s="18"/>
      <c r="AN168" s="18">
        <f t="shared" si="44"/>
        <v>14.2</v>
      </c>
      <c r="AO168" s="18">
        <v>0.6</v>
      </c>
      <c r="AP168" s="18"/>
      <c r="AQ168" s="18">
        <f t="shared" si="45"/>
        <v>0.6</v>
      </c>
      <c r="AR168" s="18">
        <v>5.5</v>
      </c>
      <c r="AS168" s="18"/>
      <c r="AT168" s="18">
        <f t="shared" si="46"/>
        <v>5.5</v>
      </c>
      <c r="AU168" s="18">
        <v>592492</v>
      </c>
      <c r="AV168" s="18"/>
      <c r="AW168" s="18">
        <f t="shared" si="47"/>
        <v>592492</v>
      </c>
      <c r="AX168" s="18">
        <v>0</v>
      </c>
      <c r="AY168" s="18"/>
      <c r="AZ168" s="18">
        <f t="shared" si="48"/>
        <v>0</v>
      </c>
      <c r="BA168" s="18">
        <v>5.4600000000000003E-2</v>
      </c>
      <c r="BB168" s="18"/>
      <c r="BC168" s="18">
        <f t="shared" si="49"/>
        <v>5.4600000000000003E-2</v>
      </c>
      <c r="BD168" s="18">
        <v>5.4600000000000003E-2</v>
      </c>
      <c r="BE168" s="18"/>
      <c r="BF168" s="18">
        <f t="shared" si="50"/>
        <v>5.4600000000000003E-2</v>
      </c>
    </row>
    <row r="169" spans="1:58" ht="25.5" x14ac:dyDescent="0.25">
      <c r="A169" s="124" t="s">
        <v>1284</v>
      </c>
      <c r="B169" s="124" t="s">
        <v>1468</v>
      </c>
      <c r="C169" s="18" t="s">
        <v>1763</v>
      </c>
      <c r="D169" s="18" t="s">
        <v>1764</v>
      </c>
      <c r="E169" s="18" t="s">
        <v>1500</v>
      </c>
      <c r="F169" s="18" t="s">
        <v>1111</v>
      </c>
      <c r="G169" s="119">
        <v>43131</v>
      </c>
      <c r="H169" s="18">
        <v>0</v>
      </c>
      <c r="I169" s="18"/>
      <c r="J169" s="18">
        <f t="shared" si="34"/>
        <v>0</v>
      </c>
      <c r="K169" s="18">
        <v>0</v>
      </c>
      <c r="L169" s="18"/>
      <c r="M169" s="18">
        <f t="shared" si="35"/>
        <v>0</v>
      </c>
      <c r="N169" s="18">
        <v>70.440399999999997</v>
      </c>
      <c r="O169" s="18"/>
      <c r="P169" s="18">
        <f t="shared" si="36"/>
        <v>70.440399999999997</v>
      </c>
      <c r="Q169" s="18">
        <v>2</v>
      </c>
      <c r="R169" s="18"/>
      <c r="S169" s="18">
        <f t="shared" si="37"/>
        <v>2</v>
      </c>
      <c r="T169" s="18">
        <v>1</v>
      </c>
      <c r="U169" s="18"/>
      <c r="V169" s="18">
        <f t="shared" si="38"/>
        <v>1</v>
      </c>
      <c r="W169" s="18">
        <v>3779.8</v>
      </c>
      <c r="X169" s="18"/>
      <c r="Y169" s="18">
        <f t="shared" si="39"/>
        <v>3779.8</v>
      </c>
      <c r="Z169" s="18">
        <v>224.1</v>
      </c>
      <c r="AA169" s="18"/>
      <c r="AB169" s="18">
        <f t="shared" si="40"/>
        <v>224.1</v>
      </c>
      <c r="AC169" s="18">
        <v>533.5</v>
      </c>
      <c r="AD169" s="18"/>
      <c r="AE169" s="18">
        <f t="shared" si="41"/>
        <v>533.5</v>
      </c>
      <c r="AF169" s="18">
        <v>309400</v>
      </c>
      <c r="AG169" s="18"/>
      <c r="AH169" s="18">
        <f t="shared" si="42"/>
        <v>309400</v>
      </c>
      <c r="AI169" s="18">
        <v>655492.92000000004</v>
      </c>
      <c r="AJ169" s="18"/>
      <c r="AK169" s="18">
        <f t="shared" si="43"/>
        <v>655492.92000000004</v>
      </c>
      <c r="AL169" s="18">
        <v>65.099999999999994</v>
      </c>
      <c r="AM169" s="18"/>
      <c r="AN169" s="18">
        <f t="shared" si="44"/>
        <v>65.099999999999994</v>
      </c>
      <c r="AO169" s="18">
        <v>4</v>
      </c>
      <c r="AP169" s="18"/>
      <c r="AQ169" s="18">
        <f t="shared" si="45"/>
        <v>4</v>
      </c>
      <c r="AR169" s="18">
        <v>10.5</v>
      </c>
      <c r="AS169" s="18"/>
      <c r="AT169" s="18">
        <f t="shared" si="46"/>
        <v>10.5</v>
      </c>
      <c r="AU169" s="18">
        <v>1136926.04</v>
      </c>
      <c r="AV169" s="18"/>
      <c r="AW169" s="18">
        <f t="shared" si="47"/>
        <v>1136926.04</v>
      </c>
      <c r="AX169" s="18">
        <v>0</v>
      </c>
      <c r="AY169" s="18"/>
      <c r="AZ169" s="18">
        <f t="shared" si="48"/>
        <v>0</v>
      </c>
      <c r="BA169" s="18">
        <v>0</v>
      </c>
      <c r="BB169" s="18"/>
      <c r="BC169" s="18">
        <f t="shared" si="49"/>
        <v>0</v>
      </c>
      <c r="BD169" s="18">
        <v>0</v>
      </c>
      <c r="BE169" s="18"/>
      <c r="BF169" s="18">
        <f t="shared" si="50"/>
        <v>0</v>
      </c>
    </row>
    <row r="170" spans="1:58" ht="25.5" x14ac:dyDescent="0.25">
      <c r="A170" s="124" t="s">
        <v>1285</v>
      </c>
      <c r="B170" s="124" t="s">
        <v>1468</v>
      </c>
      <c r="C170" s="18" t="s">
        <v>1765</v>
      </c>
      <c r="D170" s="18" t="s">
        <v>1766</v>
      </c>
      <c r="E170" s="18" t="s">
        <v>1477</v>
      </c>
      <c r="F170" s="18" t="s">
        <v>1111</v>
      </c>
      <c r="G170" s="119">
        <v>43100</v>
      </c>
      <c r="H170" s="18">
        <v>0</v>
      </c>
      <c r="I170" s="18"/>
      <c r="J170" s="18">
        <f t="shared" si="34"/>
        <v>0</v>
      </c>
      <c r="K170" s="18">
        <v>6.5780000000000003</v>
      </c>
      <c r="L170" s="18"/>
      <c r="M170" s="18">
        <f t="shared" si="35"/>
        <v>6.5780000000000003</v>
      </c>
      <c r="N170" s="18">
        <v>1.0200000000000001E-2</v>
      </c>
      <c r="O170" s="18"/>
      <c r="P170" s="18">
        <f t="shared" si="36"/>
        <v>1.0200000000000001E-2</v>
      </c>
      <c r="Q170" s="18">
        <v>3</v>
      </c>
      <c r="R170" s="18"/>
      <c r="S170" s="18">
        <f t="shared" si="37"/>
        <v>3</v>
      </c>
      <c r="T170" s="18">
        <v>1</v>
      </c>
      <c r="U170" s="18"/>
      <c r="V170" s="18">
        <f t="shared" si="38"/>
        <v>1</v>
      </c>
      <c r="W170" s="18">
        <v>223.82</v>
      </c>
      <c r="X170" s="18"/>
      <c r="Y170" s="18">
        <f t="shared" si="39"/>
        <v>223.82</v>
      </c>
      <c r="Z170" s="18">
        <v>7.4897999999999998</v>
      </c>
      <c r="AA170" s="18"/>
      <c r="AB170" s="18">
        <f t="shared" si="40"/>
        <v>7.4897999999999998</v>
      </c>
      <c r="AC170" s="18">
        <v>50.066000000000003</v>
      </c>
      <c r="AD170" s="18"/>
      <c r="AE170" s="18">
        <f t="shared" si="41"/>
        <v>50.066000000000003</v>
      </c>
      <c r="AF170" s="18">
        <v>42576.13</v>
      </c>
      <c r="AG170" s="18"/>
      <c r="AH170" s="18">
        <f t="shared" si="42"/>
        <v>42576.13</v>
      </c>
      <c r="AI170" s="18">
        <v>85946.880000000005</v>
      </c>
      <c r="AJ170" s="18"/>
      <c r="AK170" s="18">
        <f t="shared" si="43"/>
        <v>85946.880000000005</v>
      </c>
      <c r="AL170" s="18">
        <v>34.200000000000003</v>
      </c>
      <c r="AM170" s="18"/>
      <c r="AN170" s="18">
        <f t="shared" si="44"/>
        <v>34.200000000000003</v>
      </c>
      <c r="AO170" s="18">
        <v>6.23</v>
      </c>
      <c r="AP170" s="18"/>
      <c r="AQ170" s="18">
        <f t="shared" si="45"/>
        <v>6.23</v>
      </c>
      <c r="AR170" s="18">
        <v>31.14</v>
      </c>
      <c r="AS170" s="18"/>
      <c r="AT170" s="18">
        <f t="shared" si="46"/>
        <v>31.14</v>
      </c>
      <c r="AU170" s="18">
        <v>114148.2</v>
      </c>
      <c r="AV170" s="18"/>
      <c r="AW170" s="18">
        <f t="shared" si="47"/>
        <v>114148.2</v>
      </c>
      <c r="AX170" s="18">
        <v>0</v>
      </c>
      <c r="AY170" s="18"/>
      <c r="AZ170" s="18">
        <f t="shared" si="48"/>
        <v>0</v>
      </c>
      <c r="BA170" s="18">
        <v>7.0000000000000001E-3</v>
      </c>
      <c r="BB170" s="18"/>
      <c r="BC170" s="18">
        <f t="shared" si="49"/>
        <v>7.0000000000000001E-3</v>
      </c>
      <c r="BD170" s="18">
        <v>7.0000000000000001E-3</v>
      </c>
      <c r="BE170" s="18"/>
      <c r="BF170" s="18">
        <f t="shared" si="50"/>
        <v>7.0000000000000001E-3</v>
      </c>
    </row>
    <row r="171" spans="1:58" ht="25.5" x14ac:dyDescent="0.25">
      <c r="A171" s="124" t="s">
        <v>1286</v>
      </c>
      <c r="B171" s="124" t="s">
        <v>1468</v>
      </c>
      <c r="C171" s="18" t="s">
        <v>1767</v>
      </c>
      <c r="D171" s="18" t="s">
        <v>1768</v>
      </c>
      <c r="E171" s="18" t="s">
        <v>1477</v>
      </c>
      <c r="F171" s="18" t="s">
        <v>1111</v>
      </c>
      <c r="G171" s="119">
        <v>43616</v>
      </c>
      <c r="H171" s="18">
        <v>0</v>
      </c>
      <c r="I171" s="18"/>
      <c r="J171" s="18">
        <f t="shared" si="34"/>
        <v>0</v>
      </c>
      <c r="K171" s="18">
        <v>0</v>
      </c>
      <c r="L171" s="18"/>
      <c r="M171" s="18">
        <f t="shared" si="35"/>
        <v>0</v>
      </c>
      <c r="N171" s="18">
        <v>48.872</v>
      </c>
      <c r="O171" s="18"/>
      <c r="P171" s="18">
        <f t="shared" si="36"/>
        <v>0</v>
      </c>
      <c r="Q171" s="18">
        <v>4</v>
      </c>
      <c r="R171" s="18"/>
      <c r="S171" s="18">
        <f t="shared" si="37"/>
        <v>0</v>
      </c>
      <c r="T171" s="18">
        <v>1</v>
      </c>
      <c r="U171" s="18"/>
      <c r="V171" s="18">
        <f t="shared" si="38"/>
        <v>0</v>
      </c>
      <c r="W171" s="18">
        <v>1724</v>
      </c>
      <c r="X171" s="18"/>
      <c r="Y171" s="18">
        <f t="shared" si="39"/>
        <v>0</v>
      </c>
      <c r="Z171" s="18">
        <v>77.7</v>
      </c>
      <c r="AA171" s="18"/>
      <c r="AB171" s="18">
        <f t="shared" si="40"/>
        <v>0</v>
      </c>
      <c r="AC171" s="18">
        <v>253.5</v>
      </c>
      <c r="AD171" s="18"/>
      <c r="AE171" s="18">
        <f t="shared" si="41"/>
        <v>0</v>
      </c>
      <c r="AF171" s="18">
        <v>175800</v>
      </c>
      <c r="AG171" s="18"/>
      <c r="AH171" s="18">
        <f t="shared" si="42"/>
        <v>0</v>
      </c>
      <c r="AI171" s="18">
        <v>175769.1</v>
      </c>
      <c r="AJ171" s="18"/>
      <c r="AK171" s="18">
        <f t="shared" si="43"/>
        <v>0</v>
      </c>
      <c r="AL171" s="18">
        <v>89</v>
      </c>
      <c r="AM171" s="18"/>
      <c r="AN171" s="18">
        <f t="shared" si="44"/>
        <v>0</v>
      </c>
      <c r="AO171" s="18">
        <v>2</v>
      </c>
      <c r="AP171" s="18"/>
      <c r="AQ171" s="18">
        <f t="shared" si="45"/>
        <v>0</v>
      </c>
      <c r="AR171" s="18">
        <v>10</v>
      </c>
      <c r="AS171" s="18"/>
      <c r="AT171" s="18">
        <f t="shared" si="46"/>
        <v>0</v>
      </c>
      <c r="AU171" s="18">
        <v>255148</v>
      </c>
      <c r="AV171" s="18"/>
      <c r="AW171" s="18">
        <f t="shared" si="47"/>
        <v>0</v>
      </c>
      <c r="AX171" s="18">
        <v>0</v>
      </c>
      <c r="AY171" s="18"/>
      <c r="AZ171" s="18">
        <f t="shared" si="48"/>
        <v>0</v>
      </c>
      <c r="BA171" s="18">
        <v>0</v>
      </c>
      <c r="BB171" s="18"/>
      <c r="BC171" s="18">
        <f t="shared" si="49"/>
        <v>0</v>
      </c>
      <c r="BD171" s="18">
        <v>0</v>
      </c>
      <c r="BE171" s="18"/>
      <c r="BF171" s="18">
        <f t="shared" si="50"/>
        <v>0</v>
      </c>
    </row>
    <row r="172" spans="1:58" ht="51" x14ac:dyDescent="0.25">
      <c r="A172" s="124" t="s">
        <v>1287</v>
      </c>
      <c r="B172" s="124" t="s">
        <v>1468</v>
      </c>
      <c r="C172" s="18" t="s">
        <v>1769</v>
      </c>
      <c r="D172" s="18" t="s">
        <v>1770</v>
      </c>
      <c r="E172" s="18" t="s">
        <v>1503</v>
      </c>
      <c r="F172" s="18" t="s">
        <v>1111</v>
      </c>
      <c r="G172" s="119">
        <v>43159</v>
      </c>
      <c r="H172" s="18">
        <v>0</v>
      </c>
      <c r="I172" s="18"/>
      <c r="J172" s="18">
        <f t="shared" si="34"/>
        <v>0</v>
      </c>
      <c r="K172" s="18">
        <v>0</v>
      </c>
      <c r="L172" s="18"/>
      <c r="M172" s="18">
        <f t="shared" si="35"/>
        <v>0</v>
      </c>
      <c r="N172" s="18">
        <v>21.3</v>
      </c>
      <c r="O172" s="18"/>
      <c r="P172" s="18">
        <f t="shared" si="36"/>
        <v>21.3</v>
      </c>
      <c r="Q172" s="18">
        <v>5</v>
      </c>
      <c r="R172" s="18"/>
      <c r="S172" s="18">
        <f t="shared" si="37"/>
        <v>5</v>
      </c>
      <c r="T172" s="18">
        <v>1</v>
      </c>
      <c r="U172" s="18"/>
      <c r="V172" s="18">
        <f t="shared" si="38"/>
        <v>1</v>
      </c>
      <c r="W172" s="18">
        <v>1190</v>
      </c>
      <c r="X172" s="18"/>
      <c r="Y172" s="18">
        <f t="shared" si="39"/>
        <v>1190</v>
      </c>
      <c r="Z172" s="18">
        <v>34</v>
      </c>
      <c r="AA172" s="18"/>
      <c r="AB172" s="18">
        <f t="shared" si="40"/>
        <v>34</v>
      </c>
      <c r="AC172" s="18">
        <v>125.8</v>
      </c>
      <c r="AD172" s="18"/>
      <c r="AE172" s="18">
        <f t="shared" si="41"/>
        <v>125.8</v>
      </c>
      <c r="AF172" s="18">
        <v>79000</v>
      </c>
      <c r="AG172" s="18"/>
      <c r="AH172" s="18">
        <f t="shared" si="42"/>
        <v>79000</v>
      </c>
      <c r="AI172" s="18">
        <v>76900</v>
      </c>
      <c r="AJ172" s="18"/>
      <c r="AK172" s="18">
        <f t="shared" si="43"/>
        <v>76900</v>
      </c>
      <c r="AL172" s="18">
        <v>5.7</v>
      </c>
      <c r="AM172" s="18"/>
      <c r="AN172" s="18">
        <f t="shared" si="44"/>
        <v>5.7</v>
      </c>
      <c r="AO172" s="18">
        <v>0.4</v>
      </c>
      <c r="AP172" s="18"/>
      <c r="AQ172" s="18">
        <f t="shared" si="45"/>
        <v>0.4</v>
      </c>
      <c r="AR172" s="18">
        <v>7</v>
      </c>
      <c r="AS172" s="18"/>
      <c r="AT172" s="18">
        <f t="shared" si="46"/>
        <v>7</v>
      </c>
      <c r="AU172" s="18">
        <v>76900</v>
      </c>
      <c r="AV172" s="18"/>
      <c r="AW172" s="18">
        <f t="shared" si="47"/>
        <v>76900</v>
      </c>
      <c r="AX172" s="18">
        <v>0</v>
      </c>
      <c r="AY172" s="18"/>
      <c r="AZ172" s="18">
        <f t="shared" si="48"/>
        <v>0</v>
      </c>
      <c r="BA172" s="18">
        <v>0</v>
      </c>
      <c r="BB172" s="18"/>
      <c r="BC172" s="18">
        <f t="shared" si="49"/>
        <v>0</v>
      </c>
      <c r="BD172" s="18">
        <v>0</v>
      </c>
      <c r="BE172" s="18"/>
      <c r="BF172" s="18">
        <f t="shared" si="50"/>
        <v>0</v>
      </c>
    </row>
    <row r="173" spans="1:58" ht="38.25" x14ac:dyDescent="0.25">
      <c r="A173" s="124" t="s">
        <v>1288</v>
      </c>
      <c r="B173" s="124" t="s">
        <v>1468</v>
      </c>
      <c r="C173" s="18" t="s">
        <v>1771</v>
      </c>
      <c r="D173" s="18" t="s">
        <v>1772</v>
      </c>
      <c r="E173" s="18" t="s">
        <v>1500</v>
      </c>
      <c r="F173" s="18" t="s">
        <v>1111</v>
      </c>
      <c r="G173" s="119">
        <v>43008</v>
      </c>
      <c r="H173" s="18">
        <v>0</v>
      </c>
      <c r="I173" s="18"/>
      <c r="J173" s="18">
        <f t="shared" si="34"/>
        <v>0</v>
      </c>
      <c r="K173" s="18">
        <v>0</v>
      </c>
      <c r="L173" s="18"/>
      <c r="M173" s="18">
        <f t="shared" si="35"/>
        <v>0</v>
      </c>
      <c r="N173" s="18">
        <v>7.87</v>
      </c>
      <c r="O173" s="18"/>
      <c r="P173" s="18">
        <f t="shared" si="36"/>
        <v>7.87</v>
      </c>
      <c r="Q173" s="18">
        <v>3</v>
      </c>
      <c r="R173" s="18"/>
      <c r="S173" s="18">
        <f t="shared" si="37"/>
        <v>3</v>
      </c>
      <c r="T173" s="18">
        <v>1</v>
      </c>
      <c r="U173" s="18"/>
      <c r="V173" s="18">
        <f t="shared" si="38"/>
        <v>1</v>
      </c>
      <c r="W173" s="18">
        <v>1918.88</v>
      </c>
      <c r="X173" s="18"/>
      <c r="Y173" s="18">
        <f t="shared" si="39"/>
        <v>1918.88</v>
      </c>
      <c r="Z173" s="18">
        <v>27.59</v>
      </c>
      <c r="AA173" s="18"/>
      <c r="AB173" s="18">
        <f t="shared" si="40"/>
        <v>27.59</v>
      </c>
      <c r="AC173" s="18">
        <v>55.91</v>
      </c>
      <c r="AD173" s="18"/>
      <c r="AE173" s="18">
        <f t="shared" si="41"/>
        <v>55.91</v>
      </c>
      <c r="AF173" s="18">
        <v>19585</v>
      </c>
      <c r="AG173" s="18"/>
      <c r="AH173" s="18">
        <f t="shared" si="42"/>
        <v>19585</v>
      </c>
      <c r="AI173" s="18">
        <v>28329.58</v>
      </c>
      <c r="AJ173" s="18"/>
      <c r="AK173" s="18">
        <f t="shared" si="43"/>
        <v>28329.58</v>
      </c>
      <c r="AL173" s="18">
        <v>4.109</v>
      </c>
      <c r="AM173" s="18"/>
      <c r="AN173" s="18">
        <f t="shared" si="44"/>
        <v>4.109</v>
      </c>
      <c r="AO173" s="18">
        <v>0</v>
      </c>
      <c r="AP173" s="18"/>
      <c r="AQ173" s="18">
        <f t="shared" si="45"/>
        <v>0</v>
      </c>
      <c r="AR173" s="18">
        <v>2.53E-2</v>
      </c>
      <c r="AS173" s="18"/>
      <c r="AT173" s="18">
        <f t="shared" si="46"/>
        <v>2.53E-2</v>
      </c>
      <c r="AU173" s="18">
        <v>40843</v>
      </c>
      <c r="AV173" s="18"/>
      <c r="AW173" s="18">
        <f t="shared" si="47"/>
        <v>40843</v>
      </c>
      <c r="AX173" s="18">
        <v>0</v>
      </c>
      <c r="AY173" s="18"/>
      <c r="AZ173" s="18">
        <f t="shared" si="48"/>
        <v>0</v>
      </c>
      <c r="BA173" s="18">
        <v>0</v>
      </c>
      <c r="BB173" s="18"/>
      <c r="BC173" s="18">
        <f t="shared" si="49"/>
        <v>0</v>
      </c>
      <c r="BD173" s="18">
        <v>0</v>
      </c>
      <c r="BE173" s="18"/>
      <c r="BF173" s="18">
        <f t="shared" si="50"/>
        <v>0</v>
      </c>
    </row>
    <row r="174" spans="1:58" ht="38.25" x14ac:dyDescent="0.25">
      <c r="A174" s="124" t="s">
        <v>1289</v>
      </c>
      <c r="B174" s="124" t="s">
        <v>1468</v>
      </c>
      <c r="C174" s="18" t="s">
        <v>1556</v>
      </c>
      <c r="D174" s="18" t="s">
        <v>1773</v>
      </c>
      <c r="E174" s="18" t="s">
        <v>1471</v>
      </c>
      <c r="F174" s="18" t="s">
        <v>1111</v>
      </c>
      <c r="G174" s="119">
        <v>43861</v>
      </c>
      <c r="H174" s="18">
        <v>0</v>
      </c>
      <c r="I174" s="18"/>
      <c r="J174" s="18">
        <f t="shared" si="34"/>
        <v>0</v>
      </c>
      <c r="K174" s="18">
        <v>0</v>
      </c>
      <c r="L174" s="18"/>
      <c r="M174" s="18">
        <f t="shared" si="35"/>
        <v>0</v>
      </c>
      <c r="N174" s="18">
        <v>77.226600000000005</v>
      </c>
      <c r="O174" s="18"/>
      <c r="P174" s="18">
        <f t="shared" si="36"/>
        <v>0</v>
      </c>
      <c r="Q174" s="18">
        <v>5</v>
      </c>
      <c r="R174" s="18"/>
      <c r="S174" s="18">
        <f t="shared" si="37"/>
        <v>0</v>
      </c>
      <c r="T174" s="18">
        <v>1</v>
      </c>
      <c r="U174" s="18"/>
      <c r="V174" s="18">
        <f t="shared" si="38"/>
        <v>0</v>
      </c>
      <c r="W174" s="18">
        <v>2830.1</v>
      </c>
      <c r="X174" s="18"/>
      <c r="Y174" s="18">
        <f t="shared" si="39"/>
        <v>0</v>
      </c>
      <c r="Z174" s="18">
        <v>160.89599999999999</v>
      </c>
      <c r="AA174" s="18"/>
      <c r="AB174" s="18">
        <f t="shared" si="40"/>
        <v>0</v>
      </c>
      <c r="AC174" s="18">
        <v>439.4538</v>
      </c>
      <c r="AD174" s="18"/>
      <c r="AE174" s="18">
        <f t="shared" si="41"/>
        <v>0</v>
      </c>
      <c r="AF174" s="18">
        <v>278557.18</v>
      </c>
      <c r="AG174" s="18"/>
      <c r="AH174" s="18">
        <f t="shared" si="42"/>
        <v>0</v>
      </c>
      <c r="AI174" s="18">
        <v>300529.91999999998</v>
      </c>
      <c r="AJ174" s="18"/>
      <c r="AK174" s="18">
        <f t="shared" si="43"/>
        <v>0</v>
      </c>
      <c r="AL174" s="18">
        <v>44.679000000000002</v>
      </c>
      <c r="AM174" s="18"/>
      <c r="AN174" s="18">
        <f t="shared" si="44"/>
        <v>0</v>
      </c>
      <c r="AO174" s="18">
        <v>0</v>
      </c>
      <c r="AP174" s="18"/>
      <c r="AQ174" s="18">
        <f t="shared" si="45"/>
        <v>0</v>
      </c>
      <c r="AR174" s="18">
        <v>0.27489999999999998</v>
      </c>
      <c r="AS174" s="18"/>
      <c r="AT174" s="18">
        <f t="shared" si="46"/>
        <v>0</v>
      </c>
      <c r="AU174" s="18">
        <v>424379</v>
      </c>
      <c r="AV174" s="18"/>
      <c r="AW174" s="18">
        <f t="shared" si="47"/>
        <v>0</v>
      </c>
      <c r="AX174" s="18">
        <v>0</v>
      </c>
      <c r="AY174" s="18"/>
      <c r="AZ174" s="18">
        <f t="shared" si="48"/>
        <v>0</v>
      </c>
      <c r="BA174" s="18">
        <v>0</v>
      </c>
      <c r="BB174" s="18"/>
      <c r="BC174" s="18">
        <f t="shared" si="49"/>
        <v>0</v>
      </c>
      <c r="BD174" s="18">
        <v>0</v>
      </c>
      <c r="BE174" s="18"/>
      <c r="BF174" s="18">
        <f t="shared" si="50"/>
        <v>0</v>
      </c>
    </row>
    <row r="175" spans="1:58" ht="63.75" x14ac:dyDescent="0.25">
      <c r="A175" s="124" t="s">
        <v>1290</v>
      </c>
      <c r="B175" s="124" t="s">
        <v>1468</v>
      </c>
      <c r="C175" s="18" t="s">
        <v>1774</v>
      </c>
      <c r="D175" s="18" t="s">
        <v>1775</v>
      </c>
      <c r="E175" s="18" t="s">
        <v>1500</v>
      </c>
      <c r="F175" s="18" t="s">
        <v>1111</v>
      </c>
      <c r="G175" s="119">
        <v>43434</v>
      </c>
      <c r="H175" s="18">
        <v>0</v>
      </c>
      <c r="I175" s="18"/>
      <c r="J175" s="18">
        <f t="shared" si="34"/>
        <v>0</v>
      </c>
      <c r="K175" s="18">
        <v>121.3</v>
      </c>
      <c r="L175" s="18"/>
      <c r="M175" s="18">
        <f t="shared" si="35"/>
        <v>121.3</v>
      </c>
      <c r="N175" s="18">
        <v>63.435000000000002</v>
      </c>
      <c r="O175" s="18"/>
      <c r="P175" s="18">
        <f t="shared" si="36"/>
        <v>63.435000000000002</v>
      </c>
      <c r="Q175" s="18">
        <v>2</v>
      </c>
      <c r="R175" s="18"/>
      <c r="S175" s="18">
        <f t="shared" si="37"/>
        <v>2</v>
      </c>
      <c r="T175" s="18">
        <v>1</v>
      </c>
      <c r="U175" s="18"/>
      <c r="V175" s="18">
        <f t="shared" si="38"/>
        <v>1</v>
      </c>
      <c r="W175" s="18">
        <v>3954.6</v>
      </c>
      <c r="X175" s="18"/>
      <c r="Y175" s="18">
        <f t="shared" si="39"/>
        <v>3954.6</v>
      </c>
      <c r="Z175" s="18">
        <v>67.5</v>
      </c>
      <c r="AA175" s="18"/>
      <c r="AB175" s="18">
        <f t="shared" si="40"/>
        <v>67.5</v>
      </c>
      <c r="AC175" s="18">
        <v>316.7</v>
      </c>
      <c r="AD175" s="18"/>
      <c r="AE175" s="18">
        <f t="shared" si="41"/>
        <v>316.7</v>
      </c>
      <c r="AF175" s="18">
        <v>249200</v>
      </c>
      <c r="AG175" s="18"/>
      <c r="AH175" s="18">
        <f t="shared" si="42"/>
        <v>249200</v>
      </c>
      <c r="AI175" s="18">
        <v>193379.94</v>
      </c>
      <c r="AJ175" s="18"/>
      <c r="AK175" s="18">
        <f t="shared" si="43"/>
        <v>193379.94</v>
      </c>
      <c r="AL175" s="18">
        <v>40268</v>
      </c>
      <c r="AM175" s="18"/>
      <c r="AN175" s="18">
        <f t="shared" si="44"/>
        <v>40268</v>
      </c>
      <c r="AO175" s="18">
        <v>7163</v>
      </c>
      <c r="AP175" s="18"/>
      <c r="AQ175" s="18">
        <f t="shared" si="45"/>
        <v>7163</v>
      </c>
      <c r="AR175" s="18">
        <v>22055</v>
      </c>
      <c r="AS175" s="18"/>
      <c r="AT175" s="18">
        <f t="shared" si="46"/>
        <v>22055</v>
      </c>
      <c r="AU175" s="18">
        <v>335745.54</v>
      </c>
      <c r="AV175" s="18"/>
      <c r="AW175" s="18">
        <f t="shared" si="47"/>
        <v>335745.54</v>
      </c>
      <c r="AX175" s="18">
        <v>0</v>
      </c>
      <c r="AY175" s="18"/>
      <c r="AZ175" s="18">
        <f t="shared" si="48"/>
        <v>0</v>
      </c>
      <c r="BA175" s="18">
        <v>7.7499999999999999E-2</v>
      </c>
      <c r="BB175" s="18"/>
      <c r="BC175" s="18">
        <f t="shared" si="49"/>
        <v>7.7499999999999999E-2</v>
      </c>
      <c r="BD175" s="18">
        <v>7.7499999999999999E-2</v>
      </c>
      <c r="BE175" s="18"/>
      <c r="BF175" s="18">
        <f t="shared" si="50"/>
        <v>7.7499999999999999E-2</v>
      </c>
    </row>
    <row r="176" spans="1:58" ht="25.5" x14ac:dyDescent="0.25">
      <c r="A176" s="124" t="s">
        <v>1291</v>
      </c>
      <c r="B176" s="124" t="s">
        <v>1468</v>
      </c>
      <c r="C176" s="18" t="s">
        <v>1776</v>
      </c>
      <c r="D176" s="18" t="s">
        <v>1777</v>
      </c>
      <c r="E176" s="18" t="s">
        <v>1483</v>
      </c>
      <c r="F176" s="18" t="s">
        <v>1111</v>
      </c>
      <c r="G176" s="119">
        <v>43496</v>
      </c>
      <c r="H176" s="18">
        <v>0</v>
      </c>
      <c r="I176" s="18"/>
      <c r="J176" s="18">
        <f t="shared" si="34"/>
        <v>0</v>
      </c>
      <c r="K176" s="18">
        <v>0</v>
      </c>
      <c r="L176" s="18"/>
      <c r="M176" s="18">
        <f t="shared" si="35"/>
        <v>0</v>
      </c>
      <c r="N176" s="18">
        <v>21.45</v>
      </c>
      <c r="O176" s="18"/>
      <c r="P176" s="18">
        <f t="shared" si="36"/>
        <v>0</v>
      </c>
      <c r="Q176" s="18">
        <v>1</v>
      </c>
      <c r="R176" s="18"/>
      <c r="S176" s="18">
        <f t="shared" si="37"/>
        <v>0</v>
      </c>
      <c r="T176" s="18">
        <v>1</v>
      </c>
      <c r="U176" s="18"/>
      <c r="V176" s="18">
        <f t="shared" si="38"/>
        <v>0</v>
      </c>
      <c r="W176" s="18">
        <v>2486.39</v>
      </c>
      <c r="X176" s="18"/>
      <c r="Y176" s="18">
        <f t="shared" si="39"/>
        <v>0</v>
      </c>
      <c r="Z176" s="18">
        <v>134.04599999999999</v>
      </c>
      <c r="AA176" s="18"/>
      <c r="AB176" s="18">
        <f t="shared" si="40"/>
        <v>0</v>
      </c>
      <c r="AC176" s="18">
        <v>237.22900000000001</v>
      </c>
      <c r="AD176" s="18"/>
      <c r="AE176" s="18">
        <f t="shared" si="41"/>
        <v>0</v>
      </c>
      <c r="AF176" s="18">
        <v>103183</v>
      </c>
      <c r="AG176" s="18"/>
      <c r="AH176" s="18">
        <f t="shared" si="42"/>
        <v>0</v>
      </c>
      <c r="AI176" s="18">
        <v>391613.6</v>
      </c>
      <c r="AJ176" s="18"/>
      <c r="AK176" s="18">
        <f t="shared" si="43"/>
        <v>0</v>
      </c>
      <c r="AL176" s="18">
        <v>40.960999999999999</v>
      </c>
      <c r="AM176" s="18"/>
      <c r="AN176" s="18">
        <f t="shared" si="44"/>
        <v>0</v>
      </c>
      <c r="AO176" s="18">
        <v>2.1429999999999998</v>
      </c>
      <c r="AP176" s="18"/>
      <c r="AQ176" s="18">
        <f t="shared" si="45"/>
        <v>0</v>
      </c>
      <c r="AR176" s="18">
        <v>1.4850000000000001</v>
      </c>
      <c r="AS176" s="18"/>
      <c r="AT176" s="18">
        <f t="shared" si="46"/>
        <v>0</v>
      </c>
      <c r="AU176" s="18">
        <v>746908</v>
      </c>
      <c r="AV176" s="18"/>
      <c r="AW176" s="18">
        <f t="shared" si="47"/>
        <v>0</v>
      </c>
      <c r="AX176" s="18">
        <v>0</v>
      </c>
      <c r="AY176" s="18"/>
      <c r="AZ176" s="18">
        <f t="shared" si="48"/>
        <v>0</v>
      </c>
      <c r="BA176" s="18">
        <v>0</v>
      </c>
      <c r="BB176" s="18"/>
      <c r="BC176" s="18">
        <f t="shared" si="49"/>
        <v>0</v>
      </c>
      <c r="BD176" s="18">
        <v>0</v>
      </c>
      <c r="BE176" s="18"/>
      <c r="BF176" s="18">
        <f t="shared" si="50"/>
        <v>0</v>
      </c>
    </row>
    <row r="177" spans="1:58" ht="38.25" x14ac:dyDescent="0.25">
      <c r="A177" s="124" t="s">
        <v>1292</v>
      </c>
      <c r="B177" s="124" t="s">
        <v>1468</v>
      </c>
      <c r="C177" s="18" t="s">
        <v>1778</v>
      </c>
      <c r="D177" s="18" t="s">
        <v>1779</v>
      </c>
      <c r="E177" s="18" t="s">
        <v>1500</v>
      </c>
      <c r="F177" s="18" t="s">
        <v>1111</v>
      </c>
      <c r="G177" s="119">
        <v>43708</v>
      </c>
      <c r="H177" s="18">
        <v>0</v>
      </c>
      <c r="I177" s="18"/>
      <c r="J177" s="18">
        <f t="shared" si="34"/>
        <v>0</v>
      </c>
      <c r="K177" s="18">
        <v>5.718</v>
      </c>
      <c r="L177" s="18"/>
      <c r="M177" s="18">
        <f t="shared" si="35"/>
        <v>0</v>
      </c>
      <c r="N177" s="18">
        <v>3.7919999999999998</v>
      </c>
      <c r="O177" s="18"/>
      <c r="P177" s="18">
        <f t="shared" si="36"/>
        <v>0</v>
      </c>
      <c r="Q177" s="18">
        <v>7</v>
      </c>
      <c r="R177" s="18"/>
      <c r="S177" s="18">
        <f t="shared" si="37"/>
        <v>0</v>
      </c>
      <c r="T177" s="18">
        <v>1</v>
      </c>
      <c r="U177" s="18"/>
      <c r="V177" s="18">
        <f t="shared" si="38"/>
        <v>0</v>
      </c>
      <c r="W177" s="18">
        <v>1586.41</v>
      </c>
      <c r="X177" s="18"/>
      <c r="Y177" s="18">
        <f t="shared" si="39"/>
        <v>0</v>
      </c>
      <c r="Z177" s="18">
        <v>39.119999999999997</v>
      </c>
      <c r="AA177" s="18"/>
      <c r="AB177" s="18">
        <f t="shared" si="40"/>
        <v>0</v>
      </c>
      <c r="AC177" s="18">
        <v>256.36</v>
      </c>
      <c r="AD177" s="18"/>
      <c r="AE177" s="18">
        <f t="shared" si="41"/>
        <v>0</v>
      </c>
      <c r="AF177" s="18">
        <v>217240</v>
      </c>
      <c r="AG177" s="18"/>
      <c r="AH177" s="18">
        <f t="shared" si="42"/>
        <v>0</v>
      </c>
      <c r="AI177" s="18">
        <v>233366</v>
      </c>
      <c r="AJ177" s="18"/>
      <c r="AK177" s="18">
        <f t="shared" si="43"/>
        <v>0</v>
      </c>
      <c r="AL177" s="18">
        <v>56</v>
      </c>
      <c r="AM177" s="18"/>
      <c r="AN177" s="18">
        <f t="shared" si="44"/>
        <v>0</v>
      </c>
      <c r="AO177" s="18">
        <v>0.7</v>
      </c>
      <c r="AP177" s="18"/>
      <c r="AQ177" s="18">
        <f t="shared" si="45"/>
        <v>0</v>
      </c>
      <c r="AR177" s="18">
        <v>6</v>
      </c>
      <c r="AS177" s="18"/>
      <c r="AT177" s="18">
        <f t="shared" si="46"/>
        <v>0</v>
      </c>
      <c r="AU177" s="18">
        <v>345488.37</v>
      </c>
      <c r="AV177" s="18"/>
      <c r="AW177" s="18">
        <f t="shared" si="47"/>
        <v>0</v>
      </c>
      <c r="AX177" s="18">
        <v>0</v>
      </c>
      <c r="AY177" s="18"/>
      <c r="AZ177" s="18">
        <f t="shared" si="48"/>
        <v>0</v>
      </c>
      <c r="BA177" s="18">
        <v>5.0000000000000001E-3</v>
      </c>
      <c r="BB177" s="18"/>
      <c r="BC177" s="18">
        <f t="shared" si="49"/>
        <v>0</v>
      </c>
      <c r="BD177" s="18">
        <v>5.0000000000000001E-3</v>
      </c>
      <c r="BE177" s="18"/>
      <c r="BF177" s="18">
        <f t="shared" si="50"/>
        <v>0</v>
      </c>
    </row>
    <row r="178" spans="1:58" ht="25.5" x14ac:dyDescent="0.25">
      <c r="A178" s="124" t="s">
        <v>1293</v>
      </c>
      <c r="B178" s="124" t="s">
        <v>1468</v>
      </c>
      <c r="C178" s="18" t="s">
        <v>1780</v>
      </c>
      <c r="D178" s="18" t="s">
        <v>1781</v>
      </c>
      <c r="E178" s="18" t="s">
        <v>1500</v>
      </c>
      <c r="F178" s="18" t="s">
        <v>1111</v>
      </c>
      <c r="G178" s="119">
        <v>43100</v>
      </c>
      <c r="H178" s="18">
        <v>0</v>
      </c>
      <c r="I178" s="18"/>
      <c r="J178" s="18">
        <f t="shared" si="34"/>
        <v>0</v>
      </c>
      <c r="K178" s="18">
        <v>10.34</v>
      </c>
      <c r="L178" s="18"/>
      <c r="M178" s="18">
        <f t="shared" si="35"/>
        <v>10.34</v>
      </c>
      <c r="N178" s="18">
        <v>16.62</v>
      </c>
      <c r="O178" s="18"/>
      <c r="P178" s="18">
        <f t="shared" si="36"/>
        <v>16.62</v>
      </c>
      <c r="Q178" s="18">
        <v>3</v>
      </c>
      <c r="R178" s="18"/>
      <c r="S178" s="18">
        <f t="shared" si="37"/>
        <v>3</v>
      </c>
      <c r="T178" s="18">
        <v>1</v>
      </c>
      <c r="U178" s="18"/>
      <c r="V178" s="18">
        <f t="shared" si="38"/>
        <v>1</v>
      </c>
      <c r="W178" s="18">
        <v>587.5</v>
      </c>
      <c r="X178" s="18"/>
      <c r="Y178" s="18">
        <f t="shared" si="39"/>
        <v>587.5</v>
      </c>
      <c r="Z178" s="18">
        <v>19.63</v>
      </c>
      <c r="AA178" s="18"/>
      <c r="AB178" s="18">
        <f t="shared" si="40"/>
        <v>19.63</v>
      </c>
      <c r="AC178" s="18">
        <v>95.8</v>
      </c>
      <c r="AD178" s="18"/>
      <c r="AE178" s="18">
        <f t="shared" si="41"/>
        <v>95.8</v>
      </c>
      <c r="AF178" s="18">
        <v>76167</v>
      </c>
      <c r="AG178" s="18"/>
      <c r="AH178" s="18">
        <f t="shared" si="42"/>
        <v>76167</v>
      </c>
      <c r="AI178" s="18">
        <v>156602</v>
      </c>
      <c r="AJ178" s="18"/>
      <c r="AK178" s="18">
        <f t="shared" si="43"/>
        <v>156602</v>
      </c>
      <c r="AL178" s="18">
        <v>5</v>
      </c>
      <c r="AM178" s="18"/>
      <c r="AN178" s="18">
        <f t="shared" si="44"/>
        <v>5</v>
      </c>
      <c r="AO178" s="18">
        <v>0</v>
      </c>
      <c r="AP178" s="18"/>
      <c r="AQ178" s="18">
        <f t="shared" si="45"/>
        <v>0</v>
      </c>
      <c r="AR178" s="18">
        <v>0</v>
      </c>
      <c r="AS178" s="18"/>
      <c r="AT178" s="18">
        <f t="shared" si="46"/>
        <v>0</v>
      </c>
      <c r="AU178" s="18">
        <v>89341</v>
      </c>
      <c r="AV178" s="18"/>
      <c r="AW178" s="18">
        <f t="shared" si="47"/>
        <v>89341</v>
      </c>
      <c r="AX178" s="18">
        <v>0</v>
      </c>
      <c r="AY178" s="18"/>
      <c r="AZ178" s="18">
        <f t="shared" si="48"/>
        <v>0</v>
      </c>
      <c r="BA178" s="18">
        <v>8.0000000000000002E-3</v>
      </c>
      <c r="BB178" s="18"/>
      <c r="BC178" s="18">
        <f t="shared" si="49"/>
        <v>8.0000000000000002E-3</v>
      </c>
      <c r="BD178" s="18">
        <v>8.0000000000000002E-3</v>
      </c>
      <c r="BE178" s="18"/>
      <c r="BF178" s="18">
        <f t="shared" si="50"/>
        <v>8.0000000000000002E-3</v>
      </c>
    </row>
    <row r="179" spans="1:58" ht="25.5" x14ac:dyDescent="0.25">
      <c r="A179" s="124" t="s">
        <v>1294</v>
      </c>
      <c r="B179" s="124" t="s">
        <v>1468</v>
      </c>
      <c r="C179" s="18" t="s">
        <v>1782</v>
      </c>
      <c r="D179" s="18" t="s">
        <v>1783</v>
      </c>
      <c r="E179" s="18" t="s">
        <v>1483</v>
      </c>
      <c r="F179" s="18" t="s">
        <v>1111</v>
      </c>
      <c r="G179" s="119">
        <v>43373</v>
      </c>
      <c r="H179" s="18">
        <v>0</v>
      </c>
      <c r="I179" s="18"/>
      <c r="J179" s="18">
        <f t="shared" si="34"/>
        <v>0</v>
      </c>
      <c r="K179" s="18">
        <v>25.338000000000001</v>
      </c>
      <c r="L179" s="18"/>
      <c r="M179" s="18">
        <f t="shared" si="35"/>
        <v>25.338000000000001</v>
      </c>
      <c r="N179" s="18">
        <v>5.3179999999999996</v>
      </c>
      <c r="O179" s="18"/>
      <c r="P179" s="18">
        <f t="shared" si="36"/>
        <v>5.3179999999999996</v>
      </c>
      <c r="Q179" s="18">
        <v>3</v>
      </c>
      <c r="R179" s="18"/>
      <c r="S179" s="18">
        <f t="shared" si="37"/>
        <v>3</v>
      </c>
      <c r="T179" s="18">
        <v>1</v>
      </c>
      <c r="U179" s="18"/>
      <c r="V179" s="18">
        <f t="shared" si="38"/>
        <v>1</v>
      </c>
      <c r="W179" s="18">
        <v>725.02</v>
      </c>
      <c r="X179" s="18"/>
      <c r="Y179" s="18">
        <f t="shared" si="39"/>
        <v>725.02</v>
      </c>
      <c r="Z179" s="18">
        <v>12.75</v>
      </c>
      <c r="AA179" s="18"/>
      <c r="AB179" s="18">
        <f t="shared" si="40"/>
        <v>12.75</v>
      </c>
      <c r="AC179" s="18">
        <v>31.638999999999999</v>
      </c>
      <c r="AD179" s="18"/>
      <c r="AE179" s="18">
        <f t="shared" si="41"/>
        <v>31.638999999999999</v>
      </c>
      <c r="AF179" s="18">
        <v>18889</v>
      </c>
      <c r="AG179" s="18"/>
      <c r="AH179" s="18">
        <f t="shared" si="42"/>
        <v>18889</v>
      </c>
      <c r="AI179" s="18">
        <v>54554.54</v>
      </c>
      <c r="AJ179" s="18"/>
      <c r="AK179" s="18">
        <f t="shared" si="43"/>
        <v>54554.54</v>
      </c>
      <c r="AL179" s="18">
        <v>12.07</v>
      </c>
      <c r="AM179" s="18"/>
      <c r="AN179" s="18">
        <f t="shared" si="44"/>
        <v>12.07</v>
      </c>
      <c r="AO179" s="18">
        <v>0</v>
      </c>
      <c r="AP179" s="18"/>
      <c r="AQ179" s="18">
        <f t="shared" si="45"/>
        <v>0</v>
      </c>
      <c r="AR179" s="18">
        <v>9.14</v>
      </c>
      <c r="AS179" s="18"/>
      <c r="AT179" s="18">
        <f t="shared" si="46"/>
        <v>9.14</v>
      </c>
      <c r="AU179" s="18">
        <v>119849.59</v>
      </c>
      <c r="AV179" s="18"/>
      <c r="AW179" s="18">
        <f t="shared" si="47"/>
        <v>119849.59</v>
      </c>
      <c r="AX179" s="18">
        <v>0</v>
      </c>
      <c r="AY179" s="18"/>
      <c r="AZ179" s="18">
        <f t="shared" si="48"/>
        <v>0</v>
      </c>
      <c r="BA179" s="18">
        <v>2.8000000000000001E-2</v>
      </c>
      <c r="BB179" s="18"/>
      <c r="BC179" s="18">
        <f t="shared" si="49"/>
        <v>2.8000000000000001E-2</v>
      </c>
      <c r="BD179" s="18">
        <v>2.8000000000000001E-2</v>
      </c>
      <c r="BE179" s="18"/>
      <c r="BF179" s="18">
        <f t="shared" si="50"/>
        <v>2.8000000000000001E-2</v>
      </c>
    </row>
    <row r="180" spans="1:58" ht="38.25" x14ac:dyDescent="0.25">
      <c r="A180" s="124" t="s">
        <v>1295</v>
      </c>
      <c r="B180" s="124" t="s">
        <v>1468</v>
      </c>
      <c r="C180" s="18" t="s">
        <v>1784</v>
      </c>
      <c r="D180" s="18" t="s">
        <v>1785</v>
      </c>
      <c r="E180" s="18" t="s">
        <v>1500</v>
      </c>
      <c r="F180" s="18" t="s">
        <v>1111</v>
      </c>
      <c r="G180" s="119">
        <v>43708</v>
      </c>
      <c r="H180" s="18">
        <v>0</v>
      </c>
      <c r="I180" s="18"/>
      <c r="J180" s="18">
        <f t="shared" si="34"/>
        <v>0</v>
      </c>
      <c r="K180" s="18">
        <v>21.395</v>
      </c>
      <c r="L180" s="18"/>
      <c r="M180" s="18">
        <f t="shared" si="35"/>
        <v>0</v>
      </c>
      <c r="N180" s="18">
        <v>3.6400000000000002E-2</v>
      </c>
      <c r="O180" s="18"/>
      <c r="P180" s="18">
        <f t="shared" si="36"/>
        <v>0</v>
      </c>
      <c r="Q180" s="18">
        <v>3</v>
      </c>
      <c r="R180" s="18"/>
      <c r="S180" s="18">
        <f t="shared" si="37"/>
        <v>0</v>
      </c>
      <c r="T180" s="18">
        <v>1</v>
      </c>
      <c r="U180" s="18"/>
      <c r="V180" s="18">
        <f t="shared" si="38"/>
        <v>0</v>
      </c>
      <c r="W180" s="18">
        <v>1528.22</v>
      </c>
      <c r="X180" s="18"/>
      <c r="Y180" s="18">
        <f t="shared" si="39"/>
        <v>0</v>
      </c>
      <c r="Z180" s="18">
        <v>73.129900000000006</v>
      </c>
      <c r="AA180" s="18"/>
      <c r="AB180" s="18">
        <f t="shared" si="40"/>
        <v>0</v>
      </c>
      <c r="AC180" s="18">
        <v>244.09200000000001</v>
      </c>
      <c r="AD180" s="18"/>
      <c r="AE180" s="18">
        <f t="shared" si="41"/>
        <v>0</v>
      </c>
      <c r="AF180" s="18">
        <v>170962.04</v>
      </c>
      <c r="AG180" s="18"/>
      <c r="AH180" s="18">
        <f t="shared" si="42"/>
        <v>0</v>
      </c>
      <c r="AI180" s="18">
        <v>177273.52</v>
      </c>
      <c r="AJ180" s="18"/>
      <c r="AK180" s="18">
        <f t="shared" si="43"/>
        <v>0</v>
      </c>
      <c r="AL180" s="18">
        <v>80.87</v>
      </c>
      <c r="AM180" s="18"/>
      <c r="AN180" s="18">
        <f t="shared" si="44"/>
        <v>0</v>
      </c>
      <c r="AO180" s="18">
        <v>13.17</v>
      </c>
      <c r="AP180" s="18"/>
      <c r="AQ180" s="18">
        <f t="shared" si="45"/>
        <v>0</v>
      </c>
      <c r="AR180" s="18">
        <v>65.64</v>
      </c>
      <c r="AS180" s="18"/>
      <c r="AT180" s="18">
        <f t="shared" si="46"/>
        <v>0</v>
      </c>
      <c r="AU180" s="18">
        <v>265910.28000000003</v>
      </c>
      <c r="AV180" s="18"/>
      <c r="AW180" s="18">
        <f t="shared" si="47"/>
        <v>0</v>
      </c>
      <c r="AX180" s="18">
        <v>0</v>
      </c>
      <c r="AY180" s="18"/>
      <c r="AZ180" s="18">
        <f t="shared" si="48"/>
        <v>0</v>
      </c>
      <c r="BA180" s="18">
        <v>0</v>
      </c>
      <c r="BB180" s="18"/>
      <c r="BC180" s="18">
        <f t="shared" si="49"/>
        <v>0</v>
      </c>
      <c r="BD180" s="18">
        <v>0</v>
      </c>
      <c r="BE180" s="18"/>
      <c r="BF180" s="18">
        <f t="shared" si="50"/>
        <v>0</v>
      </c>
    </row>
    <row r="181" spans="1:58" ht="25.5" x14ac:dyDescent="0.25">
      <c r="A181" s="124" t="s">
        <v>1296</v>
      </c>
      <c r="B181" s="124" t="s">
        <v>1468</v>
      </c>
      <c r="C181" s="18" t="s">
        <v>1786</v>
      </c>
      <c r="D181" s="18" t="s">
        <v>1787</v>
      </c>
      <c r="E181" s="18" t="s">
        <v>1500</v>
      </c>
      <c r="F181" s="18" t="s">
        <v>1111</v>
      </c>
      <c r="G181" s="119">
        <v>43159</v>
      </c>
      <c r="H181" s="18">
        <v>0</v>
      </c>
      <c r="I181" s="18"/>
      <c r="J181" s="18">
        <f t="shared" si="34"/>
        <v>0</v>
      </c>
      <c r="K181" s="18">
        <v>0</v>
      </c>
      <c r="L181" s="18"/>
      <c r="M181" s="18">
        <f t="shared" si="35"/>
        <v>0</v>
      </c>
      <c r="N181" s="18">
        <v>15.709</v>
      </c>
      <c r="O181" s="18"/>
      <c r="P181" s="18">
        <f t="shared" si="36"/>
        <v>15.709</v>
      </c>
      <c r="Q181" s="18">
        <v>3</v>
      </c>
      <c r="R181" s="18"/>
      <c r="S181" s="18">
        <f t="shared" si="37"/>
        <v>3</v>
      </c>
      <c r="T181" s="18">
        <v>1</v>
      </c>
      <c r="U181" s="18"/>
      <c r="V181" s="18">
        <f t="shared" si="38"/>
        <v>1</v>
      </c>
      <c r="W181" s="18">
        <v>0</v>
      </c>
      <c r="X181" s="18"/>
      <c r="Y181" s="18">
        <f t="shared" si="39"/>
        <v>0</v>
      </c>
      <c r="Z181" s="18">
        <v>90.93</v>
      </c>
      <c r="AA181" s="18"/>
      <c r="AB181" s="18">
        <f t="shared" si="40"/>
        <v>90.93</v>
      </c>
      <c r="AC181" s="18">
        <v>274.60000000000002</v>
      </c>
      <c r="AD181" s="18"/>
      <c r="AE181" s="18">
        <f t="shared" si="41"/>
        <v>274.60000000000002</v>
      </c>
      <c r="AF181" s="18">
        <v>183.67</v>
      </c>
      <c r="AG181" s="18"/>
      <c r="AH181" s="18">
        <f t="shared" si="42"/>
        <v>183.67</v>
      </c>
      <c r="AI181" s="18">
        <v>119.09</v>
      </c>
      <c r="AJ181" s="18"/>
      <c r="AK181" s="18">
        <f t="shared" si="43"/>
        <v>119.09</v>
      </c>
      <c r="AL181" s="18">
        <v>94</v>
      </c>
      <c r="AM181" s="18"/>
      <c r="AN181" s="18">
        <f t="shared" si="44"/>
        <v>94</v>
      </c>
      <c r="AO181" s="18">
        <v>9</v>
      </c>
      <c r="AP181" s="18"/>
      <c r="AQ181" s="18">
        <f t="shared" si="45"/>
        <v>9</v>
      </c>
      <c r="AR181" s="18">
        <v>20</v>
      </c>
      <c r="AS181" s="18"/>
      <c r="AT181" s="18">
        <f t="shared" si="46"/>
        <v>20</v>
      </c>
      <c r="AU181" s="18">
        <v>62.55</v>
      </c>
      <c r="AV181" s="18"/>
      <c r="AW181" s="18">
        <f t="shared" si="47"/>
        <v>62.55</v>
      </c>
      <c r="AX181" s="18">
        <v>0</v>
      </c>
      <c r="AY181" s="18"/>
      <c r="AZ181" s="18">
        <f t="shared" si="48"/>
        <v>0</v>
      </c>
      <c r="BA181" s="18">
        <v>0</v>
      </c>
      <c r="BB181" s="18"/>
      <c r="BC181" s="18">
        <f t="shared" si="49"/>
        <v>0</v>
      </c>
      <c r="BD181" s="18">
        <v>0</v>
      </c>
      <c r="BE181" s="18"/>
      <c r="BF181" s="18">
        <f t="shared" si="50"/>
        <v>0</v>
      </c>
    </row>
    <row r="182" spans="1:58" ht="38.25" x14ac:dyDescent="0.25">
      <c r="A182" s="124" t="s">
        <v>1297</v>
      </c>
      <c r="B182" s="124" t="s">
        <v>1468</v>
      </c>
      <c r="C182" s="18" t="s">
        <v>1788</v>
      </c>
      <c r="D182" s="18" t="s">
        <v>1789</v>
      </c>
      <c r="E182" s="18" t="s">
        <v>1489</v>
      </c>
      <c r="F182" s="18" t="s">
        <v>1111</v>
      </c>
      <c r="G182" s="119">
        <v>43465</v>
      </c>
      <c r="H182" s="18">
        <v>0</v>
      </c>
      <c r="I182" s="18"/>
      <c r="J182" s="18">
        <f t="shared" si="34"/>
        <v>0</v>
      </c>
      <c r="K182" s="18">
        <v>0</v>
      </c>
      <c r="L182" s="18"/>
      <c r="M182" s="18">
        <f t="shared" si="35"/>
        <v>0</v>
      </c>
      <c r="N182" s="18">
        <v>12.84</v>
      </c>
      <c r="O182" s="18"/>
      <c r="P182" s="18">
        <f t="shared" si="36"/>
        <v>12.84</v>
      </c>
      <c r="Q182" s="18">
        <v>2</v>
      </c>
      <c r="R182" s="18"/>
      <c r="S182" s="18">
        <f t="shared" si="37"/>
        <v>2</v>
      </c>
      <c r="T182" s="18">
        <v>1</v>
      </c>
      <c r="U182" s="18"/>
      <c r="V182" s="18">
        <f t="shared" si="38"/>
        <v>1</v>
      </c>
      <c r="W182" s="18">
        <v>452.43</v>
      </c>
      <c r="X182" s="18"/>
      <c r="Y182" s="18">
        <f t="shared" si="39"/>
        <v>452.43</v>
      </c>
      <c r="Z182" s="18">
        <v>29.483799999999999</v>
      </c>
      <c r="AA182" s="18"/>
      <c r="AB182" s="18">
        <f t="shared" si="40"/>
        <v>29.483799999999999</v>
      </c>
      <c r="AC182" s="18">
        <v>70.3</v>
      </c>
      <c r="AD182" s="18"/>
      <c r="AE182" s="18">
        <f t="shared" si="41"/>
        <v>70.3</v>
      </c>
      <c r="AF182" s="18">
        <v>40816.199999999997</v>
      </c>
      <c r="AG182" s="18"/>
      <c r="AH182" s="18">
        <f t="shared" si="42"/>
        <v>40816.199999999997</v>
      </c>
      <c r="AI182" s="18">
        <v>53888.94</v>
      </c>
      <c r="AJ182" s="18"/>
      <c r="AK182" s="18">
        <f t="shared" si="43"/>
        <v>53888.94</v>
      </c>
      <c r="AL182" s="18">
        <v>14</v>
      </c>
      <c r="AM182" s="18"/>
      <c r="AN182" s="18">
        <f t="shared" si="44"/>
        <v>14</v>
      </c>
      <c r="AO182" s="18">
        <v>0</v>
      </c>
      <c r="AP182" s="18"/>
      <c r="AQ182" s="18">
        <f t="shared" si="45"/>
        <v>0</v>
      </c>
      <c r="AR182" s="18">
        <v>0</v>
      </c>
      <c r="AS182" s="18"/>
      <c r="AT182" s="18">
        <f t="shared" si="46"/>
        <v>0</v>
      </c>
      <c r="AU182" s="18">
        <v>75144.100000000006</v>
      </c>
      <c r="AV182" s="18"/>
      <c r="AW182" s="18">
        <f t="shared" si="47"/>
        <v>75144.100000000006</v>
      </c>
      <c r="AX182" s="18">
        <v>0</v>
      </c>
      <c r="AY182" s="18"/>
      <c r="AZ182" s="18">
        <f t="shared" si="48"/>
        <v>0</v>
      </c>
      <c r="BA182" s="18">
        <v>0</v>
      </c>
      <c r="BB182" s="18"/>
      <c r="BC182" s="18">
        <f t="shared" si="49"/>
        <v>0</v>
      </c>
      <c r="BD182" s="18">
        <v>0</v>
      </c>
      <c r="BE182" s="18"/>
      <c r="BF182" s="18">
        <f t="shared" si="50"/>
        <v>0</v>
      </c>
    </row>
    <row r="183" spans="1:58" ht="25.5" x14ac:dyDescent="0.25">
      <c r="A183" s="124" t="s">
        <v>1298</v>
      </c>
      <c r="B183" s="124" t="s">
        <v>1468</v>
      </c>
      <c r="C183" s="18" t="s">
        <v>1790</v>
      </c>
      <c r="D183" s="18" t="s">
        <v>1791</v>
      </c>
      <c r="E183" s="18" t="s">
        <v>1477</v>
      </c>
      <c r="F183" s="18" t="s">
        <v>1111</v>
      </c>
      <c r="G183" s="119">
        <v>43496</v>
      </c>
      <c r="H183" s="18">
        <v>0</v>
      </c>
      <c r="I183" s="18"/>
      <c r="J183" s="18">
        <f t="shared" si="34"/>
        <v>0</v>
      </c>
      <c r="K183" s="18">
        <v>2.7734000000000001</v>
      </c>
      <c r="L183" s="18"/>
      <c r="M183" s="18">
        <f t="shared" si="35"/>
        <v>0</v>
      </c>
      <c r="N183" s="18">
        <v>4.1999999999999997E-3</v>
      </c>
      <c r="O183" s="18"/>
      <c r="P183" s="18">
        <f t="shared" si="36"/>
        <v>0</v>
      </c>
      <c r="Q183" s="18">
        <v>3</v>
      </c>
      <c r="R183" s="18"/>
      <c r="S183" s="18">
        <f t="shared" si="37"/>
        <v>0</v>
      </c>
      <c r="T183" s="18">
        <v>1</v>
      </c>
      <c r="U183" s="18"/>
      <c r="V183" s="18">
        <f t="shared" si="38"/>
        <v>0</v>
      </c>
      <c r="W183" s="18">
        <v>602.91999999999996</v>
      </c>
      <c r="X183" s="18"/>
      <c r="Y183" s="18">
        <f t="shared" si="39"/>
        <v>0</v>
      </c>
      <c r="Z183" s="18">
        <v>17.335100000000001</v>
      </c>
      <c r="AA183" s="18"/>
      <c r="AB183" s="18">
        <f t="shared" si="40"/>
        <v>0</v>
      </c>
      <c r="AC183" s="18">
        <v>115.877</v>
      </c>
      <c r="AD183" s="18"/>
      <c r="AE183" s="18">
        <f t="shared" si="41"/>
        <v>0</v>
      </c>
      <c r="AF183" s="18">
        <v>98541.8</v>
      </c>
      <c r="AG183" s="18"/>
      <c r="AH183" s="18">
        <f t="shared" si="42"/>
        <v>0</v>
      </c>
      <c r="AI183" s="18">
        <v>101290.56</v>
      </c>
      <c r="AJ183" s="18"/>
      <c r="AK183" s="18">
        <f t="shared" si="43"/>
        <v>0</v>
      </c>
      <c r="AL183" s="18">
        <v>7.93</v>
      </c>
      <c r="AM183" s="18"/>
      <c r="AN183" s="18">
        <f t="shared" si="44"/>
        <v>0</v>
      </c>
      <c r="AO183" s="18">
        <v>2.83</v>
      </c>
      <c r="AP183" s="18"/>
      <c r="AQ183" s="18">
        <f t="shared" si="45"/>
        <v>0</v>
      </c>
      <c r="AR183" s="18">
        <v>6.95</v>
      </c>
      <c r="AS183" s="18"/>
      <c r="AT183" s="18">
        <f t="shared" si="46"/>
        <v>0</v>
      </c>
      <c r="AU183" s="18">
        <v>40395.64</v>
      </c>
      <c r="AV183" s="18"/>
      <c r="AW183" s="18">
        <f t="shared" si="47"/>
        <v>0</v>
      </c>
      <c r="AX183" s="18">
        <v>0</v>
      </c>
      <c r="AY183" s="18"/>
      <c r="AZ183" s="18">
        <f t="shared" si="48"/>
        <v>0</v>
      </c>
      <c r="BA183" s="18">
        <v>2.8500000000000001E-2</v>
      </c>
      <c r="BB183" s="18"/>
      <c r="BC183" s="18">
        <f t="shared" si="49"/>
        <v>0</v>
      </c>
      <c r="BD183" s="18">
        <v>2.8500000000000001E-2</v>
      </c>
      <c r="BE183" s="18"/>
      <c r="BF183" s="18">
        <f t="shared" si="50"/>
        <v>0</v>
      </c>
    </row>
    <row r="184" spans="1:58" ht="25.5" x14ac:dyDescent="0.25">
      <c r="A184" s="124" t="s">
        <v>1299</v>
      </c>
      <c r="B184" s="124" t="s">
        <v>1468</v>
      </c>
      <c r="C184" s="18" t="s">
        <v>1792</v>
      </c>
      <c r="D184" s="18" t="s">
        <v>1793</v>
      </c>
      <c r="E184" s="18" t="s">
        <v>1483</v>
      </c>
      <c r="F184" s="18" t="s">
        <v>1111</v>
      </c>
      <c r="G184" s="119">
        <v>43220</v>
      </c>
      <c r="H184" s="18">
        <v>0</v>
      </c>
      <c r="I184" s="18"/>
      <c r="J184" s="18">
        <f t="shared" si="34"/>
        <v>0</v>
      </c>
      <c r="K184" s="18">
        <v>0</v>
      </c>
      <c r="L184" s="18"/>
      <c r="M184" s="18">
        <f t="shared" si="35"/>
        <v>0</v>
      </c>
      <c r="N184" s="18">
        <v>67.266999999999996</v>
      </c>
      <c r="O184" s="18"/>
      <c r="P184" s="18">
        <f t="shared" si="36"/>
        <v>67.266999999999996</v>
      </c>
      <c r="Q184" s="18">
        <v>2</v>
      </c>
      <c r="R184" s="18"/>
      <c r="S184" s="18">
        <f t="shared" si="37"/>
        <v>2</v>
      </c>
      <c r="T184" s="18">
        <v>1</v>
      </c>
      <c r="U184" s="18"/>
      <c r="V184" s="18">
        <f t="shared" si="38"/>
        <v>1</v>
      </c>
      <c r="W184" s="18">
        <v>1489</v>
      </c>
      <c r="X184" s="18"/>
      <c r="Y184" s="18">
        <f t="shared" si="39"/>
        <v>1489</v>
      </c>
      <c r="Z184" s="18">
        <v>83.3</v>
      </c>
      <c r="AA184" s="18"/>
      <c r="AB184" s="18">
        <f t="shared" si="40"/>
        <v>83.3</v>
      </c>
      <c r="AC184" s="18">
        <v>325.95</v>
      </c>
      <c r="AD184" s="18"/>
      <c r="AE184" s="18">
        <f t="shared" si="41"/>
        <v>325.95</v>
      </c>
      <c r="AF184" s="18">
        <v>242.7</v>
      </c>
      <c r="AG184" s="18"/>
      <c r="AH184" s="18">
        <f t="shared" si="42"/>
        <v>242.7</v>
      </c>
      <c r="AI184" s="18">
        <v>242684.79999999999</v>
      </c>
      <c r="AJ184" s="18"/>
      <c r="AK184" s="18">
        <f t="shared" si="43"/>
        <v>242684.79999999999</v>
      </c>
      <c r="AL184" s="18">
        <v>0.11700000000000001</v>
      </c>
      <c r="AM184" s="18"/>
      <c r="AN184" s="18">
        <f t="shared" si="44"/>
        <v>0.11700000000000001</v>
      </c>
      <c r="AO184" s="18">
        <v>0</v>
      </c>
      <c r="AP184" s="18"/>
      <c r="AQ184" s="18">
        <f t="shared" si="45"/>
        <v>0</v>
      </c>
      <c r="AR184" s="18">
        <v>2E-3</v>
      </c>
      <c r="AS184" s="18"/>
      <c r="AT184" s="18">
        <f t="shared" si="46"/>
        <v>2E-3</v>
      </c>
      <c r="AU184" s="18">
        <v>242685</v>
      </c>
      <c r="AV184" s="18"/>
      <c r="AW184" s="18">
        <f t="shared" si="47"/>
        <v>242685</v>
      </c>
      <c r="AX184" s="18">
        <v>0</v>
      </c>
      <c r="AY184" s="18"/>
      <c r="AZ184" s="18">
        <f t="shared" si="48"/>
        <v>0</v>
      </c>
      <c r="BA184" s="18">
        <v>0</v>
      </c>
      <c r="BB184" s="18"/>
      <c r="BC184" s="18">
        <f t="shared" si="49"/>
        <v>0</v>
      </c>
      <c r="BD184" s="18">
        <v>0</v>
      </c>
      <c r="BE184" s="18"/>
      <c r="BF184" s="18">
        <f t="shared" si="50"/>
        <v>0</v>
      </c>
    </row>
    <row r="185" spans="1:58" ht="38.25" x14ac:dyDescent="0.25">
      <c r="A185" s="124" t="s">
        <v>1300</v>
      </c>
      <c r="B185" s="124" t="s">
        <v>1468</v>
      </c>
      <c r="C185" s="18" t="s">
        <v>1794</v>
      </c>
      <c r="D185" s="18" t="s">
        <v>1795</v>
      </c>
      <c r="E185" s="18" t="s">
        <v>1474</v>
      </c>
      <c r="F185" s="18" t="s">
        <v>1111</v>
      </c>
      <c r="G185" s="119">
        <v>43769</v>
      </c>
      <c r="H185" s="18">
        <v>0</v>
      </c>
      <c r="I185" s="18"/>
      <c r="J185" s="18">
        <f t="shared" si="34"/>
        <v>0</v>
      </c>
      <c r="K185" s="18">
        <v>109.17</v>
      </c>
      <c r="L185" s="18"/>
      <c r="M185" s="18">
        <f t="shared" si="35"/>
        <v>0</v>
      </c>
      <c r="N185" s="18">
        <v>3.2500000000000001E-2</v>
      </c>
      <c r="O185" s="18"/>
      <c r="P185" s="18">
        <f t="shared" si="36"/>
        <v>0</v>
      </c>
      <c r="Q185" s="18">
        <v>3</v>
      </c>
      <c r="R185" s="18"/>
      <c r="S185" s="18">
        <f t="shared" si="37"/>
        <v>0</v>
      </c>
      <c r="T185" s="18">
        <v>1</v>
      </c>
      <c r="U185" s="18"/>
      <c r="V185" s="18">
        <f t="shared" si="38"/>
        <v>0</v>
      </c>
      <c r="W185" s="18">
        <v>2098.44</v>
      </c>
      <c r="X185" s="18"/>
      <c r="Y185" s="18">
        <f t="shared" si="39"/>
        <v>0</v>
      </c>
      <c r="Z185" s="18">
        <v>30.322800000000001</v>
      </c>
      <c r="AA185" s="18"/>
      <c r="AB185" s="18">
        <f t="shared" si="40"/>
        <v>0</v>
      </c>
      <c r="AC185" s="18">
        <v>202.69300000000001</v>
      </c>
      <c r="AD185" s="18"/>
      <c r="AE185" s="18">
        <f t="shared" si="41"/>
        <v>0</v>
      </c>
      <c r="AF185" s="18">
        <v>172370.13</v>
      </c>
      <c r="AG185" s="18"/>
      <c r="AH185" s="18">
        <f t="shared" si="42"/>
        <v>0</v>
      </c>
      <c r="AI185" s="18">
        <v>270698.76</v>
      </c>
      <c r="AJ185" s="18"/>
      <c r="AK185" s="18">
        <f t="shared" si="43"/>
        <v>0</v>
      </c>
      <c r="AL185" s="18">
        <v>108.59</v>
      </c>
      <c r="AM185" s="18"/>
      <c r="AN185" s="18">
        <f t="shared" si="44"/>
        <v>0</v>
      </c>
      <c r="AO185" s="18">
        <v>19.760000000000002</v>
      </c>
      <c r="AP185" s="18"/>
      <c r="AQ185" s="18">
        <f t="shared" si="45"/>
        <v>0</v>
      </c>
      <c r="AR185" s="18">
        <v>98.81</v>
      </c>
      <c r="AS185" s="18"/>
      <c r="AT185" s="18">
        <f t="shared" si="46"/>
        <v>0</v>
      </c>
      <c r="AU185" s="18">
        <v>442770.84</v>
      </c>
      <c r="AV185" s="18"/>
      <c r="AW185" s="18">
        <f t="shared" si="47"/>
        <v>0</v>
      </c>
      <c r="AX185" s="18">
        <v>0</v>
      </c>
      <c r="AY185" s="18"/>
      <c r="AZ185" s="18">
        <f t="shared" si="48"/>
        <v>0</v>
      </c>
      <c r="BA185" s="18">
        <v>3.1E-2</v>
      </c>
      <c r="BB185" s="18"/>
      <c r="BC185" s="18">
        <f t="shared" si="49"/>
        <v>0</v>
      </c>
      <c r="BD185" s="18">
        <v>3.1E-2</v>
      </c>
      <c r="BE185" s="18"/>
      <c r="BF185" s="18">
        <f t="shared" si="50"/>
        <v>0</v>
      </c>
    </row>
    <row r="186" spans="1:58" ht="38.25" x14ac:dyDescent="0.25">
      <c r="A186" s="124" t="s">
        <v>1301</v>
      </c>
      <c r="B186" s="124" t="s">
        <v>1468</v>
      </c>
      <c r="C186" s="18" t="s">
        <v>1796</v>
      </c>
      <c r="D186" s="18" t="s">
        <v>1797</v>
      </c>
      <c r="E186" s="18" t="s">
        <v>1483</v>
      </c>
      <c r="F186" s="18" t="s">
        <v>1111</v>
      </c>
      <c r="G186" s="119">
        <v>43465</v>
      </c>
      <c r="H186" s="18">
        <v>0</v>
      </c>
      <c r="I186" s="18"/>
      <c r="J186" s="18">
        <f t="shared" si="34"/>
        <v>0</v>
      </c>
      <c r="K186" s="18">
        <v>26.739000000000001</v>
      </c>
      <c r="L186" s="18"/>
      <c r="M186" s="18">
        <f t="shared" si="35"/>
        <v>26.739000000000001</v>
      </c>
      <c r="N186" s="18">
        <v>7.22</v>
      </c>
      <c r="O186" s="18"/>
      <c r="P186" s="18">
        <f t="shared" si="36"/>
        <v>7.22</v>
      </c>
      <c r="Q186" s="18">
        <v>4</v>
      </c>
      <c r="R186" s="18"/>
      <c r="S186" s="18">
        <f t="shared" si="37"/>
        <v>4</v>
      </c>
      <c r="T186" s="18">
        <v>1</v>
      </c>
      <c r="U186" s="18"/>
      <c r="V186" s="18">
        <f t="shared" si="38"/>
        <v>1</v>
      </c>
      <c r="W186" s="18">
        <v>614.96</v>
      </c>
      <c r="X186" s="18"/>
      <c r="Y186" s="18">
        <f t="shared" si="39"/>
        <v>614.96</v>
      </c>
      <c r="Z186" s="18">
        <v>2.06</v>
      </c>
      <c r="AA186" s="18"/>
      <c r="AB186" s="18">
        <f t="shared" si="40"/>
        <v>2.06</v>
      </c>
      <c r="AC186" s="18">
        <v>37.67</v>
      </c>
      <c r="AD186" s="18"/>
      <c r="AE186" s="18">
        <f t="shared" si="41"/>
        <v>37.67</v>
      </c>
      <c r="AF186" s="18">
        <v>35606</v>
      </c>
      <c r="AG186" s="18"/>
      <c r="AH186" s="18">
        <f t="shared" si="42"/>
        <v>35606</v>
      </c>
      <c r="AI186" s="18">
        <v>136050.1</v>
      </c>
      <c r="AJ186" s="18"/>
      <c r="AK186" s="18">
        <f t="shared" si="43"/>
        <v>136050.1</v>
      </c>
      <c r="AL186" s="18">
        <v>8.86</v>
      </c>
      <c r="AM186" s="18"/>
      <c r="AN186" s="18">
        <f t="shared" si="44"/>
        <v>8.86</v>
      </c>
      <c r="AO186" s="18">
        <v>0</v>
      </c>
      <c r="AP186" s="18"/>
      <c r="AQ186" s="18">
        <f t="shared" si="45"/>
        <v>0</v>
      </c>
      <c r="AR186" s="18">
        <v>0.59</v>
      </c>
      <c r="AS186" s="18"/>
      <c r="AT186" s="18">
        <f t="shared" si="46"/>
        <v>0.59</v>
      </c>
      <c r="AU186" s="18">
        <v>194062.92</v>
      </c>
      <c r="AV186" s="18"/>
      <c r="AW186" s="18">
        <f t="shared" si="47"/>
        <v>194062.92</v>
      </c>
      <c r="AX186" s="18">
        <v>0</v>
      </c>
      <c r="AY186" s="18"/>
      <c r="AZ186" s="18">
        <f t="shared" si="48"/>
        <v>0</v>
      </c>
      <c r="BA186" s="18">
        <v>2.8000000000000001E-2</v>
      </c>
      <c r="BB186" s="18"/>
      <c r="BC186" s="18">
        <f t="shared" si="49"/>
        <v>2.8000000000000001E-2</v>
      </c>
      <c r="BD186" s="18">
        <v>2.8000000000000001E-2</v>
      </c>
      <c r="BE186" s="18"/>
      <c r="BF186" s="18">
        <f t="shared" si="50"/>
        <v>2.8000000000000001E-2</v>
      </c>
    </row>
    <row r="187" spans="1:58" ht="25.5" x14ac:dyDescent="0.25">
      <c r="A187" s="124" t="s">
        <v>1302</v>
      </c>
      <c r="B187" s="124" t="s">
        <v>1468</v>
      </c>
      <c r="C187" s="18" t="s">
        <v>1798</v>
      </c>
      <c r="D187" s="18" t="s">
        <v>1799</v>
      </c>
      <c r="E187" s="18" t="s">
        <v>1477</v>
      </c>
      <c r="F187" s="18" t="s">
        <v>1111</v>
      </c>
      <c r="G187" s="119">
        <v>43069</v>
      </c>
      <c r="H187" s="18">
        <v>0</v>
      </c>
      <c r="I187" s="18"/>
      <c r="J187" s="18">
        <f t="shared" si="34"/>
        <v>0</v>
      </c>
      <c r="K187" s="18">
        <v>0</v>
      </c>
      <c r="L187" s="18"/>
      <c r="M187" s="18">
        <f t="shared" si="35"/>
        <v>0</v>
      </c>
      <c r="N187" s="18">
        <v>4.36E-2</v>
      </c>
      <c r="O187" s="18"/>
      <c r="P187" s="18">
        <f t="shared" si="36"/>
        <v>4.36E-2</v>
      </c>
      <c r="Q187" s="18">
        <v>2</v>
      </c>
      <c r="R187" s="18"/>
      <c r="S187" s="18">
        <f t="shared" si="37"/>
        <v>2</v>
      </c>
      <c r="T187" s="18">
        <v>1</v>
      </c>
      <c r="U187" s="18"/>
      <c r="V187" s="18">
        <f t="shared" si="38"/>
        <v>1</v>
      </c>
      <c r="W187" s="18">
        <v>1103.7</v>
      </c>
      <c r="X187" s="18"/>
      <c r="Y187" s="18">
        <f t="shared" si="39"/>
        <v>1103.7</v>
      </c>
      <c r="Z187" s="18">
        <v>29.2591</v>
      </c>
      <c r="AA187" s="18"/>
      <c r="AB187" s="18">
        <f t="shared" si="40"/>
        <v>29.2591</v>
      </c>
      <c r="AC187" s="18">
        <v>122.423</v>
      </c>
      <c r="AD187" s="18"/>
      <c r="AE187" s="18">
        <f t="shared" si="41"/>
        <v>122.423</v>
      </c>
      <c r="AF187" s="18">
        <v>93163.9</v>
      </c>
      <c r="AG187" s="18"/>
      <c r="AH187" s="18">
        <f t="shared" si="42"/>
        <v>93163.9</v>
      </c>
      <c r="AI187" s="18">
        <v>97125.6</v>
      </c>
      <c r="AJ187" s="18"/>
      <c r="AK187" s="18">
        <f t="shared" si="43"/>
        <v>97125.6</v>
      </c>
      <c r="AL187" s="18">
        <v>0</v>
      </c>
      <c r="AM187" s="18"/>
      <c r="AN187" s="18">
        <f t="shared" si="44"/>
        <v>0</v>
      </c>
      <c r="AO187" s="18">
        <v>0</v>
      </c>
      <c r="AP187" s="18"/>
      <c r="AQ187" s="18">
        <f t="shared" si="45"/>
        <v>0</v>
      </c>
      <c r="AR187" s="18">
        <v>0</v>
      </c>
      <c r="AS187" s="18"/>
      <c r="AT187" s="18">
        <f t="shared" si="46"/>
        <v>0</v>
      </c>
      <c r="AU187" s="18">
        <v>144585</v>
      </c>
      <c r="AV187" s="18"/>
      <c r="AW187" s="18">
        <f t="shared" si="47"/>
        <v>144585</v>
      </c>
      <c r="AX187" s="18">
        <v>0</v>
      </c>
      <c r="AY187" s="18"/>
      <c r="AZ187" s="18">
        <f t="shared" si="48"/>
        <v>0</v>
      </c>
      <c r="BA187" s="18">
        <v>0</v>
      </c>
      <c r="BB187" s="18"/>
      <c r="BC187" s="18">
        <f t="shared" si="49"/>
        <v>0</v>
      </c>
      <c r="BD187" s="18">
        <v>0</v>
      </c>
      <c r="BE187" s="18"/>
      <c r="BF187" s="18">
        <f t="shared" si="50"/>
        <v>0</v>
      </c>
    </row>
    <row r="188" spans="1:58" ht="25.5" x14ac:dyDescent="0.25">
      <c r="A188" s="124" t="s">
        <v>1303</v>
      </c>
      <c r="B188" s="124" t="s">
        <v>1468</v>
      </c>
      <c r="C188" s="18" t="s">
        <v>1800</v>
      </c>
      <c r="D188" s="18" t="s">
        <v>1801</v>
      </c>
      <c r="E188" s="18" t="s">
        <v>1477</v>
      </c>
      <c r="F188" s="18" t="s">
        <v>1111</v>
      </c>
      <c r="G188" s="119">
        <v>43069</v>
      </c>
      <c r="H188" s="18">
        <v>0</v>
      </c>
      <c r="I188" s="18"/>
      <c r="J188" s="18">
        <f t="shared" si="34"/>
        <v>0</v>
      </c>
      <c r="K188" s="18">
        <v>23.3</v>
      </c>
      <c r="L188" s="18"/>
      <c r="M188" s="18">
        <f t="shared" si="35"/>
        <v>23.3</v>
      </c>
      <c r="N188" s="18">
        <v>61.264000000000003</v>
      </c>
      <c r="O188" s="18"/>
      <c r="P188" s="18">
        <f t="shared" si="36"/>
        <v>61.264000000000003</v>
      </c>
      <c r="Q188" s="18">
        <v>2</v>
      </c>
      <c r="R188" s="18"/>
      <c r="S188" s="18">
        <f t="shared" si="37"/>
        <v>2</v>
      </c>
      <c r="T188" s="18">
        <v>1</v>
      </c>
      <c r="U188" s="18"/>
      <c r="V188" s="18">
        <f t="shared" si="38"/>
        <v>1</v>
      </c>
      <c r="W188" s="18">
        <v>1316.9</v>
      </c>
      <c r="X188" s="18"/>
      <c r="Y188" s="18">
        <f t="shared" si="39"/>
        <v>1316.9</v>
      </c>
      <c r="Z188" s="18">
        <v>32.4</v>
      </c>
      <c r="AA188" s="18"/>
      <c r="AB188" s="18">
        <f t="shared" si="40"/>
        <v>32.4</v>
      </c>
      <c r="AC188" s="18">
        <v>177.99</v>
      </c>
      <c r="AD188" s="18"/>
      <c r="AE188" s="18">
        <f t="shared" si="41"/>
        <v>177.99</v>
      </c>
      <c r="AF188" s="18">
        <v>145638.6</v>
      </c>
      <c r="AG188" s="18"/>
      <c r="AH188" s="18">
        <f t="shared" si="42"/>
        <v>145638.6</v>
      </c>
      <c r="AI188" s="18">
        <v>145638.6</v>
      </c>
      <c r="AJ188" s="18"/>
      <c r="AK188" s="18">
        <f t="shared" si="43"/>
        <v>145638.6</v>
      </c>
      <c r="AL188" s="18">
        <v>157</v>
      </c>
      <c r="AM188" s="18"/>
      <c r="AN188" s="18">
        <f t="shared" si="44"/>
        <v>157</v>
      </c>
      <c r="AO188" s="18">
        <v>197</v>
      </c>
      <c r="AP188" s="18"/>
      <c r="AQ188" s="18">
        <f t="shared" si="45"/>
        <v>197</v>
      </c>
      <c r="AR188" s="18">
        <v>855</v>
      </c>
      <c r="AS188" s="18"/>
      <c r="AT188" s="18">
        <f t="shared" si="46"/>
        <v>855</v>
      </c>
      <c r="AU188" s="18">
        <v>140406</v>
      </c>
      <c r="AV188" s="18"/>
      <c r="AW188" s="18">
        <f t="shared" si="47"/>
        <v>140406</v>
      </c>
      <c r="AX188" s="18">
        <v>0</v>
      </c>
      <c r="AY188" s="18"/>
      <c r="AZ188" s="18">
        <f t="shared" si="48"/>
        <v>0</v>
      </c>
      <c r="BA188" s="18">
        <v>4.3999999999999997E-2</v>
      </c>
      <c r="BB188" s="18"/>
      <c r="BC188" s="18">
        <f t="shared" si="49"/>
        <v>4.3999999999999997E-2</v>
      </c>
      <c r="BD188" s="18">
        <v>4.3999999999999997E-2</v>
      </c>
      <c r="BE188" s="18"/>
      <c r="BF188" s="18">
        <f t="shared" si="50"/>
        <v>4.3999999999999997E-2</v>
      </c>
    </row>
    <row r="189" spans="1:58" ht="25.5" x14ac:dyDescent="0.25">
      <c r="A189" s="124" t="s">
        <v>1304</v>
      </c>
      <c r="B189" s="124" t="s">
        <v>1468</v>
      </c>
      <c r="C189" s="18" t="s">
        <v>1802</v>
      </c>
      <c r="D189" s="18" t="s">
        <v>1803</v>
      </c>
      <c r="E189" s="18" t="s">
        <v>1489</v>
      </c>
      <c r="F189" s="18" t="s">
        <v>1111</v>
      </c>
      <c r="G189" s="119">
        <v>43131</v>
      </c>
      <c r="H189" s="18">
        <v>0</v>
      </c>
      <c r="I189" s="18">
        <v>0</v>
      </c>
      <c r="J189" s="18">
        <f t="shared" si="34"/>
        <v>0</v>
      </c>
      <c r="K189" s="18">
        <v>0</v>
      </c>
      <c r="L189" s="18">
        <v>0</v>
      </c>
      <c r="M189" s="18">
        <f t="shared" si="35"/>
        <v>0</v>
      </c>
      <c r="N189" s="18">
        <v>22.61</v>
      </c>
      <c r="O189" s="18">
        <v>27.66</v>
      </c>
      <c r="P189" s="18">
        <f t="shared" si="36"/>
        <v>22.61</v>
      </c>
      <c r="Q189" s="18">
        <v>2</v>
      </c>
      <c r="R189" s="18">
        <v>2</v>
      </c>
      <c r="S189" s="18">
        <f t="shared" si="37"/>
        <v>2</v>
      </c>
      <c r="T189" s="18">
        <v>1</v>
      </c>
      <c r="U189" s="18">
        <v>1</v>
      </c>
      <c r="V189" s="18">
        <f t="shared" si="38"/>
        <v>1</v>
      </c>
      <c r="W189" s="18">
        <v>698.26</v>
      </c>
      <c r="X189" s="18">
        <v>713.4</v>
      </c>
      <c r="Y189" s="18">
        <f t="shared" si="39"/>
        <v>698.26</v>
      </c>
      <c r="Z189" s="18">
        <v>46.84</v>
      </c>
      <c r="AA189" s="18">
        <v>0</v>
      </c>
      <c r="AB189" s="18">
        <f t="shared" si="40"/>
        <v>46.84</v>
      </c>
      <c r="AC189" s="18">
        <v>118.33199999999999</v>
      </c>
      <c r="AD189" s="18">
        <v>118.33199999999999</v>
      </c>
      <c r="AE189" s="18">
        <f t="shared" si="41"/>
        <v>118.33199999999999</v>
      </c>
      <c r="AF189" s="18">
        <v>71492</v>
      </c>
      <c r="AG189" s="18">
        <v>0</v>
      </c>
      <c r="AH189" s="18">
        <f t="shared" si="42"/>
        <v>71492</v>
      </c>
      <c r="AI189" s="18">
        <v>99570</v>
      </c>
      <c r="AJ189" s="18">
        <v>93063.11</v>
      </c>
      <c r="AK189" s="18">
        <f t="shared" si="43"/>
        <v>99570</v>
      </c>
      <c r="AL189" s="18">
        <v>13.1</v>
      </c>
      <c r="AM189" s="18">
        <v>0</v>
      </c>
      <c r="AN189" s="18">
        <f t="shared" si="44"/>
        <v>13.1</v>
      </c>
      <c r="AO189" s="18">
        <v>0</v>
      </c>
      <c r="AP189" s="18">
        <v>0</v>
      </c>
      <c r="AQ189" s="18">
        <f t="shared" si="45"/>
        <v>0</v>
      </c>
      <c r="AR189" s="18">
        <v>0</v>
      </c>
      <c r="AS189" s="18">
        <v>0</v>
      </c>
      <c r="AT189" s="18">
        <f t="shared" si="46"/>
        <v>0</v>
      </c>
      <c r="AU189" s="18">
        <v>136130</v>
      </c>
      <c r="AV189" s="18">
        <v>0</v>
      </c>
      <c r="AW189" s="18">
        <f t="shared" si="47"/>
        <v>136130</v>
      </c>
      <c r="AX189" s="18">
        <v>0</v>
      </c>
      <c r="AY189" s="18">
        <v>0</v>
      </c>
      <c r="AZ189" s="18">
        <f t="shared" si="48"/>
        <v>0</v>
      </c>
      <c r="BA189" s="18">
        <v>0</v>
      </c>
      <c r="BB189" s="18">
        <v>0</v>
      </c>
      <c r="BC189" s="18">
        <f t="shared" si="49"/>
        <v>0</v>
      </c>
      <c r="BD189" s="18">
        <v>0</v>
      </c>
      <c r="BE189" s="18">
        <v>0</v>
      </c>
      <c r="BF189" s="18">
        <f t="shared" si="50"/>
        <v>0</v>
      </c>
    </row>
    <row r="190" spans="1:58" ht="25.5" x14ac:dyDescent="0.25">
      <c r="A190" s="124" t="s">
        <v>1305</v>
      </c>
      <c r="B190" s="124" t="s">
        <v>1468</v>
      </c>
      <c r="C190" s="18" t="s">
        <v>1804</v>
      </c>
      <c r="D190" s="18" t="s">
        <v>1805</v>
      </c>
      <c r="E190" s="18" t="s">
        <v>1474</v>
      </c>
      <c r="F190" s="18" t="s">
        <v>1111</v>
      </c>
      <c r="G190" s="119">
        <v>43100</v>
      </c>
      <c r="H190" s="18">
        <v>0</v>
      </c>
      <c r="I190" s="18"/>
      <c r="J190" s="18">
        <f t="shared" si="34"/>
        <v>0</v>
      </c>
      <c r="K190" s="18">
        <v>0</v>
      </c>
      <c r="L190" s="18"/>
      <c r="M190" s="18">
        <f t="shared" si="35"/>
        <v>0</v>
      </c>
      <c r="N190" s="18">
        <v>0</v>
      </c>
      <c r="O190" s="18"/>
      <c r="P190" s="18">
        <f t="shared" si="36"/>
        <v>0</v>
      </c>
      <c r="Q190" s="18">
        <v>1</v>
      </c>
      <c r="R190" s="18"/>
      <c r="S190" s="18">
        <f t="shared" si="37"/>
        <v>1</v>
      </c>
      <c r="T190" s="18">
        <v>1</v>
      </c>
      <c r="U190" s="18"/>
      <c r="V190" s="18">
        <f t="shared" si="38"/>
        <v>1</v>
      </c>
      <c r="W190" s="18">
        <v>0</v>
      </c>
      <c r="X190" s="18"/>
      <c r="Y190" s="18">
        <f t="shared" si="39"/>
        <v>0</v>
      </c>
      <c r="Z190" s="18">
        <v>31.535</v>
      </c>
      <c r="AA190" s="18"/>
      <c r="AB190" s="18">
        <f t="shared" si="40"/>
        <v>31.535</v>
      </c>
      <c r="AC190" s="18">
        <v>0</v>
      </c>
      <c r="AD190" s="18"/>
      <c r="AE190" s="18">
        <f t="shared" si="41"/>
        <v>0</v>
      </c>
      <c r="AF190" s="18">
        <v>72903</v>
      </c>
      <c r="AG190" s="18"/>
      <c r="AH190" s="18">
        <f t="shared" si="42"/>
        <v>72903</v>
      </c>
      <c r="AI190" s="18">
        <v>78195</v>
      </c>
      <c r="AJ190" s="18"/>
      <c r="AK190" s="18">
        <f t="shared" si="43"/>
        <v>78195</v>
      </c>
      <c r="AL190" s="18">
        <v>0</v>
      </c>
      <c r="AM190" s="18"/>
      <c r="AN190" s="18">
        <f t="shared" si="44"/>
        <v>0</v>
      </c>
      <c r="AO190" s="18">
        <v>0</v>
      </c>
      <c r="AP190" s="18"/>
      <c r="AQ190" s="18">
        <f t="shared" si="45"/>
        <v>0</v>
      </c>
      <c r="AR190" s="18">
        <v>0</v>
      </c>
      <c r="AS190" s="18"/>
      <c r="AT190" s="18">
        <f t="shared" si="46"/>
        <v>0</v>
      </c>
      <c r="AU190" s="18">
        <v>102933</v>
      </c>
      <c r="AV190" s="18"/>
      <c r="AW190" s="18">
        <f t="shared" si="47"/>
        <v>102933</v>
      </c>
      <c r="AX190" s="18">
        <v>0</v>
      </c>
      <c r="AY190" s="18"/>
      <c r="AZ190" s="18">
        <f t="shared" si="48"/>
        <v>0</v>
      </c>
      <c r="BA190" s="18">
        <v>0</v>
      </c>
      <c r="BB190" s="18"/>
      <c r="BC190" s="18">
        <f t="shared" si="49"/>
        <v>0</v>
      </c>
      <c r="BD190" s="18">
        <v>0</v>
      </c>
      <c r="BE190" s="18"/>
      <c r="BF190" s="18">
        <f t="shared" si="50"/>
        <v>0</v>
      </c>
    </row>
    <row r="191" spans="1:58" ht="25.5" x14ac:dyDescent="0.25">
      <c r="A191" s="124" t="s">
        <v>1306</v>
      </c>
      <c r="B191" s="124" t="s">
        <v>1468</v>
      </c>
      <c r="C191" s="18" t="s">
        <v>1806</v>
      </c>
      <c r="D191" s="18" t="s">
        <v>1807</v>
      </c>
      <c r="E191" s="18" t="s">
        <v>1483</v>
      </c>
      <c r="F191" s="18" t="s">
        <v>1111</v>
      </c>
      <c r="G191" s="119">
        <v>43281</v>
      </c>
      <c r="H191" s="18">
        <v>0</v>
      </c>
      <c r="I191" s="18"/>
      <c r="J191" s="18">
        <f t="shared" si="34"/>
        <v>0</v>
      </c>
      <c r="K191" s="18">
        <v>0</v>
      </c>
      <c r="L191" s="18"/>
      <c r="M191" s="18">
        <f t="shared" si="35"/>
        <v>0</v>
      </c>
      <c r="N191" s="18">
        <v>130.62</v>
      </c>
      <c r="O191" s="18"/>
      <c r="P191" s="18">
        <f t="shared" si="36"/>
        <v>130.62</v>
      </c>
      <c r="Q191" s="18">
        <v>5</v>
      </c>
      <c r="R191" s="18"/>
      <c r="S191" s="18">
        <f t="shared" si="37"/>
        <v>5</v>
      </c>
      <c r="T191" s="18">
        <v>1</v>
      </c>
      <c r="U191" s="18"/>
      <c r="V191" s="18">
        <f t="shared" si="38"/>
        <v>1</v>
      </c>
      <c r="W191" s="18">
        <v>4827</v>
      </c>
      <c r="X191" s="18"/>
      <c r="Y191" s="18">
        <f t="shared" si="39"/>
        <v>4827</v>
      </c>
      <c r="Z191" s="18">
        <v>69.94</v>
      </c>
      <c r="AA191" s="18"/>
      <c r="AB191" s="18">
        <f t="shared" si="40"/>
        <v>69.94</v>
      </c>
      <c r="AC191" s="18">
        <v>727.02</v>
      </c>
      <c r="AD191" s="18"/>
      <c r="AE191" s="18">
        <f t="shared" si="41"/>
        <v>727.02</v>
      </c>
      <c r="AF191" s="18">
        <v>657080.03</v>
      </c>
      <c r="AG191" s="18"/>
      <c r="AH191" s="18">
        <f t="shared" si="42"/>
        <v>657080.03</v>
      </c>
      <c r="AI191" s="18">
        <v>845041.81</v>
      </c>
      <c r="AJ191" s="18"/>
      <c r="AK191" s="18">
        <f t="shared" si="43"/>
        <v>845041.81</v>
      </c>
      <c r="AL191" s="18">
        <v>130</v>
      </c>
      <c r="AM191" s="18"/>
      <c r="AN191" s="18">
        <f t="shared" si="44"/>
        <v>130</v>
      </c>
      <c r="AO191" s="18">
        <v>0</v>
      </c>
      <c r="AP191" s="18"/>
      <c r="AQ191" s="18">
        <f t="shared" si="45"/>
        <v>0</v>
      </c>
      <c r="AR191" s="18">
        <v>0</v>
      </c>
      <c r="AS191" s="18"/>
      <c r="AT191" s="18">
        <f t="shared" si="46"/>
        <v>0</v>
      </c>
      <c r="AU191" s="18">
        <v>1027181.64</v>
      </c>
      <c r="AV191" s="18"/>
      <c r="AW191" s="18">
        <f t="shared" si="47"/>
        <v>1027181.64</v>
      </c>
      <c r="AX191" s="18">
        <v>0</v>
      </c>
      <c r="AY191" s="18"/>
      <c r="AZ191" s="18">
        <f t="shared" si="48"/>
        <v>0</v>
      </c>
      <c r="BA191" s="18">
        <v>0</v>
      </c>
      <c r="BB191" s="18"/>
      <c r="BC191" s="18">
        <f t="shared" si="49"/>
        <v>0</v>
      </c>
      <c r="BD191" s="18">
        <v>0</v>
      </c>
      <c r="BE191" s="18"/>
      <c r="BF191" s="18">
        <f t="shared" si="50"/>
        <v>0</v>
      </c>
    </row>
    <row r="192" spans="1:58" ht="25.5" x14ac:dyDescent="0.25">
      <c r="A192" s="124" t="s">
        <v>1307</v>
      </c>
      <c r="B192" s="124" t="s">
        <v>1468</v>
      </c>
      <c r="C192" s="18" t="s">
        <v>1808</v>
      </c>
      <c r="D192" s="18" t="s">
        <v>1809</v>
      </c>
      <c r="E192" s="18" t="s">
        <v>1483</v>
      </c>
      <c r="F192" s="18" t="s">
        <v>1111</v>
      </c>
      <c r="G192" s="119">
        <v>43404</v>
      </c>
      <c r="H192" s="18">
        <v>0</v>
      </c>
      <c r="I192" s="18"/>
      <c r="J192" s="18">
        <f t="shared" si="34"/>
        <v>0</v>
      </c>
      <c r="K192" s="18">
        <v>0</v>
      </c>
      <c r="L192" s="18"/>
      <c r="M192" s="18">
        <f t="shared" si="35"/>
        <v>0</v>
      </c>
      <c r="N192" s="18">
        <v>0</v>
      </c>
      <c r="O192" s="18"/>
      <c r="P192" s="18">
        <f t="shared" si="36"/>
        <v>0</v>
      </c>
      <c r="Q192" s="18">
        <v>1</v>
      </c>
      <c r="R192" s="18"/>
      <c r="S192" s="18">
        <f t="shared" si="37"/>
        <v>1</v>
      </c>
      <c r="T192" s="18">
        <v>1</v>
      </c>
      <c r="U192" s="18"/>
      <c r="V192" s="18">
        <f t="shared" si="38"/>
        <v>1</v>
      </c>
      <c r="W192" s="18">
        <v>3645</v>
      </c>
      <c r="X192" s="18"/>
      <c r="Y192" s="18">
        <f t="shared" si="39"/>
        <v>3645</v>
      </c>
      <c r="Z192" s="18">
        <v>222.52799999999999</v>
      </c>
      <c r="AA192" s="18"/>
      <c r="AB192" s="18">
        <f t="shared" si="40"/>
        <v>222.52799999999999</v>
      </c>
      <c r="AC192" s="18">
        <v>470.97899999999998</v>
      </c>
      <c r="AD192" s="18"/>
      <c r="AE192" s="18">
        <f t="shared" si="41"/>
        <v>470.97899999999998</v>
      </c>
      <c r="AF192" s="18">
        <v>0</v>
      </c>
      <c r="AG192" s="18"/>
      <c r="AH192" s="18">
        <f t="shared" si="42"/>
        <v>0</v>
      </c>
      <c r="AI192" s="18">
        <v>250737</v>
      </c>
      <c r="AJ192" s="18"/>
      <c r="AK192" s="18">
        <f t="shared" si="43"/>
        <v>250737</v>
      </c>
      <c r="AL192" s="18">
        <v>41.08</v>
      </c>
      <c r="AM192" s="18"/>
      <c r="AN192" s="18">
        <f t="shared" si="44"/>
        <v>41.08</v>
      </c>
      <c r="AO192" s="18">
        <v>69000</v>
      </c>
      <c r="AP192" s="18"/>
      <c r="AQ192" s="18">
        <f t="shared" si="45"/>
        <v>69000</v>
      </c>
      <c r="AR192" s="18">
        <v>0.26</v>
      </c>
      <c r="AS192" s="18"/>
      <c r="AT192" s="18">
        <f t="shared" si="46"/>
        <v>0.26</v>
      </c>
      <c r="AU192" s="18">
        <v>0</v>
      </c>
      <c r="AV192" s="18"/>
      <c r="AW192" s="18">
        <f t="shared" si="47"/>
        <v>0</v>
      </c>
      <c r="AX192" s="18">
        <v>0</v>
      </c>
      <c r="AY192" s="18"/>
      <c r="AZ192" s="18">
        <f t="shared" si="48"/>
        <v>0</v>
      </c>
      <c r="BA192" s="18">
        <v>0</v>
      </c>
      <c r="BB192" s="18"/>
      <c r="BC192" s="18">
        <f t="shared" si="49"/>
        <v>0</v>
      </c>
      <c r="BD192" s="18">
        <v>0</v>
      </c>
      <c r="BE192" s="18"/>
      <c r="BF192" s="18">
        <f t="shared" si="50"/>
        <v>0</v>
      </c>
    </row>
    <row r="193" spans="1:58" ht="25.5" x14ac:dyDescent="0.25">
      <c r="A193" s="124" t="s">
        <v>1308</v>
      </c>
      <c r="B193" s="124" t="s">
        <v>1468</v>
      </c>
      <c r="C193" s="18" t="s">
        <v>1810</v>
      </c>
      <c r="D193" s="18" t="s">
        <v>1811</v>
      </c>
      <c r="E193" s="18" t="s">
        <v>1483</v>
      </c>
      <c r="F193" s="18" t="s">
        <v>1111</v>
      </c>
      <c r="G193" s="119">
        <v>43434</v>
      </c>
      <c r="H193" s="18">
        <v>0</v>
      </c>
      <c r="I193" s="18"/>
      <c r="J193" s="18">
        <f t="shared" si="34"/>
        <v>0</v>
      </c>
      <c r="K193" s="18">
        <v>0</v>
      </c>
      <c r="L193" s="18"/>
      <c r="M193" s="18">
        <f t="shared" si="35"/>
        <v>0</v>
      </c>
      <c r="N193" s="18">
        <v>11.32</v>
      </c>
      <c r="O193" s="18"/>
      <c r="P193" s="18">
        <f t="shared" si="36"/>
        <v>11.32</v>
      </c>
      <c r="Q193" s="18">
        <v>3</v>
      </c>
      <c r="R193" s="18"/>
      <c r="S193" s="18">
        <f t="shared" si="37"/>
        <v>3</v>
      </c>
      <c r="T193" s="18">
        <v>1</v>
      </c>
      <c r="U193" s="18"/>
      <c r="V193" s="18">
        <f t="shared" si="38"/>
        <v>1</v>
      </c>
      <c r="W193" s="18">
        <v>328.42</v>
      </c>
      <c r="X193" s="18"/>
      <c r="Y193" s="18">
        <f t="shared" si="39"/>
        <v>328.42</v>
      </c>
      <c r="Z193" s="18">
        <v>3.25</v>
      </c>
      <c r="AA193" s="18"/>
      <c r="AB193" s="18">
        <f t="shared" si="40"/>
        <v>3.25</v>
      </c>
      <c r="AC193" s="18">
        <v>48.25</v>
      </c>
      <c r="AD193" s="18"/>
      <c r="AE193" s="18">
        <f t="shared" si="41"/>
        <v>48.25</v>
      </c>
      <c r="AF193" s="18">
        <v>45001.62</v>
      </c>
      <c r="AG193" s="18"/>
      <c r="AH193" s="18">
        <f t="shared" si="42"/>
        <v>45001.62</v>
      </c>
      <c r="AI193" s="18">
        <v>64417.279999999999</v>
      </c>
      <c r="AJ193" s="18"/>
      <c r="AK193" s="18">
        <f t="shared" si="43"/>
        <v>64417.279999999999</v>
      </c>
      <c r="AL193" s="18">
        <v>70</v>
      </c>
      <c r="AM193" s="18"/>
      <c r="AN193" s="18">
        <f t="shared" si="44"/>
        <v>70</v>
      </c>
      <c r="AO193" s="18">
        <v>14.6</v>
      </c>
      <c r="AP193" s="18"/>
      <c r="AQ193" s="18">
        <f t="shared" si="45"/>
        <v>14.6</v>
      </c>
      <c r="AR193" s="18">
        <v>29</v>
      </c>
      <c r="AS193" s="18"/>
      <c r="AT193" s="18">
        <f t="shared" si="46"/>
        <v>29</v>
      </c>
      <c r="AU193" s="18">
        <v>118521.26</v>
      </c>
      <c r="AV193" s="18"/>
      <c r="AW193" s="18">
        <f t="shared" si="47"/>
        <v>118521.26</v>
      </c>
      <c r="AX193" s="18">
        <v>0</v>
      </c>
      <c r="AY193" s="18"/>
      <c r="AZ193" s="18">
        <f t="shared" si="48"/>
        <v>0</v>
      </c>
      <c r="BA193" s="18">
        <v>0</v>
      </c>
      <c r="BB193" s="18"/>
      <c r="BC193" s="18">
        <f t="shared" si="49"/>
        <v>0</v>
      </c>
      <c r="BD193" s="18">
        <v>0</v>
      </c>
      <c r="BE193" s="18"/>
      <c r="BF193" s="18">
        <f t="shared" si="50"/>
        <v>0</v>
      </c>
    </row>
    <row r="194" spans="1:58" ht="25.5" x14ac:dyDescent="0.25">
      <c r="A194" s="124" t="s">
        <v>1309</v>
      </c>
      <c r="B194" s="124" t="s">
        <v>1468</v>
      </c>
      <c r="C194" s="18" t="s">
        <v>1812</v>
      </c>
      <c r="D194" s="18" t="s">
        <v>1813</v>
      </c>
      <c r="E194" s="18" t="s">
        <v>1500</v>
      </c>
      <c r="F194" s="18" t="s">
        <v>1111</v>
      </c>
      <c r="G194" s="119">
        <v>43555</v>
      </c>
      <c r="H194" s="18">
        <v>0</v>
      </c>
      <c r="I194" s="18"/>
      <c r="J194" s="18">
        <f t="shared" si="34"/>
        <v>0</v>
      </c>
      <c r="K194" s="18">
        <v>0</v>
      </c>
      <c r="L194" s="18"/>
      <c r="M194" s="18">
        <f t="shared" si="35"/>
        <v>0</v>
      </c>
      <c r="N194" s="18">
        <v>44.881999999999998</v>
      </c>
      <c r="O194" s="18"/>
      <c r="P194" s="18">
        <f t="shared" si="36"/>
        <v>0</v>
      </c>
      <c r="Q194" s="18">
        <v>4</v>
      </c>
      <c r="R194" s="18"/>
      <c r="S194" s="18">
        <f t="shared" si="37"/>
        <v>0</v>
      </c>
      <c r="T194" s="18">
        <v>1</v>
      </c>
      <c r="U194" s="18"/>
      <c r="V194" s="18">
        <f t="shared" si="38"/>
        <v>0</v>
      </c>
      <c r="W194" s="18">
        <v>1007.7</v>
      </c>
      <c r="X194" s="18"/>
      <c r="Y194" s="18">
        <f t="shared" si="39"/>
        <v>0</v>
      </c>
      <c r="Z194" s="18">
        <v>32.92</v>
      </c>
      <c r="AA194" s="18"/>
      <c r="AB194" s="18">
        <f t="shared" si="40"/>
        <v>0</v>
      </c>
      <c r="AC194" s="18">
        <v>168.51</v>
      </c>
      <c r="AD194" s="18"/>
      <c r="AE194" s="18">
        <f t="shared" si="41"/>
        <v>0</v>
      </c>
      <c r="AF194" s="18">
        <v>135590</v>
      </c>
      <c r="AG194" s="18"/>
      <c r="AH194" s="18">
        <f t="shared" si="42"/>
        <v>0</v>
      </c>
      <c r="AI194" s="18">
        <v>157458.92000000001</v>
      </c>
      <c r="AJ194" s="18"/>
      <c r="AK194" s="18">
        <f t="shared" si="43"/>
        <v>0</v>
      </c>
      <c r="AL194" s="18">
        <v>27.4</v>
      </c>
      <c r="AM194" s="18"/>
      <c r="AN194" s="18">
        <f t="shared" si="44"/>
        <v>0</v>
      </c>
      <c r="AO194" s="18">
        <v>1.73</v>
      </c>
      <c r="AP194" s="18"/>
      <c r="AQ194" s="18">
        <f t="shared" si="45"/>
        <v>0</v>
      </c>
      <c r="AR194" s="18">
        <v>4</v>
      </c>
      <c r="AS194" s="18"/>
      <c r="AT194" s="18">
        <f t="shared" si="46"/>
        <v>0</v>
      </c>
      <c r="AU194" s="18">
        <v>147685</v>
      </c>
      <c r="AV194" s="18"/>
      <c r="AW194" s="18">
        <f t="shared" si="47"/>
        <v>0</v>
      </c>
      <c r="AX194" s="18">
        <v>0</v>
      </c>
      <c r="AY194" s="18"/>
      <c r="AZ194" s="18">
        <f t="shared" si="48"/>
        <v>0</v>
      </c>
      <c r="BA194" s="18">
        <v>0</v>
      </c>
      <c r="BB194" s="18"/>
      <c r="BC194" s="18">
        <f t="shared" si="49"/>
        <v>0</v>
      </c>
      <c r="BD194" s="18">
        <v>0</v>
      </c>
      <c r="BE194" s="18"/>
      <c r="BF194" s="18">
        <f t="shared" si="50"/>
        <v>0</v>
      </c>
    </row>
    <row r="195" spans="1:58" ht="25.5" x14ac:dyDescent="0.25">
      <c r="A195" s="124" t="s">
        <v>1310</v>
      </c>
      <c r="B195" s="124" t="s">
        <v>1468</v>
      </c>
      <c r="C195" s="18" t="s">
        <v>1814</v>
      </c>
      <c r="D195" s="18" t="s">
        <v>1815</v>
      </c>
      <c r="E195" s="18" t="s">
        <v>1500</v>
      </c>
      <c r="F195" s="18" t="s">
        <v>1111</v>
      </c>
      <c r="G195" s="119">
        <v>43496</v>
      </c>
      <c r="H195" s="18">
        <v>0</v>
      </c>
      <c r="I195" s="18"/>
      <c r="J195" s="18">
        <f t="shared" si="34"/>
        <v>0</v>
      </c>
      <c r="K195" s="18">
        <v>1.89</v>
      </c>
      <c r="L195" s="18"/>
      <c r="M195" s="18">
        <f t="shared" si="35"/>
        <v>0</v>
      </c>
      <c r="N195" s="18">
        <v>19.329999999999998</v>
      </c>
      <c r="O195" s="18"/>
      <c r="P195" s="18">
        <f t="shared" si="36"/>
        <v>0</v>
      </c>
      <c r="Q195" s="18">
        <v>4</v>
      </c>
      <c r="R195" s="18"/>
      <c r="S195" s="18">
        <f t="shared" si="37"/>
        <v>0</v>
      </c>
      <c r="T195" s="18">
        <v>1</v>
      </c>
      <c r="U195" s="18"/>
      <c r="V195" s="18">
        <f t="shared" si="38"/>
        <v>0</v>
      </c>
      <c r="W195" s="18">
        <v>377.5</v>
      </c>
      <c r="X195" s="18"/>
      <c r="Y195" s="18">
        <f t="shared" si="39"/>
        <v>0</v>
      </c>
      <c r="Z195" s="18">
        <v>16.571999999999999</v>
      </c>
      <c r="AA195" s="18"/>
      <c r="AB195" s="18">
        <f t="shared" si="40"/>
        <v>0</v>
      </c>
      <c r="AC195" s="18">
        <v>86.75</v>
      </c>
      <c r="AD195" s="18"/>
      <c r="AE195" s="18">
        <f t="shared" si="41"/>
        <v>0</v>
      </c>
      <c r="AF195" s="18">
        <v>70178</v>
      </c>
      <c r="AG195" s="18"/>
      <c r="AH195" s="18">
        <f t="shared" si="42"/>
        <v>0</v>
      </c>
      <c r="AI195" s="18">
        <v>70178</v>
      </c>
      <c r="AJ195" s="18"/>
      <c r="AK195" s="18">
        <f t="shared" si="43"/>
        <v>0</v>
      </c>
      <c r="AL195" s="18">
        <v>11.45</v>
      </c>
      <c r="AM195" s="18"/>
      <c r="AN195" s="18">
        <f t="shared" si="44"/>
        <v>0</v>
      </c>
      <c r="AO195" s="18">
        <v>0.6</v>
      </c>
      <c r="AP195" s="18"/>
      <c r="AQ195" s="18">
        <f t="shared" si="45"/>
        <v>0</v>
      </c>
      <c r="AR195" s="18">
        <v>7.3999999999999996E-2</v>
      </c>
      <c r="AS195" s="18"/>
      <c r="AT195" s="18">
        <f t="shared" si="46"/>
        <v>0</v>
      </c>
      <c r="AU195" s="18">
        <v>24920</v>
      </c>
      <c r="AV195" s="18"/>
      <c r="AW195" s="18">
        <f t="shared" si="47"/>
        <v>0</v>
      </c>
      <c r="AX195" s="18">
        <v>0</v>
      </c>
      <c r="AY195" s="18"/>
      <c r="AZ195" s="18">
        <f t="shared" si="48"/>
        <v>0</v>
      </c>
      <c r="BA195" s="18">
        <v>1.9E-3</v>
      </c>
      <c r="BB195" s="18"/>
      <c r="BC195" s="18">
        <f t="shared" si="49"/>
        <v>0</v>
      </c>
      <c r="BD195" s="18">
        <v>1.9E-3</v>
      </c>
      <c r="BE195" s="18"/>
      <c r="BF195" s="18">
        <f t="shared" si="50"/>
        <v>0</v>
      </c>
    </row>
    <row r="196" spans="1:58" ht="38.25" x14ac:dyDescent="0.25">
      <c r="A196" s="124" t="s">
        <v>1311</v>
      </c>
      <c r="B196" s="124" t="s">
        <v>1468</v>
      </c>
      <c r="C196" s="18" t="s">
        <v>1816</v>
      </c>
      <c r="D196" s="18" t="s">
        <v>1817</v>
      </c>
      <c r="E196" s="18" t="s">
        <v>1489</v>
      </c>
      <c r="F196" s="18" t="s">
        <v>1111</v>
      </c>
      <c r="G196" s="119">
        <v>43069</v>
      </c>
      <c r="H196" s="18">
        <v>0</v>
      </c>
      <c r="I196" s="18"/>
      <c r="J196" s="18">
        <f t="shared" si="34"/>
        <v>0</v>
      </c>
      <c r="K196" s="18">
        <v>53.664000000000001</v>
      </c>
      <c r="L196" s="18"/>
      <c r="M196" s="18">
        <f t="shared" si="35"/>
        <v>53.664000000000001</v>
      </c>
      <c r="N196" s="18">
        <v>6.6E-3</v>
      </c>
      <c r="O196" s="18"/>
      <c r="P196" s="18">
        <f t="shared" si="36"/>
        <v>6.6E-3</v>
      </c>
      <c r="Q196" s="18">
        <v>3</v>
      </c>
      <c r="R196" s="18"/>
      <c r="S196" s="18">
        <f t="shared" si="37"/>
        <v>3</v>
      </c>
      <c r="T196" s="18">
        <v>1</v>
      </c>
      <c r="U196" s="18"/>
      <c r="V196" s="18">
        <f t="shared" si="38"/>
        <v>1</v>
      </c>
      <c r="W196" s="18">
        <v>555.54</v>
      </c>
      <c r="X196" s="18"/>
      <c r="Y196" s="18">
        <f t="shared" si="39"/>
        <v>555.54</v>
      </c>
      <c r="Z196" s="18">
        <v>6.3299000000000003</v>
      </c>
      <c r="AA196" s="18"/>
      <c r="AB196" s="18">
        <f t="shared" si="40"/>
        <v>6.3299000000000003</v>
      </c>
      <c r="AC196" s="18">
        <v>17.931999999999999</v>
      </c>
      <c r="AD196" s="18"/>
      <c r="AE196" s="18">
        <f t="shared" si="41"/>
        <v>17.931999999999999</v>
      </c>
      <c r="AF196" s="18">
        <v>11602</v>
      </c>
      <c r="AG196" s="18"/>
      <c r="AH196" s="18">
        <f t="shared" si="42"/>
        <v>11602</v>
      </c>
      <c r="AI196" s="18">
        <v>45554.28</v>
      </c>
      <c r="AJ196" s="18"/>
      <c r="AK196" s="18">
        <f t="shared" si="43"/>
        <v>45554.28</v>
      </c>
      <c r="AL196" s="18">
        <v>22.04</v>
      </c>
      <c r="AM196" s="18"/>
      <c r="AN196" s="18">
        <f t="shared" si="44"/>
        <v>22.04</v>
      </c>
      <c r="AO196" s="18">
        <v>4.01</v>
      </c>
      <c r="AP196" s="18"/>
      <c r="AQ196" s="18">
        <f t="shared" si="45"/>
        <v>4.01</v>
      </c>
      <c r="AR196" s="18">
        <v>20.05</v>
      </c>
      <c r="AS196" s="18"/>
      <c r="AT196" s="18">
        <f t="shared" si="46"/>
        <v>20.05</v>
      </c>
      <c r="AU196" s="18">
        <v>82775.460000000006</v>
      </c>
      <c r="AV196" s="18"/>
      <c r="AW196" s="18">
        <f t="shared" si="47"/>
        <v>82775.460000000006</v>
      </c>
      <c r="AX196" s="18">
        <v>0</v>
      </c>
      <c r="AY196" s="18"/>
      <c r="AZ196" s="18">
        <f t="shared" si="48"/>
        <v>0</v>
      </c>
      <c r="BA196" s="18">
        <v>4.1599999999999998E-2</v>
      </c>
      <c r="BB196" s="18"/>
      <c r="BC196" s="18">
        <f t="shared" si="49"/>
        <v>4.1599999999999998E-2</v>
      </c>
      <c r="BD196" s="18">
        <v>4.1599999999999998E-2</v>
      </c>
      <c r="BE196" s="18"/>
      <c r="BF196" s="18">
        <f t="shared" si="50"/>
        <v>4.1599999999999998E-2</v>
      </c>
    </row>
    <row r="197" spans="1:58" ht="51" x14ac:dyDescent="0.25">
      <c r="A197" s="124" t="s">
        <v>1312</v>
      </c>
      <c r="B197" s="124" t="s">
        <v>1468</v>
      </c>
      <c r="C197" s="18" t="s">
        <v>1818</v>
      </c>
      <c r="D197" s="18" t="s">
        <v>1819</v>
      </c>
      <c r="E197" s="18" t="s">
        <v>1471</v>
      </c>
      <c r="F197" s="18" t="s">
        <v>1111</v>
      </c>
      <c r="G197" s="119">
        <v>43281</v>
      </c>
      <c r="H197" s="18">
        <v>0</v>
      </c>
      <c r="I197" s="18"/>
      <c r="J197" s="18">
        <f t="shared" si="34"/>
        <v>0</v>
      </c>
      <c r="K197" s="18">
        <v>73.272000000000006</v>
      </c>
      <c r="L197" s="18"/>
      <c r="M197" s="18">
        <f t="shared" si="35"/>
        <v>73.272000000000006</v>
      </c>
      <c r="N197" s="18">
        <v>68.5</v>
      </c>
      <c r="O197" s="18"/>
      <c r="P197" s="18">
        <f t="shared" si="36"/>
        <v>68.5</v>
      </c>
      <c r="Q197" s="18">
        <v>5</v>
      </c>
      <c r="R197" s="18"/>
      <c r="S197" s="18">
        <f t="shared" si="37"/>
        <v>5</v>
      </c>
      <c r="T197" s="18">
        <v>1</v>
      </c>
      <c r="U197" s="18"/>
      <c r="V197" s="18">
        <f t="shared" si="38"/>
        <v>1</v>
      </c>
      <c r="W197" s="18">
        <v>1075.92</v>
      </c>
      <c r="X197" s="18"/>
      <c r="Y197" s="18">
        <f t="shared" si="39"/>
        <v>1075.92</v>
      </c>
      <c r="Z197" s="18">
        <v>26</v>
      </c>
      <c r="AA197" s="18"/>
      <c r="AB197" s="18">
        <f t="shared" si="40"/>
        <v>26</v>
      </c>
      <c r="AC197" s="18">
        <v>248.06899999999999</v>
      </c>
      <c r="AD197" s="18"/>
      <c r="AE197" s="18">
        <f t="shared" si="41"/>
        <v>248.06899999999999</v>
      </c>
      <c r="AF197" s="18">
        <v>221885</v>
      </c>
      <c r="AG197" s="18"/>
      <c r="AH197" s="18">
        <f t="shared" si="42"/>
        <v>221885</v>
      </c>
      <c r="AI197" s="18">
        <v>221885</v>
      </c>
      <c r="AJ197" s="18"/>
      <c r="AK197" s="18">
        <f t="shared" si="43"/>
        <v>221885</v>
      </c>
      <c r="AL197" s="18">
        <v>36100</v>
      </c>
      <c r="AM197" s="18"/>
      <c r="AN197" s="18">
        <f t="shared" si="44"/>
        <v>36100</v>
      </c>
      <c r="AO197" s="18">
        <v>1900</v>
      </c>
      <c r="AP197" s="18"/>
      <c r="AQ197" s="18">
        <f t="shared" si="45"/>
        <v>1900</v>
      </c>
      <c r="AR197" s="18">
        <v>200</v>
      </c>
      <c r="AS197" s="18"/>
      <c r="AT197" s="18">
        <f t="shared" si="46"/>
        <v>200</v>
      </c>
      <c r="AU197" s="18">
        <v>274539</v>
      </c>
      <c r="AV197" s="18"/>
      <c r="AW197" s="18">
        <f t="shared" si="47"/>
        <v>274539</v>
      </c>
      <c r="AX197" s="18">
        <v>0</v>
      </c>
      <c r="AY197" s="18"/>
      <c r="AZ197" s="18">
        <f t="shared" si="48"/>
        <v>0</v>
      </c>
      <c r="BA197" s="18">
        <v>5.6800000000000003E-2</v>
      </c>
      <c r="BB197" s="18"/>
      <c r="BC197" s="18">
        <f t="shared" si="49"/>
        <v>5.6800000000000003E-2</v>
      </c>
      <c r="BD197" s="18">
        <v>5.6800000000000003E-2</v>
      </c>
      <c r="BE197" s="18"/>
      <c r="BF197" s="18">
        <f t="shared" si="50"/>
        <v>5.6800000000000003E-2</v>
      </c>
    </row>
    <row r="198" spans="1:58" ht="38.25" x14ac:dyDescent="0.25">
      <c r="A198" s="124" t="s">
        <v>1313</v>
      </c>
      <c r="B198" s="124" t="s">
        <v>1468</v>
      </c>
      <c r="C198" s="18" t="s">
        <v>1820</v>
      </c>
      <c r="D198" s="18" t="s">
        <v>1821</v>
      </c>
      <c r="E198" s="18" t="s">
        <v>1489</v>
      </c>
      <c r="F198" s="18" t="s">
        <v>1111</v>
      </c>
      <c r="G198" s="119">
        <v>43496</v>
      </c>
      <c r="H198" s="18">
        <v>0</v>
      </c>
      <c r="I198" s="18"/>
      <c r="J198" s="18">
        <f t="shared" ref="J198:J261" si="51">IF(H198="","",IF($F198="Projekt riadne ukončený (K)",I198,IF($G198&lt;=J$4,H198,0)))</f>
        <v>0</v>
      </c>
      <c r="K198" s="18">
        <v>0</v>
      </c>
      <c r="L198" s="18"/>
      <c r="M198" s="18">
        <f t="shared" ref="M198:M261" si="52">IF(K198="","",IF($F198="Projekt riadne ukončený (K)",L198,IF($G198&lt;=M$4,K198,0)))</f>
        <v>0</v>
      </c>
      <c r="N198" s="18">
        <v>47.25</v>
      </c>
      <c r="O198" s="18"/>
      <c r="P198" s="18">
        <f t="shared" ref="P198:P261" si="53">IF(N198="","",IF($F198="Projekt riadne ukončený (K)",O198,IF($G198&lt;=P$4,N198,0)))</f>
        <v>0</v>
      </c>
      <c r="Q198" s="18">
        <v>3</v>
      </c>
      <c r="R198" s="18"/>
      <c r="S198" s="18">
        <f t="shared" ref="S198:S261" si="54">IF(Q198="","",IF($F198="Projekt riadne ukončený (K)",R198,IF($G198&lt;=S$4,Q198,0)))</f>
        <v>0</v>
      </c>
      <c r="T198" s="18">
        <v>1</v>
      </c>
      <c r="U198" s="18"/>
      <c r="V198" s="18">
        <f t="shared" ref="V198:V261" si="55">IF(T198="","",IF($F198="Projekt riadne ukončený (K)",U198,IF($G198&lt;=V$4,T198,0)))</f>
        <v>0</v>
      </c>
      <c r="W198" s="18">
        <v>954.97</v>
      </c>
      <c r="X198" s="18"/>
      <c r="Y198" s="18">
        <f t="shared" ref="Y198:Y261" si="56">IF(W198="","",IF($F198="Projekt riadne ukončený (K)",X198,IF($G198&lt;=Y$4,W198,0)))</f>
        <v>0</v>
      </c>
      <c r="Z198" s="18">
        <v>72.462999999999994</v>
      </c>
      <c r="AA198" s="18"/>
      <c r="AB198" s="18">
        <f t="shared" ref="AB198:AB261" si="57">IF(Z198="","",IF($F198="Projekt riadne ukončený (K)",AA198,IF($G198&lt;=AB$4,Z198,0)))</f>
        <v>0</v>
      </c>
      <c r="AC198" s="18">
        <v>202.893</v>
      </c>
      <c r="AD198" s="18"/>
      <c r="AE198" s="18">
        <f t="shared" ref="AE198:AE261" si="58">IF(AC198="","",IF($F198="Projekt riadne ukončený (K)",AD198,IF($G198&lt;=AE$4,AC198,0)))</f>
        <v>0</v>
      </c>
      <c r="AF198" s="18">
        <v>130430</v>
      </c>
      <c r="AG198" s="18"/>
      <c r="AH198" s="18">
        <f t="shared" ref="AH198:AH261" si="59">IF(AF198="","",IF($F198="Projekt riadne ukončený (K)",AG198,IF($G198&lt;=AH$4,AF198,0)))</f>
        <v>0</v>
      </c>
      <c r="AI198" s="18">
        <v>170608</v>
      </c>
      <c r="AJ198" s="18"/>
      <c r="AK198" s="18">
        <f t="shared" ref="AK198:AK261" si="60">IF(AI198="","",IF($F198="Projekt riadne ukončený (K)",AJ198,IF($G198&lt;=AK$4,AI198,0)))</f>
        <v>0</v>
      </c>
      <c r="AL198" s="18">
        <v>26</v>
      </c>
      <c r="AM198" s="18"/>
      <c r="AN198" s="18">
        <f t="shared" ref="AN198:AN261" si="61">IF(AL198="","",IF($F198="Projekt riadne ukončený (K)",AM198,IF($G198&lt;=AN$4,AL198,0)))</f>
        <v>0</v>
      </c>
      <c r="AO198" s="18">
        <v>1</v>
      </c>
      <c r="AP198" s="18"/>
      <c r="AQ198" s="18">
        <f t="shared" ref="AQ198:AQ261" si="62">IF(AO198="","",IF($F198="Projekt riadne ukončený (K)",AP198,IF($G198&lt;=AQ$4,AO198,0)))</f>
        <v>0</v>
      </c>
      <c r="AR198" s="18">
        <v>3</v>
      </c>
      <c r="AS198" s="18"/>
      <c r="AT198" s="18">
        <f t="shared" ref="AT198:AT261" si="63">IF(AR198="","",IF($F198="Projekt riadne ukončený (K)",AS198,IF($G198&lt;=AT$4,AR198,0)))</f>
        <v>0</v>
      </c>
      <c r="AU198" s="18">
        <v>230977</v>
      </c>
      <c r="AV198" s="18"/>
      <c r="AW198" s="18">
        <f t="shared" ref="AW198:AW261" si="64">IF(AU198="","",IF($F198="Projekt riadne ukončený (K)",AV198,IF($G198&lt;=AW$4,AU198,0)))</f>
        <v>0</v>
      </c>
      <c r="AX198" s="18">
        <v>0</v>
      </c>
      <c r="AY198" s="18"/>
      <c r="AZ198" s="18">
        <f t="shared" ref="AZ198:AZ261" si="65">IF(AX198="","",IF($F198="Projekt riadne ukončený (K)",AY198,IF($G198&lt;=AZ$4,AX198,0)))</f>
        <v>0</v>
      </c>
      <c r="BA198" s="18">
        <v>0</v>
      </c>
      <c r="BB198" s="18"/>
      <c r="BC198" s="18">
        <f t="shared" ref="BC198:BC261" si="66">IF(BA198="","",IF($F198="Projekt riadne ukončený (K)",BB198,IF($G198&lt;=BC$4,BA198,0)))</f>
        <v>0</v>
      </c>
      <c r="BD198" s="18">
        <v>0</v>
      </c>
      <c r="BE198" s="18"/>
      <c r="BF198" s="18">
        <f t="shared" ref="BF198:BF261" si="67">IF(BD198="","",IF($F198="Projekt riadne ukončený (K)",BE198,IF($G198&lt;=BF$4,BD198,0)))</f>
        <v>0</v>
      </c>
    </row>
    <row r="199" spans="1:58" ht="25.5" x14ac:dyDescent="0.25">
      <c r="A199" s="124" t="s">
        <v>1314</v>
      </c>
      <c r="B199" s="124" t="s">
        <v>1468</v>
      </c>
      <c r="C199" s="18" t="s">
        <v>1822</v>
      </c>
      <c r="D199" s="18" t="s">
        <v>1823</v>
      </c>
      <c r="E199" s="18" t="s">
        <v>1477</v>
      </c>
      <c r="F199" s="18" t="s">
        <v>1111</v>
      </c>
      <c r="G199" s="119">
        <v>43251</v>
      </c>
      <c r="H199" s="18">
        <v>0</v>
      </c>
      <c r="I199" s="18"/>
      <c r="J199" s="18">
        <f t="shared" si="51"/>
        <v>0</v>
      </c>
      <c r="K199" s="18">
        <v>0</v>
      </c>
      <c r="L199" s="18"/>
      <c r="M199" s="18">
        <f t="shared" si="52"/>
        <v>0</v>
      </c>
      <c r="N199" s="18">
        <v>24</v>
      </c>
      <c r="O199" s="18"/>
      <c r="P199" s="18">
        <f t="shared" si="53"/>
        <v>24</v>
      </c>
      <c r="Q199" s="18">
        <v>1</v>
      </c>
      <c r="R199" s="18"/>
      <c r="S199" s="18">
        <f t="shared" si="54"/>
        <v>1</v>
      </c>
      <c r="T199" s="18">
        <v>1</v>
      </c>
      <c r="U199" s="18"/>
      <c r="V199" s="18">
        <f t="shared" si="55"/>
        <v>1</v>
      </c>
      <c r="W199" s="18">
        <v>788.75</v>
      </c>
      <c r="X199" s="18"/>
      <c r="Y199" s="18">
        <f t="shared" si="56"/>
        <v>788.75</v>
      </c>
      <c r="Z199" s="18">
        <v>48.792299999999997</v>
      </c>
      <c r="AA199" s="18"/>
      <c r="AB199" s="18">
        <f t="shared" si="57"/>
        <v>48.792299999999997</v>
      </c>
      <c r="AC199" s="18">
        <v>146.70599999999999</v>
      </c>
      <c r="AD199" s="18"/>
      <c r="AE199" s="18">
        <f t="shared" si="58"/>
        <v>146.70599999999999</v>
      </c>
      <c r="AF199" s="18">
        <v>126965.09</v>
      </c>
      <c r="AG199" s="18"/>
      <c r="AH199" s="18">
        <f t="shared" si="59"/>
        <v>126965.09</v>
      </c>
      <c r="AI199" s="18">
        <v>126965.09</v>
      </c>
      <c r="AJ199" s="18"/>
      <c r="AK199" s="18">
        <f t="shared" si="60"/>
        <v>126965.09</v>
      </c>
      <c r="AL199" s="18">
        <v>19.732800000000001</v>
      </c>
      <c r="AM199" s="18"/>
      <c r="AN199" s="18">
        <f t="shared" si="61"/>
        <v>19.732800000000001</v>
      </c>
      <c r="AO199" s="18">
        <v>0.89690000000000003</v>
      </c>
      <c r="AP199" s="18"/>
      <c r="AQ199" s="18">
        <f t="shared" si="62"/>
        <v>0.89690000000000003</v>
      </c>
      <c r="AR199" s="18">
        <v>0.1076</v>
      </c>
      <c r="AS199" s="18"/>
      <c r="AT199" s="18">
        <f t="shared" si="63"/>
        <v>0.1076</v>
      </c>
      <c r="AU199" s="18">
        <v>172633.71</v>
      </c>
      <c r="AV199" s="18"/>
      <c r="AW199" s="18">
        <f t="shared" si="64"/>
        <v>172633.71</v>
      </c>
      <c r="AX199" s="18">
        <v>0</v>
      </c>
      <c r="AY199" s="18"/>
      <c r="AZ199" s="18">
        <f t="shared" si="65"/>
        <v>0</v>
      </c>
      <c r="BA199" s="18">
        <v>0</v>
      </c>
      <c r="BB199" s="18"/>
      <c r="BC199" s="18">
        <f t="shared" si="66"/>
        <v>0</v>
      </c>
      <c r="BD199" s="18">
        <v>0</v>
      </c>
      <c r="BE199" s="18"/>
      <c r="BF199" s="18">
        <f t="shared" si="67"/>
        <v>0</v>
      </c>
    </row>
    <row r="200" spans="1:58" ht="25.5" x14ac:dyDescent="0.25">
      <c r="A200" s="124" t="s">
        <v>1315</v>
      </c>
      <c r="B200" s="124" t="s">
        <v>1468</v>
      </c>
      <c r="C200" s="18" t="s">
        <v>1824</v>
      </c>
      <c r="D200" s="18" t="s">
        <v>1825</v>
      </c>
      <c r="E200" s="18" t="s">
        <v>1483</v>
      </c>
      <c r="F200" s="18" t="s">
        <v>1111</v>
      </c>
      <c r="G200" s="119">
        <v>43159</v>
      </c>
      <c r="H200" s="18">
        <v>0</v>
      </c>
      <c r="I200" s="18"/>
      <c r="J200" s="18">
        <f t="shared" si="51"/>
        <v>0</v>
      </c>
      <c r="K200" s="18">
        <v>2</v>
      </c>
      <c r="L200" s="18"/>
      <c r="M200" s="18">
        <f t="shared" si="52"/>
        <v>2</v>
      </c>
      <c r="N200" s="18">
        <v>9.5</v>
      </c>
      <c r="O200" s="18"/>
      <c r="P200" s="18">
        <f t="shared" si="53"/>
        <v>9.5</v>
      </c>
      <c r="Q200" s="18">
        <v>5</v>
      </c>
      <c r="R200" s="18"/>
      <c r="S200" s="18">
        <f t="shared" si="54"/>
        <v>5</v>
      </c>
      <c r="T200" s="18">
        <v>1</v>
      </c>
      <c r="U200" s="18"/>
      <c r="V200" s="18">
        <f t="shared" si="55"/>
        <v>1</v>
      </c>
      <c r="W200" s="18">
        <v>312.64999999999998</v>
      </c>
      <c r="X200" s="18"/>
      <c r="Y200" s="18">
        <f t="shared" si="56"/>
        <v>312.64999999999998</v>
      </c>
      <c r="Z200" s="18">
        <v>25.4</v>
      </c>
      <c r="AA200" s="18"/>
      <c r="AB200" s="18">
        <f t="shared" si="57"/>
        <v>25.4</v>
      </c>
      <c r="AC200" s="18">
        <v>72.709999999999994</v>
      </c>
      <c r="AD200" s="18"/>
      <c r="AE200" s="18">
        <f t="shared" si="58"/>
        <v>72.709999999999994</v>
      </c>
      <c r="AF200" s="18">
        <v>47283</v>
      </c>
      <c r="AG200" s="18"/>
      <c r="AH200" s="18">
        <f t="shared" si="59"/>
        <v>47283</v>
      </c>
      <c r="AI200" s="18">
        <v>67574</v>
      </c>
      <c r="AJ200" s="18"/>
      <c r="AK200" s="18">
        <f t="shared" si="60"/>
        <v>67574</v>
      </c>
      <c r="AL200" s="18">
        <v>7.0000000000000001E-3</v>
      </c>
      <c r="AM200" s="18"/>
      <c r="AN200" s="18">
        <f t="shared" si="61"/>
        <v>7.0000000000000001E-3</v>
      </c>
      <c r="AO200" s="18">
        <v>0</v>
      </c>
      <c r="AP200" s="18"/>
      <c r="AQ200" s="18">
        <f t="shared" si="62"/>
        <v>0</v>
      </c>
      <c r="AR200" s="18">
        <v>0</v>
      </c>
      <c r="AS200" s="18"/>
      <c r="AT200" s="18">
        <f t="shared" si="63"/>
        <v>0</v>
      </c>
      <c r="AU200" s="18">
        <v>124179</v>
      </c>
      <c r="AV200" s="18"/>
      <c r="AW200" s="18">
        <f t="shared" si="64"/>
        <v>124179</v>
      </c>
      <c r="AX200" s="18">
        <v>0</v>
      </c>
      <c r="AY200" s="18"/>
      <c r="AZ200" s="18">
        <f t="shared" si="65"/>
        <v>0</v>
      </c>
      <c r="BA200" s="18">
        <v>2.3E-3</v>
      </c>
      <c r="BB200" s="18"/>
      <c r="BC200" s="18">
        <f t="shared" si="66"/>
        <v>2.3E-3</v>
      </c>
      <c r="BD200" s="18">
        <v>2.3E-3</v>
      </c>
      <c r="BE200" s="18"/>
      <c r="BF200" s="18">
        <f t="shared" si="67"/>
        <v>2.3E-3</v>
      </c>
    </row>
    <row r="201" spans="1:58" ht="25.5" x14ac:dyDescent="0.25">
      <c r="A201" s="124" t="s">
        <v>1316</v>
      </c>
      <c r="B201" s="124" t="s">
        <v>1468</v>
      </c>
      <c r="C201" s="18" t="s">
        <v>1826</v>
      </c>
      <c r="D201" s="18" t="s">
        <v>1827</v>
      </c>
      <c r="E201" s="18" t="s">
        <v>1483</v>
      </c>
      <c r="F201" s="18" t="s">
        <v>1111</v>
      </c>
      <c r="G201" s="119">
        <v>43434</v>
      </c>
      <c r="H201" s="18">
        <v>0</v>
      </c>
      <c r="I201" s="18"/>
      <c r="J201" s="18">
        <f t="shared" si="51"/>
        <v>0</v>
      </c>
      <c r="K201" s="18">
        <v>3.37</v>
      </c>
      <c r="L201" s="18"/>
      <c r="M201" s="18">
        <f t="shared" si="52"/>
        <v>3.37</v>
      </c>
      <c r="N201" s="18">
        <v>14.56</v>
      </c>
      <c r="O201" s="18"/>
      <c r="P201" s="18">
        <f t="shared" si="53"/>
        <v>14.56</v>
      </c>
      <c r="Q201" s="18">
        <v>3</v>
      </c>
      <c r="R201" s="18"/>
      <c r="S201" s="18">
        <f t="shared" si="54"/>
        <v>3</v>
      </c>
      <c r="T201" s="18">
        <v>1</v>
      </c>
      <c r="U201" s="18"/>
      <c r="V201" s="18">
        <f t="shared" si="55"/>
        <v>1</v>
      </c>
      <c r="W201" s="18">
        <v>822.6</v>
      </c>
      <c r="X201" s="18"/>
      <c r="Y201" s="18">
        <f t="shared" si="56"/>
        <v>822.6</v>
      </c>
      <c r="Z201" s="18">
        <v>10.27</v>
      </c>
      <c r="AA201" s="18"/>
      <c r="AB201" s="18">
        <f t="shared" si="57"/>
        <v>10.27</v>
      </c>
      <c r="AC201" s="18">
        <v>81.540000000000006</v>
      </c>
      <c r="AD201" s="18"/>
      <c r="AE201" s="18">
        <f t="shared" si="58"/>
        <v>81.540000000000006</v>
      </c>
      <c r="AF201" s="18">
        <v>71270</v>
      </c>
      <c r="AG201" s="18"/>
      <c r="AH201" s="18">
        <f t="shared" si="59"/>
        <v>71270</v>
      </c>
      <c r="AI201" s="18">
        <v>111728.18</v>
      </c>
      <c r="AJ201" s="18"/>
      <c r="AK201" s="18">
        <f t="shared" si="60"/>
        <v>111728.18</v>
      </c>
      <c r="AL201" s="18">
        <v>18.260000000000002</v>
      </c>
      <c r="AM201" s="18"/>
      <c r="AN201" s="18">
        <f t="shared" si="61"/>
        <v>18.260000000000002</v>
      </c>
      <c r="AO201" s="18">
        <v>0.36</v>
      </c>
      <c r="AP201" s="18"/>
      <c r="AQ201" s="18">
        <f t="shared" si="62"/>
        <v>0.36</v>
      </c>
      <c r="AR201" s="18">
        <v>1.81</v>
      </c>
      <c r="AS201" s="18"/>
      <c r="AT201" s="18">
        <f t="shared" si="63"/>
        <v>1.81</v>
      </c>
      <c r="AU201" s="18">
        <v>155204.35</v>
      </c>
      <c r="AV201" s="18"/>
      <c r="AW201" s="18">
        <f t="shared" si="64"/>
        <v>155204.35</v>
      </c>
      <c r="AX201" s="18">
        <v>0</v>
      </c>
      <c r="AY201" s="18"/>
      <c r="AZ201" s="18">
        <f t="shared" si="65"/>
        <v>0</v>
      </c>
      <c r="BA201" s="18">
        <v>0</v>
      </c>
      <c r="BB201" s="18"/>
      <c r="BC201" s="18">
        <f t="shared" si="66"/>
        <v>0</v>
      </c>
      <c r="BD201" s="18">
        <v>0</v>
      </c>
      <c r="BE201" s="18"/>
      <c r="BF201" s="18">
        <f t="shared" si="67"/>
        <v>0</v>
      </c>
    </row>
    <row r="202" spans="1:58" ht="38.25" x14ac:dyDescent="0.25">
      <c r="A202" s="124" t="s">
        <v>1317</v>
      </c>
      <c r="B202" s="124" t="s">
        <v>1468</v>
      </c>
      <c r="C202" s="18" t="s">
        <v>1828</v>
      </c>
      <c r="D202" s="18" t="s">
        <v>1829</v>
      </c>
      <c r="E202" s="18" t="s">
        <v>1474</v>
      </c>
      <c r="F202" s="18" t="s">
        <v>1111</v>
      </c>
      <c r="G202" s="119">
        <v>43555</v>
      </c>
      <c r="H202" s="18">
        <v>0</v>
      </c>
      <c r="I202" s="18"/>
      <c r="J202" s="18">
        <f t="shared" si="51"/>
        <v>0</v>
      </c>
      <c r="K202" s="18">
        <v>0</v>
      </c>
      <c r="L202" s="18"/>
      <c r="M202" s="18">
        <f t="shared" si="52"/>
        <v>0</v>
      </c>
      <c r="N202" s="18">
        <v>33.07</v>
      </c>
      <c r="O202" s="18"/>
      <c r="P202" s="18">
        <f t="shared" si="53"/>
        <v>0</v>
      </c>
      <c r="Q202" s="18">
        <v>3</v>
      </c>
      <c r="R202" s="18"/>
      <c r="S202" s="18">
        <f t="shared" si="54"/>
        <v>0</v>
      </c>
      <c r="T202" s="18">
        <v>1</v>
      </c>
      <c r="U202" s="18"/>
      <c r="V202" s="18">
        <f t="shared" si="55"/>
        <v>0</v>
      </c>
      <c r="W202" s="18">
        <v>806.1</v>
      </c>
      <c r="X202" s="18"/>
      <c r="Y202" s="18">
        <f t="shared" si="56"/>
        <v>0</v>
      </c>
      <c r="Z202" s="18">
        <v>48.2</v>
      </c>
      <c r="AA202" s="18"/>
      <c r="AB202" s="18">
        <f t="shared" si="57"/>
        <v>0</v>
      </c>
      <c r="AC202" s="18">
        <v>151.75</v>
      </c>
      <c r="AD202" s="18"/>
      <c r="AE202" s="18">
        <f t="shared" si="58"/>
        <v>0</v>
      </c>
      <c r="AF202" s="18">
        <v>119292.3</v>
      </c>
      <c r="AG202" s="18"/>
      <c r="AH202" s="18">
        <f t="shared" si="59"/>
        <v>0</v>
      </c>
      <c r="AI202" s="18">
        <v>107751.39</v>
      </c>
      <c r="AJ202" s="18"/>
      <c r="AK202" s="18">
        <f t="shared" si="60"/>
        <v>0</v>
      </c>
      <c r="AL202" s="18">
        <v>17.239999999999998</v>
      </c>
      <c r="AM202" s="18"/>
      <c r="AN202" s="18">
        <f t="shared" si="61"/>
        <v>0</v>
      </c>
      <c r="AO202" s="18">
        <v>0</v>
      </c>
      <c r="AP202" s="18"/>
      <c r="AQ202" s="18">
        <f t="shared" si="62"/>
        <v>0</v>
      </c>
      <c r="AR202" s="18">
        <v>0.11</v>
      </c>
      <c r="AS202" s="18"/>
      <c r="AT202" s="18">
        <f t="shared" si="63"/>
        <v>0</v>
      </c>
      <c r="AU202" s="18">
        <v>149039</v>
      </c>
      <c r="AV202" s="18"/>
      <c r="AW202" s="18">
        <f t="shared" si="64"/>
        <v>0</v>
      </c>
      <c r="AX202" s="18">
        <v>0</v>
      </c>
      <c r="AY202" s="18"/>
      <c r="AZ202" s="18">
        <f t="shared" si="65"/>
        <v>0</v>
      </c>
      <c r="BA202" s="18">
        <v>0</v>
      </c>
      <c r="BB202" s="18"/>
      <c r="BC202" s="18">
        <f t="shared" si="66"/>
        <v>0</v>
      </c>
      <c r="BD202" s="18">
        <v>0</v>
      </c>
      <c r="BE202" s="18"/>
      <c r="BF202" s="18">
        <f t="shared" si="67"/>
        <v>0</v>
      </c>
    </row>
    <row r="203" spans="1:58" ht="25.5" x14ac:dyDescent="0.25">
      <c r="A203" s="124" t="s">
        <v>1318</v>
      </c>
      <c r="B203" s="124" t="s">
        <v>1468</v>
      </c>
      <c r="C203" s="18" t="s">
        <v>1830</v>
      </c>
      <c r="D203" s="18" t="s">
        <v>1831</v>
      </c>
      <c r="E203" s="18" t="s">
        <v>1489</v>
      </c>
      <c r="F203" s="18" t="s">
        <v>1111</v>
      </c>
      <c r="G203" s="119">
        <v>43555</v>
      </c>
      <c r="H203" s="18">
        <v>4</v>
      </c>
      <c r="I203" s="18"/>
      <c r="J203" s="18">
        <f t="shared" si="51"/>
        <v>0</v>
      </c>
      <c r="K203" s="18">
        <v>51.857999999999997</v>
      </c>
      <c r="L203" s="18"/>
      <c r="M203" s="18">
        <f t="shared" si="52"/>
        <v>0</v>
      </c>
      <c r="N203" s="18">
        <v>2.3900000000000001E-2</v>
      </c>
      <c r="O203" s="18"/>
      <c r="P203" s="18">
        <f t="shared" si="53"/>
        <v>0</v>
      </c>
      <c r="Q203" s="18">
        <v>3</v>
      </c>
      <c r="R203" s="18"/>
      <c r="S203" s="18">
        <f t="shared" si="54"/>
        <v>0</v>
      </c>
      <c r="T203" s="18">
        <v>1</v>
      </c>
      <c r="U203" s="18"/>
      <c r="V203" s="18">
        <f t="shared" si="55"/>
        <v>0</v>
      </c>
      <c r="W203" s="18">
        <v>1105.51</v>
      </c>
      <c r="X203" s="18"/>
      <c r="Y203" s="18">
        <f t="shared" si="56"/>
        <v>0</v>
      </c>
      <c r="Z203" s="18">
        <v>3.2263999999999999</v>
      </c>
      <c r="AA203" s="18"/>
      <c r="AB203" s="18">
        <f t="shared" si="57"/>
        <v>0</v>
      </c>
      <c r="AC203" s="18">
        <v>21.567</v>
      </c>
      <c r="AD203" s="18"/>
      <c r="AE203" s="18">
        <f t="shared" si="58"/>
        <v>0</v>
      </c>
      <c r="AF203" s="18">
        <v>18340.580000000002</v>
      </c>
      <c r="AG203" s="18"/>
      <c r="AH203" s="18">
        <f t="shared" si="59"/>
        <v>0</v>
      </c>
      <c r="AI203" s="18">
        <v>202308.33</v>
      </c>
      <c r="AJ203" s="18"/>
      <c r="AK203" s="18">
        <f t="shared" si="60"/>
        <v>0</v>
      </c>
      <c r="AL203" s="18">
        <v>80.069999999999993</v>
      </c>
      <c r="AM203" s="18"/>
      <c r="AN203" s="18">
        <f t="shared" si="61"/>
        <v>0</v>
      </c>
      <c r="AO203" s="18">
        <v>14.58</v>
      </c>
      <c r="AP203" s="18"/>
      <c r="AQ203" s="18">
        <f t="shared" si="62"/>
        <v>0</v>
      </c>
      <c r="AR203" s="18">
        <v>72.87</v>
      </c>
      <c r="AS203" s="18"/>
      <c r="AT203" s="18">
        <f t="shared" si="63"/>
        <v>0</v>
      </c>
      <c r="AU203" s="18">
        <v>317281.37</v>
      </c>
      <c r="AV203" s="18"/>
      <c r="AW203" s="18">
        <f t="shared" si="64"/>
        <v>0</v>
      </c>
      <c r="AX203" s="18">
        <v>4.0000000000000001E-3</v>
      </c>
      <c r="AY203" s="18"/>
      <c r="AZ203" s="18">
        <f t="shared" si="65"/>
        <v>0</v>
      </c>
      <c r="BA203" s="18">
        <v>4.4200000000000003E-2</v>
      </c>
      <c r="BB203" s="18"/>
      <c r="BC203" s="18">
        <f t="shared" si="66"/>
        <v>0</v>
      </c>
      <c r="BD203" s="18">
        <v>4.02E-2</v>
      </c>
      <c r="BE203" s="18"/>
      <c r="BF203" s="18">
        <f t="shared" si="67"/>
        <v>0</v>
      </c>
    </row>
    <row r="204" spans="1:58" ht="38.25" x14ac:dyDescent="0.25">
      <c r="A204" s="124" t="s">
        <v>1319</v>
      </c>
      <c r="B204" s="124" t="s">
        <v>1468</v>
      </c>
      <c r="C204" s="18" t="s">
        <v>1832</v>
      </c>
      <c r="D204" s="18" t="s">
        <v>1833</v>
      </c>
      <c r="E204" s="18" t="s">
        <v>1489</v>
      </c>
      <c r="F204" s="18" t="s">
        <v>1111</v>
      </c>
      <c r="G204" s="119">
        <v>43251</v>
      </c>
      <c r="H204" s="18">
        <v>0</v>
      </c>
      <c r="I204" s="18"/>
      <c r="J204" s="18">
        <f t="shared" si="51"/>
        <v>0</v>
      </c>
      <c r="K204" s="18">
        <v>3.351</v>
      </c>
      <c r="L204" s="18"/>
      <c r="M204" s="18">
        <f t="shared" si="52"/>
        <v>3.351</v>
      </c>
      <c r="N204" s="18">
        <v>5.23</v>
      </c>
      <c r="O204" s="18"/>
      <c r="P204" s="18">
        <f t="shared" si="53"/>
        <v>5.23</v>
      </c>
      <c r="Q204" s="18">
        <v>4</v>
      </c>
      <c r="R204" s="18"/>
      <c r="S204" s="18">
        <f t="shared" si="54"/>
        <v>4</v>
      </c>
      <c r="T204" s="18">
        <v>1</v>
      </c>
      <c r="U204" s="18"/>
      <c r="V204" s="18">
        <f t="shared" si="55"/>
        <v>1</v>
      </c>
      <c r="W204" s="18">
        <v>114.48</v>
      </c>
      <c r="X204" s="18"/>
      <c r="Y204" s="18">
        <f t="shared" si="56"/>
        <v>114.48</v>
      </c>
      <c r="Z204" s="18">
        <v>2.992</v>
      </c>
      <c r="AA204" s="18"/>
      <c r="AB204" s="18">
        <f t="shared" si="57"/>
        <v>2.992</v>
      </c>
      <c r="AC204" s="18">
        <v>21.245999999999999</v>
      </c>
      <c r="AD204" s="18"/>
      <c r="AE204" s="18">
        <f t="shared" si="58"/>
        <v>21.245999999999999</v>
      </c>
      <c r="AF204" s="18">
        <v>18254</v>
      </c>
      <c r="AG204" s="18"/>
      <c r="AH204" s="18">
        <f t="shared" si="59"/>
        <v>18254</v>
      </c>
      <c r="AI204" s="18">
        <v>39129</v>
      </c>
      <c r="AJ204" s="18"/>
      <c r="AK204" s="18">
        <f t="shared" si="60"/>
        <v>39129</v>
      </c>
      <c r="AL204" s="18">
        <v>3</v>
      </c>
      <c r="AM204" s="18"/>
      <c r="AN204" s="18">
        <f t="shared" si="61"/>
        <v>3</v>
      </c>
      <c r="AO204" s="18">
        <v>0.2</v>
      </c>
      <c r="AP204" s="18"/>
      <c r="AQ204" s="18">
        <f t="shared" si="62"/>
        <v>0.2</v>
      </c>
      <c r="AR204" s="18">
        <v>0.05</v>
      </c>
      <c r="AS204" s="18"/>
      <c r="AT204" s="18">
        <f t="shared" si="63"/>
        <v>0.05</v>
      </c>
      <c r="AU204" s="18">
        <v>59209</v>
      </c>
      <c r="AV204" s="18"/>
      <c r="AW204" s="18">
        <f t="shared" si="64"/>
        <v>59209</v>
      </c>
      <c r="AX204" s="18">
        <v>0</v>
      </c>
      <c r="AY204" s="18"/>
      <c r="AZ204" s="18">
        <f t="shared" si="65"/>
        <v>0</v>
      </c>
      <c r="BA204" s="18">
        <v>0</v>
      </c>
      <c r="BB204" s="18"/>
      <c r="BC204" s="18">
        <f t="shared" si="66"/>
        <v>0</v>
      </c>
      <c r="BD204" s="18">
        <v>5.4999999999999997E-3</v>
      </c>
      <c r="BE204" s="18"/>
      <c r="BF204" s="18">
        <f t="shared" si="67"/>
        <v>5.4999999999999997E-3</v>
      </c>
    </row>
    <row r="205" spans="1:58" ht="25.5" x14ac:dyDescent="0.25">
      <c r="A205" s="124" t="s">
        <v>1320</v>
      </c>
      <c r="B205" s="124" t="s">
        <v>1468</v>
      </c>
      <c r="C205" s="18" t="s">
        <v>1743</v>
      </c>
      <c r="D205" s="18" t="s">
        <v>1834</v>
      </c>
      <c r="E205" s="18" t="s">
        <v>1471</v>
      </c>
      <c r="F205" s="18" t="s">
        <v>1111</v>
      </c>
      <c r="G205" s="119">
        <v>43555</v>
      </c>
      <c r="H205" s="18">
        <v>27.5</v>
      </c>
      <c r="I205" s="18"/>
      <c r="J205" s="18">
        <f t="shared" si="51"/>
        <v>0</v>
      </c>
      <c r="K205" s="18">
        <v>0</v>
      </c>
      <c r="L205" s="18"/>
      <c r="M205" s="18">
        <f t="shared" si="52"/>
        <v>0</v>
      </c>
      <c r="N205" s="18">
        <v>9.4600000000000004E-2</v>
      </c>
      <c r="O205" s="18"/>
      <c r="P205" s="18">
        <f t="shared" si="53"/>
        <v>0</v>
      </c>
      <c r="Q205" s="18">
        <v>4</v>
      </c>
      <c r="R205" s="18"/>
      <c r="S205" s="18">
        <f t="shared" si="54"/>
        <v>0</v>
      </c>
      <c r="T205" s="18">
        <v>1</v>
      </c>
      <c r="U205" s="18"/>
      <c r="V205" s="18">
        <f t="shared" si="55"/>
        <v>0</v>
      </c>
      <c r="W205" s="18">
        <v>2126.8000000000002</v>
      </c>
      <c r="X205" s="18"/>
      <c r="Y205" s="18">
        <f t="shared" si="56"/>
        <v>0</v>
      </c>
      <c r="Z205" s="18">
        <v>57.496000000000002</v>
      </c>
      <c r="AA205" s="18"/>
      <c r="AB205" s="18">
        <f t="shared" si="57"/>
        <v>0</v>
      </c>
      <c r="AC205" s="18">
        <v>280.19499999999999</v>
      </c>
      <c r="AD205" s="18"/>
      <c r="AE205" s="18">
        <f t="shared" si="58"/>
        <v>0</v>
      </c>
      <c r="AF205" s="18">
        <v>222698.99</v>
      </c>
      <c r="AG205" s="18"/>
      <c r="AH205" s="18">
        <f t="shared" si="59"/>
        <v>0</v>
      </c>
      <c r="AI205" s="18">
        <v>340288</v>
      </c>
      <c r="AJ205" s="18"/>
      <c r="AK205" s="18">
        <f t="shared" si="60"/>
        <v>0</v>
      </c>
      <c r="AL205" s="18">
        <v>123.87</v>
      </c>
      <c r="AM205" s="18"/>
      <c r="AN205" s="18">
        <f t="shared" si="61"/>
        <v>0</v>
      </c>
      <c r="AO205" s="18">
        <v>14.16</v>
      </c>
      <c r="AP205" s="18"/>
      <c r="AQ205" s="18">
        <f t="shared" si="62"/>
        <v>0</v>
      </c>
      <c r="AR205" s="18">
        <v>69.67</v>
      </c>
      <c r="AS205" s="18"/>
      <c r="AT205" s="18">
        <f t="shared" si="63"/>
        <v>0</v>
      </c>
      <c r="AU205" s="18">
        <v>599757.6</v>
      </c>
      <c r="AV205" s="18"/>
      <c r="AW205" s="18">
        <f t="shared" si="64"/>
        <v>0</v>
      </c>
      <c r="AX205" s="18">
        <v>2.5000000000000001E-2</v>
      </c>
      <c r="AY205" s="18"/>
      <c r="AZ205" s="18">
        <f t="shared" si="65"/>
        <v>0</v>
      </c>
      <c r="BA205" s="18">
        <v>2.5000000000000001E-2</v>
      </c>
      <c r="BB205" s="18"/>
      <c r="BC205" s="18">
        <f t="shared" si="66"/>
        <v>0</v>
      </c>
      <c r="BD205" s="18">
        <v>0</v>
      </c>
      <c r="BE205" s="18"/>
      <c r="BF205" s="18">
        <f t="shared" si="67"/>
        <v>0</v>
      </c>
    </row>
    <row r="206" spans="1:58" ht="25.5" x14ac:dyDescent="0.25">
      <c r="A206" s="124" t="s">
        <v>1321</v>
      </c>
      <c r="B206" s="124" t="s">
        <v>1468</v>
      </c>
      <c r="C206" s="18" t="s">
        <v>1835</v>
      </c>
      <c r="D206" s="18" t="s">
        <v>1836</v>
      </c>
      <c r="E206" s="18" t="s">
        <v>1489</v>
      </c>
      <c r="F206" s="18" t="s">
        <v>1111</v>
      </c>
      <c r="G206" s="119">
        <v>43465</v>
      </c>
      <c r="H206" s="18">
        <v>0</v>
      </c>
      <c r="I206" s="18"/>
      <c r="J206" s="18">
        <f t="shared" si="51"/>
        <v>0</v>
      </c>
      <c r="K206" s="18">
        <v>0</v>
      </c>
      <c r="L206" s="18"/>
      <c r="M206" s="18">
        <f t="shared" si="52"/>
        <v>0</v>
      </c>
      <c r="N206" s="18">
        <v>39.269500000000001</v>
      </c>
      <c r="O206" s="18"/>
      <c r="P206" s="18">
        <f t="shared" si="53"/>
        <v>39.269500000000001</v>
      </c>
      <c r="Q206" s="18">
        <v>3</v>
      </c>
      <c r="R206" s="18"/>
      <c r="S206" s="18">
        <f t="shared" si="54"/>
        <v>3</v>
      </c>
      <c r="T206" s="18">
        <v>1</v>
      </c>
      <c r="U206" s="18"/>
      <c r="V206" s="18">
        <f t="shared" si="55"/>
        <v>1</v>
      </c>
      <c r="W206" s="18">
        <v>820.17</v>
      </c>
      <c r="X206" s="18"/>
      <c r="Y206" s="18">
        <f t="shared" si="56"/>
        <v>820.17</v>
      </c>
      <c r="Z206" s="18">
        <v>33.115200000000002</v>
      </c>
      <c r="AA206" s="18"/>
      <c r="AB206" s="18">
        <f t="shared" si="57"/>
        <v>33.115200000000002</v>
      </c>
      <c r="AC206" s="18">
        <v>111.44</v>
      </c>
      <c r="AD206" s="18"/>
      <c r="AE206" s="18">
        <f t="shared" si="58"/>
        <v>111.44</v>
      </c>
      <c r="AF206" s="18">
        <v>78324.800000000003</v>
      </c>
      <c r="AG206" s="18"/>
      <c r="AH206" s="18">
        <f t="shared" si="59"/>
        <v>78324.800000000003</v>
      </c>
      <c r="AI206" s="18">
        <v>136664.92000000001</v>
      </c>
      <c r="AJ206" s="18"/>
      <c r="AK206" s="18">
        <f t="shared" si="60"/>
        <v>136664.92000000001</v>
      </c>
      <c r="AL206" s="18">
        <v>1</v>
      </c>
      <c r="AM206" s="18"/>
      <c r="AN206" s="18">
        <f t="shared" si="61"/>
        <v>1</v>
      </c>
      <c r="AO206" s="18">
        <v>0</v>
      </c>
      <c r="AP206" s="18"/>
      <c r="AQ206" s="18">
        <f t="shared" si="62"/>
        <v>0</v>
      </c>
      <c r="AR206" s="18">
        <v>2</v>
      </c>
      <c r="AS206" s="18"/>
      <c r="AT206" s="18">
        <f t="shared" si="63"/>
        <v>2</v>
      </c>
      <c r="AU206" s="18">
        <v>224636.36</v>
      </c>
      <c r="AV206" s="18"/>
      <c r="AW206" s="18">
        <f t="shared" si="64"/>
        <v>224636.36</v>
      </c>
      <c r="AX206" s="18">
        <v>0</v>
      </c>
      <c r="AY206" s="18"/>
      <c r="AZ206" s="18">
        <f t="shared" si="65"/>
        <v>0</v>
      </c>
      <c r="BA206" s="18">
        <v>0</v>
      </c>
      <c r="BB206" s="18"/>
      <c r="BC206" s="18">
        <f t="shared" si="66"/>
        <v>0</v>
      </c>
      <c r="BD206" s="18">
        <v>0</v>
      </c>
      <c r="BE206" s="18"/>
      <c r="BF206" s="18">
        <f t="shared" si="67"/>
        <v>0</v>
      </c>
    </row>
    <row r="207" spans="1:58" ht="25.5" x14ac:dyDescent="0.25">
      <c r="A207" s="124" t="s">
        <v>1322</v>
      </c>
      <c r="B207" s="124" t="s">
        <v>1468</v>
      </c>
      <c r="C207" s="18" t="s">
        <v>1837</v>
      </c>
      <c r="D207" s="18" t="s">
        <v>1838</v>
      </c>
      <c r="E207" s="18" t="s">
        <v>1471</v>
      </c>
      <c r="F207" s="18" t="s">
        <v>1111</v>
      </c>
      <c r="G207" s="119">
        <v>43343</v>
      </c>
      <c r="H207" s="18">
        <v>3</v>
      </c>
      <c r="I207" s="18"/>
      <c r="J207" s="18">
        <f t="shared" si="51"/>
        <v>3</v>
      </c>
      <c r="K207" s="18">
        <v>0</v>
      </c>
      <c r="L207" s="18"/>
      <c r="M207" s="18">
        <f t="shared" si="52"/>
        <v>0</v>
      </c>
      <c r="N207" s="18">
        <v>21.75</v>
      </c>
      <c r="O207" s="18"/>
      <c r="P207" s="18">
        <f t="shared" si="53"/>
        <v>21.75</v>
      </c>
      <c r="Q207" s="18">
        <v>4</v>
      </c>
      <c r="R207" s="18"/>
      <c r="S207" s="18">
        <f t="shared" si="54"/>
        <v>4</v>
      </c>
      <c r="T207" s="18">
        <v>1</v>
      </c>
      <c r="U207" s="18"/>
      <c r="V207" s="18">
        <f t="shared" si="55"/>
        <v>1</v>
      </c>
      <c r="W207" s="18">
        <v>289.39999999999998</v>
      </c>
      <c r="X207" s="18"/>
      <c r="Y207" s="18">
        <f t="shared" si="56"/>
        <v>289.39999999999998</v>
      </c>
      <c r="Z207" s="18">
        <v>19.087</v>
      </c>
      <c r="AA207" s="18"/>
      <c r="AB207" s="18">
        <f t="shared" si="57"/>
        <v>19.087</v>
      </c>
      <c r="AC207" s="18">
        <v>59.21</v>
      </c>
      <c r="AD207" s="18"/>
      <c r="AE207" s="18">
        <f t="shared" si="58"/>
        <v>59.21</v>
      </c>
      <c r="AF207" s="18">
        <v>40118.28</v>
      </c>
      <c r="AG207" s="18"/>
      <c r="AH207" s="18">
        <f t="shared" si="59"/>
        <v>40118.28</v>
      </c>
      <c r="AI207" s="18">
        <v>44986.13</v>
      </c>
      <c r="AJ207" s="18"/>
      <c r="AK207" s="18">
        <f t="shared" si="60"/>
        <v>44986.13</v>
      </c>
      <c r="AL207" s="18">
        <v>55.04</v>
      </c>
      <c r="AM207" s="18"/>
      <c r="AN207" s="18">
        <f t="shared" si="61"/>
        <v>55.04</v>
      </c>
      <c r="AO207" s="18">
        <v>0</v>
      </c>
      <c r="AP207" s="18"/>
      <c r="AQ207" s="18">
        <f t="shared" si="62"/>
        <v>0</v>
      </c>
      <c r="AR207" s="18">
        <v>280.26</v>
      </c>
      <c r="AS207" s="18"/>
      <c r="AT207" s="18">
        <f t="shared" si="63"/>
        <v>280.26</v>
      </c>
      <c r="AU207" s="18">
        <v>78601.5</v>
      </c>
      <c r="AV207" s="18"/>
      <c r="AW207" s="18">
        <f t="shared" si="64"/>
        <v>78601.5</v>
      </c>
      <c r="AX207" s="18">
        <v>3.0000000000000001E-3</v>
      </c>
      <c r="AY207" s="18"/>
      <c r="AZ207" s="18">
        <f t="shared" si="65"/>
        <v>3.0000000000000001E-3</v>
      </c>
      <c r="BA207" s="18">
        <v>3.0000000000000001E-3</v>
      </c>
      <c r="BB207" s="18"/>
      <c r="BC207" s="18">
        <f t="shared" si="66"/>
        <v>3.0000000000000001E-3</v>
      </c>
      <c r="BD207" s="18">
        <v>0</v>
      </c>
      <c r="BE207" s="18"/>
      <c r="BF207" s="18">
        <f t="shared" si="67"/>
        <v>0</v>
      </c>
    </row>
    <row r="208" spans="1:58" ht="38.25" x14ac:dyDescent="0.25">
      <c r="A208" s="124" t="s">
        <v>1323</v>
      </c>
      <c r="B208" s="124" t="s">
        <v>1468</v>
      </c>
      <c r="C208" s="18" t="s">
        <v>1839</v>
      </c>
      <c r="D208" s="18" t="s">
        <v>1840</v>
      </c>
      <c r="E208" s="18" t="s">
        <v>1503</v>
      </c>
      <c r="F208" s="18" t="s">
        <v>1111</v>
      </c>
      <c r="G208" s="119">
        <v>43585</v>
      </c>
      <c r="H208" s="18">
        <v>0</v>
      </c>
      <c r="I208" s="18"/>
      <c r="J208" s="18">
        <f t="shared" si="51"/>
        <v>0</v>
      </c>
      <c r="K208" s="18">
        <v>0</v>
      </c>
      <c r="L208" s="18"/>
      <c r="M208" s="18">
        <f t="shared" si="52"/>
        <v>0</v>
      </c>
      <c r="N208" s="18">
        <v>4.3700000000000003E-2</v>
      </c>
      <c r="O208" s="18"/>
      <c r="P208" s="18">
        <f t="shared" si="53"/>
        <v>0</v>
      </c>
      <c r="Q208" s="18">
        <v>3</v>
      </c>
      <c r="R208" s="18"/>
      <c r="S208" s="18">
        <f t="shared" si="54"/>
        <v>0</v>
      </c>
      <c r="T208" s="18">
        <v>1</v>
      </c>
      <c r="U208" s="18"/>
      <c r="V208" s="18">
        <f t="shared" si="55"/>
        <v>0</v>
      </c>
      <c r="W208" s="18">
        <v>2016.74</v>
      </c>
      <c r="X208" s="18"/>
      <c r="Y208" s="18">
        <f t="shared" si="56"/>
        <v>0</v>
      </c>
      <c r="Z208" s="18">
        <v>64.631100000000004</v>
      </c>
      <c r="AA208" s="18"/>
      <c r="AB208" s="18">
        <f t="shared" si="57"/>
        <v>0</v>
      </c>
      <c r="AC208" s="18">
        <v>154.768</v>
      </c>
      <c r="AD208" s="18"/>
      <c r="AE208" s="18">
        <f t="shared" si="58"/>
        <v>0</v>
      </c>
      <c r="AF208" s="18">
        <v>90136.88</v>
      </c>
      <c r="AG208" s="18"/>
      <c r="AH208" s="18">
        <f t="shared" si="59"/>
        <v>0</v>
      </c>
      <c r="AI208" s="18">
        <v>154058.76999999999</v>
      </c>
      <c r="AJ208" s="18"/>
      <c r="AK208" s="18">
        <f t="shared" si="60"/>
        <v>0</v>
      </c>
      <c r="AL208" s="18">
        <v>65.42</v>
      </c>
      <c r="AM208" s="18"/>
      <c r="AN208" s="18">
        <f t="shared" si="61"/>
        <v>0</v>
      </c>
      <c r="AO208" s="18">
        <v>8.02</v>
      </c>
      <c r="AP208" s="18"/>
      <c r="AQ208" s="18">
        <f t="shared" si="62"/>
        <v>0</v>
      </c>
      <c r="AR208" s="18">
        <v>39.64</v>
      </c>
      <c r="AS208" s="18"/>
      <c r="AT208" s="18">
        <f t="shared" si="63"/>
        <v>0</v>
      </c>
      <c r="AU208" s="18">
        <v>239992.06</v>
      </c>
      <c r="AV208" s="18"/>
      <c r="AW208" s="18">
        <f t="shared" si="64"/>
        <v>0</v>
      </c>
      <c r="AX208" s="18">
        <v>0</v>
      </c>
      <c r="AY208" s="18"/>
      <c r="AZ208" s="18">
        <f t="shared" si="65"/>
        <v>0</v>
      </c>
      <c r="BA208" s="18">
        <v>0</v>
      </c>
      <c r="BB208" s="18"/>
      <c r="BC208" s="18">
        <f t="shared" si="66"/>
        <v>0</v>
      </c>
      <c r="BD208" s="18">
        <v>0</v>
      </c>
      <c r="BE208" s="18"/>
      <c r="BF208" s="18">
        <f t="shared" si="67"/>
        <v>0</v>
      </c>
    </row>
    <row r="209" spans="1:58" ht="25.5" x14ac:dyDescent="0.25">
      <c r="A209" s="124" t="s">
        <v>1324</v>
      </c>
      <c r="B209" s="124" t="s">
        <v>1468</v>
      </c>
      <c r="C209" s="18" t="s">
        <v>1841</v>
      </c>
      <c r="D209" s="18" t="s">
        <v>1842</v>
      </c>
      <c r="E209" s="18" t="s">
        <v>1503</v>
      </c>
      <c r="F209" s="18" t="s">
        <v>1111</v>
      </c>
      <c r="G209" s="119">
        <v>43465</v>
      </c>
      <c r="H209" s="18">
        <v>0</v>
      </c>
      <c r="I209" s="18"/>
      <c r="J209" s="18">
        <f t="shared" si="51"/>
        <v>0</v>
      </c>
      <c r="K209" s="18">
        <v>3.6</v>
      </c>
      <c r="L209" s="18"/>
      <c r="M209" s="18">
        <f t="shared" si="52"/>
        <v>3.6</v>
      </c>
      <c r="N209" s="18">
        <v>27.731000000000002</v>
      </c>
      <c r="O209" s="18"/>
      <c r="P209" s="18">
        <f t="shared" si="53"/>
        <v>27.731000000000002</v>
      </c>
      <c r="Q209" s="18">
        <v>3</v>
      </c>
      <c r="R209" s="18"/>
      <c r="S209" s="18">
        <f t="shared" si="54"/>
        <v>3</v>
      </c>
      <c r="T209" s="18">
        <v>1</v>
      </c>
      <c r="U209" s="18"/>
      <c r="V209" s="18">
        <f t="shared" si="55"/>
        <v>1</v>
      </c>
      <c r="W209" s="18">
        <v>1453.78</v>
      </c>
      <c r="X209" s="18"/>
      <c r="Y209" s="18">
        <f t="shared" si="56"/>
        <v>1453.78</v>
      </c>
      <c r="Z209" s="18">
        <v>55.5</v>
      </c>
      <c r="AA209" s="18"/>
      <c r="AB209" s="18">
        <f t="shared" si="57"/>
        <v>55.5</v>
      </c>
      <c r="AC209" s="18">
        <v>167.3</v>
      </c>
      <c r="AD209" s="18"/>
      <c r="AE209" s="18">
        <f t="shared" si="58"/>
        <v>167.3</v>
      </c>
      <c r="AF209" s="18">
        <v>111839</v>
      </c>
      <c r="AG209" s="18"/>
      <c r="AH209" s="18">
        <f t="shared" si="59"/>
        <v>111839</v>
      </c>
      <c r="AI209" s="18">
        <v>204351</v>
      </c>
      <c r="AJ209" s="18"/>
      <c r="AK209" s="18">
        <f t="shared" si="60"/>
        <v>204351</v>
      </c>
      <c r="AL209" s="18">
        <v>28.71</v>
      </c>
      <c r="AM209" s="18"/>
      <c r="AN209" s="18">
        <f t="shared" si="61"/>
        <v>28.71</v>
      </c>
      <c r="AO209" s="18">
        <v>1.65</v>
      </c>
      <c r="AP209" s="18"/>
      <c r="AQ209" s="18">
        <f t="shared" si="62"/>
        <v>1.65</v>
      </c>
      <c r="AR209" s="18">
        <v>1.42</v>
      </c>
      <c r="AS209" s="18"/>
      <c r="AT209" s="18">
        <f t="shared" si="63"/>
        <v>1.42</v>
      </c>
      <c r="AU209" s="18">
        <v>349374</v>
      </c>
      <c r="AV209" s="18"/>
      <c r="AW209" s="18">
        <f t="shared" si="64"/>
        <v>349374</v>
      </c>
      <c r="AX209" s="18">
        <v>0</v>
      </c>
      <c r="AY209" s="18"/>
      <c r="AZ209" s="18">
        <f t="shared" si="65"/>
        <v>0</v>
      </c>
      <c r="BA209" s="18">
        <v>2.3999999999999998E-3</v>
      </c>
      <c r="BB209" s="18"/>
      <c r="BC209" s="18">
        <f t="shared" si="66"/>
        <v>2.3999999999999998E-3</v>
      </c>
      <c r="BD209" s="18">
        <v>2.3999999999999998E-3</v>
      </c>
      <c r="BE209" s="18"/>
      <c r="BF209" s="18">
        <f t="shared" si="67"/>
        <v>2.3999999999999998E-3</v>
      </c>
    </row>
    <row r="210" spans="1:58" ht="25.5" x14ac:dyDescent="0.25">
      <c r="A210" s="124" t="s">
        <v>1325</v>
      </c>
      <c r="B210" s="124" t="s">
        <v>1468</v>
      </c>
      <c r="C210" s="18" t="s">
        <v>1843</v>
      </c>
      <c r="D210" s="18" t="s">
        <v>1844</v>
      </c>
      <c r="E210" s="18" t="s">
        <v>1489</v>
      </c>
      <c r="F210" s="18" t="s">
        <v>1111</v>
      </c>
      <c r="G210" s="119">
        <v>43100</v>
      </c>
      <c r="H210" s="18">
        <v>0</v>
      </c>
      <c r="I210" s="18"/>
      <c r="J210" s="18">
        <f t="shared" si="51"/>
        <v>0</v>
      </c>
      <c r="K210" s="18">
        <v>45.756</v>
      </c>
      <c r="L210" s="18"/>
      <c r="M210" s="18">
        <f t="shared" si="52"/>
        <v>45.756</v>
      </c>
      <c r="N210" s="18">
        <v>71.533000000000001</v>
      </c>
      <c r="O210" s="18"/>
      <c r="P210" s="18">
        <f t="shared" si="53"/>
        <v>71.533000000000001</v>
      </c>
      <c r="Q210" s="18">
        <v>3</v>
      </c>
      <c r="R210" s="18"/>
      <c r="S210" s="18">
        <f t="shared" si="54"/>
        <v>3</v>
      </c>
      <c r="T210" s="18">
        <v>1</v>
      </c>
      <c r="U210" s="18"/>
      <c r="V210" s="18">
        <f t="shared" si="55"/>
        <v>1</v>
      </c>
      <c r="W210" s="18">
        <v>1299</v>
      </c>
      <c r="X210" s="18"/>
      <c r="Y210" s="18">
        <f t="shared" si="56"/>
        <v>1299</v>
      </c>
      <c r="Z210" s="18">
        <v>26.503</v>
      </c>
      <c r="AA210" s="18"/>
      <c r="AB210" s="18">
        <f t="shared" si="57"/>
        <v>26.503</v>
      </c>
      <c r="AC210" s="18">
        <v>260.596</v>
      </c>
      <c r="AD210" s="18"/>
      <c r="AE210" s="18">
        <f t="shared" si="58"/>
        <v>260.596</v>
      </c>
      <c r="AF210" s="18">
        <v>234093</v>
      </c>
      <c r="AG210" s="18"/>
      <c r="AH210" s="18">
        <f t="shared" si="59"/>
        <v>234093</v>
      </c>
      <c r="AI210" s="18">
        <v>234093</v>
      </c>
      <c r="AJ210" s="18"/>
      <c r="AK210" s="18">
        <f t="shared" si="60"/>
        <v>234093</v>
      </c>
      <c r="AL210" s="18">
        <v>58</v>
      </c>
      <c r="AM210" s="18"/>
      <c r="AN210" s="18">
        <f t="shared" si="61"/>
        <v>58</v>
      </c>
      <c r="AO210" s="18">
        <v>3</v>
      </c>
      <c r="AP210" s="18"/>
      <c r="AQ210" s="18">
        <f t="shared" si="62"/>
        <v>3</v>
      </c>
      <c r="AR210" s="18">
        <v>1</v>
      </c>
      <c r="AS210" s="18"/>
      <c r="AT210" s="18">
        <f t="shared" si="63"/>
        <v>1</v>
      </c>
      <c r="AU210" s="18">
        <v>598112</v>
      </c>
      <c r="AV210" s="18"/>
      <c r="AW210" s="18">
        <f t="shared" si="64"/>
        <v>598112</v>
      </c>
      <c r="AX210" s="18">
        <v>0</v>
      </c>
      <c r="AY210" s="18"/>
      <c r="AZ210" s="18">
        <f t="shared" si="65"/>
        <v>0</v>
      </c>
      <c r="BA210" s="18">
        <v>0.113</v>
      </c>
      <c r="BB210" s="18"/>
      <c r="BC210" s="18">
        <f t="shared" si="66"/>
        <v>0.113</v>
      </c>
      <c r="BD210" s="18">
        <v>0.113</v>
      </c>
      <c r="BE210" s="18"/>
      <c r="BF210" s="18">
        <f t="shared" si="67"/>
        <v>0.113</v>
      </c>
    </row>
    <row r="211" spans="1:58" ht="25.5" x14ac:dyDescent="0.25">
      <c r="A211" s="124" t="s">
        <v>1326</v>
      </c>
      <c r="B211" s="124" t="s">
        <v>1468</v>
      </c>
      <c r="C211" s="18" t="s">
        <v>1845</v>
      </c>
      <c r="D211" s="18" t="s">
        <v>1846</v>
      </c>
      <c r="E211" s="18" t="s">
        <v>1500</v>
      </c>
      <c r="F211" s="18" t="s">
        <v>1111</v>
      </c>
      <c r="G211" s="119">
        <v>42978</v>
      </c>
      <c r="H211" s="18">
        <v>0</v>
      </c>
      <c r="I211" s="18"/>
      <c r="J211" s="18">
        <f t="shared" si="51"/>
        <v>0</v>
      </c>
      <c r="K211" s="18">
        <v>0</v>
      </c>
      <c r="L211" s="18"/>
      <c r="M211" s="18">
        <f t="shared" si="52"/>
        <v>0</v>
      </c>
      <c r="N211" s="18">
        <v>37</v>
      </c>
      <c r="O211" s="18"/>
      <c r="P211" s="18">
        <f t="shared" si="53"/>
        <v>37</v>
      </c>
      <c r="Q211" s="18">
        <v>3</v>
      </c>
      <c r="R211" s="18"/>
      <c r="S211" s="18">
        <f t="shared" si="54"/>
        <v>3</v>
      </c>
      <c r="T211" s="18">
        <v>1</v>
      </c>
      <c r="U211" s="18"/>
      <c r="V211" s="18">
        <f t="shared" si="55"/>
        <v>1</v>
      </c>
      <c r="W211" s="18">
        <v>840.8</v>
      </c>
      <c r="X211" s="18"/>
      <c r="Y211" s="18">
        <f t="shared" si="56"/>
        <v>840.8</v>
      </c>
      <c r="Z211" s="18">
        <v>18</v>
      </c>
      <c r="AA211" s="18"/>
      <c r="AB211" s="18">
        <f t="shared" si="57"/>
        <v>18</v>
      </c>
      <c r="AC211" s="18">
        <v>138</v>
      </c>
      <c r="AD211" s="18"/>
      <c r="AE211" s="18">
        <f t="shared" si="58"/>
        <v>138</v>
      </c>
      <c r="AF211" s="18">
        <v>120000</v>
      </c>
      <c r="AG211" s="18"/>
      <c r="AH211" s="18">
        <f t="shared" si="59"/>
        <v>120000</v>
      </c>
      <c r="AI211" s="18">
        <v>120000</v>
      </c>
      <c r="AJ211" s="18"/>
      <c r="AK211" s="18">
        <f t="shared" si="60"/>
        <v>120000</v>
      </c>
      <c r="AL211" s="18">
        <v>0</v>
      </c>
      <c r="AM211" s="18"/>
      <c r="AN211" s="18">
        <f t="shared" si="61"/>
        <v>0</v>
      </c>
      <c r="AO211" s="18">
        <v>0</v>
      </c>
      <c r="AP211" s="18"/>
      <c r="AQ211" s="18">
        <f t="shared" si="62"/>
        <v>0</v>
      </c>
      <c r="AR211" s="18">
        <v>0</v>
      </c>
      <c r="AS211" s="18"/>
      <c r="AT211" s="18">
        <f t="shared" si="63"/>
        <v>0</v>
      </c>
      <c r="AU211" s="18">
        <v>295370</v>
      </c>
      <c r="AV211" s="18"/>
      <c r="AW211" s="18">
        <f t="shared" si="64"/>
        <v>295370</v>
      </c>
      <c r="AX211" s="18">
        <v>0</v>
      </c>
      <c r="AY211" s="18"/>
      <c r="AZ211" s="18">
        <f t="shared" si="65"/>
        <v>0</v>
      </c>
      <c r="BA211" s="18">
        <v>0</v>
      </c>
      <c r="BB211" s="18"/>
      <c r="BC211" s="18">
        <f t="shared" si="66"/>
        <v>0</v>
      </c>
      <c r="BD211" s="18">
        <v>0</v>
      </c>
      <c r="BE211" s="18"/>
      <c r="BF211" s="18">
        <f t="shared" si="67"/>
        <v>0</v>
      </c>
    </row>
    <row r="212" spans="1:58" ht="38.25" x14ac:dyDescent="0.25">
      <c r="A212" s="124" t="s">
        <v>1327</v>
      </c>
      <c r="B212" s="124" t="s">
        <v>1468</v>
      </c>
      <c r="C212" s="18" t="s">
        <v>1847</v>
      </c>
      <c r="D212" s="18" t="s">
        <v>1848</v>
      </c>
      <c r="E212" s="18" t="s">
        <v>1474</v>
      </c>
      <c r="F212" s="18" t="s">
        <v>1111</v>
      </c>
      <c r="G212" s="119">
        <v>43404</v>
      </c>
      <c r="H212" s="18">
        <v>9.5</v>
      </c>
      <c r="I212" s="18"/>
      <c r="J212" s="18">
        <f t="shared" si="51"/>
        <v>9.5</v>
      </c>
      <c r="K212" s="18">
        <v>0</v>
      </c>
      <c r="L212" s="18"/>
      <c r="M212" s="18">
        <f t="shared" si="52"/>
        <v>0</v>
      </c>
      <c r="N212" s="18">
        <v>33.67</v>
      </c>
      <c r="O212" s="18"/>
      <c r="P212" s="18">
        <f t="shared" si="53"/>
        <v>33.67</v>
      </c>
      <c r="Q212" s="18">
        <v>4</v>
      </c>
      <c r="R212" s="18"/>
      <c r="S212" s="18">
        <f t="shared" si="54"/>
        <v>4</v>
      </c>
      <c r="T212" s="18">
        <v>1</v>
      </c>
      <c r="U212" s="18"/>
      <c r="V212" s="18">
        <f t="shared" si="55"/>
        <v>1</v>
      </c>
      <c r="W212" s="18">
        <v>2515</v>
      </c>
      <c r="X212" s="18"/>
      <c r="Y212" s="18">
        <f t="shared" si="56"/>
        <v>2515</v>
      </c>
      <c r="Z212" s="18">
        <v>34.299999999999997</v>
      </c>
      <c r="AA212" s="18"/>
      <c r="AB212" s="18">
        <f t="shared" si="57"/>
        <v>34.299999999999997</v>
      </c>
      <c r="AC212" s="18">
        <v>155.16999999999999</v>
      </c>
      <c r="AD212" s="18"/>
      <c r="AE212" s="18">
        <f t="shared" si="58"/>
        <v>155.16999999999999</v>
      </c>
      <c r="AF212" s="18">
        <v>120882.94</v>
      </c>
      <c r="AG212" s="18"/>
      <c r="AH212" s="18">
        <f t="shared" si="59"/>
        <v>120882.94</v>
      </c>
      <c r="AI212" s="18">
        <v>129673.25</v>
      </c>
      <c r="AJ212" s="18"/>
      <c r="AK212" s="18">
        <f t="shared" si="60"/>
        <v>129673.25</v>
      </c>
      <c r="AL212" s="18">
        <v>17.87</v>
      </c>
      <c r="AM212" s="18"/>
      <c r="AN212" s="18">
        <f t="shared" si="61"/>
        <v>17.87</v>
      </c>
      <c r="AO212" s="18">
        <v>0</v>
      </c>
      <c r="AP212" s="18"/>
      <c r="AQ212" s="18">
        <f t="shared" si="62"/>
        <v>0</v>
      </c>
      <c r="AR212" s="18">
        <v>0.11</v>
      </c>
      <c r="AS212" s="18"/>
      <c r="AT212" s="18">
        <f t="shared" si="63"/>
        <v>0.11</v>
      </c>
      <c r="AU212" s="18">
        <v>198273</v>
      </c>
      <c r="AV212" s="18"/>
      <c r="AW212" s="18">
        <f t="shared" si="64"/>
        <v>198273</v>
      </c>
      <c r="AX212" s="18">
        <v>5.0000000000000001E-3</v>
      </c>
      <c r="AY212" s="18"/>
      <c r="AZ212" s="18">
        <f t="shared" si="65"/>
        <v>5.0000000000000001E-3</v>
      </c>
      <c r="BA212" s="18">
        <v>5.0000000000000001E-3</v>
      </c>
      <c r="BB212" s="18"/>
      <c r="BC212" s="18">
        <f t="shared" si="66"/>
        <v>5.0000000000000001E-3</v>
      </c>
      <c r="BD212" s="18">
        <v>0</v>
      </c>
      <c r="BE212" s="18"/>
      <c r="BF212" s="18">
        <f t="shared" si="67"/>
        <v>0</v>
      </c>
    </row>
    <row r="213" spans="1:58" ht="38.25" x14ac:dyDescent="0.25">
      <c r="A213" s="124" t="s">
        <v>1328</v>
      </c>
      <c r="B213" s="124" t="s">
        <v>1468</v>
      </c>
      <c r="C213" s="18" t="s">
        <v>1849</v>
      </c>
      <c r="D213" s="18" t="s">
        <v>1850</v>
      </c>
      <c r="E213" s="18" t="s">
        <v>1483</v>
      </c>
      <c r="F213" s="18" t="s">
        <v>1111</v>
      </c>
      <c r="G213" s="119">
        <v>43131</v>
      </c>
      <c r="H213" s="18">
        <v>0</v>
      </c>
      <c r="I213" s="18"/>
      <c r="J213" s="18">
        <f t="shared" si="51"/>
        <v>0</v>
      </c>
      <c r="K213" s="18">
        <v>0</v>
      </c>
      <c r="L213" s="18"/>
      <c r="M213" s="18">
        <f t="shared" si="52"/>
        <v>0</v>
      </c>
      <c r="N213" s="18">
        <v>9.8469999999999995</v>
      </c>
      <c r="O213" s="18"/>
      <c r="P213" s="18">
        <f t="shared" si="53"/>
        <v>9.8469999999999995</v>
      </c>
      <c r="Q213" s="18">
        <v>4</v>
      </c>
      <c r="R213" s="18"/>
      <c r="S213" s="18">
        <f t="shared" si="54"/>
        <v>4</v>
      </c>
      <c r="T213" s="18">
        <v>1</v>
      </c>
      <c r="U213" s="18"/>
      <c r="V213" s="18">
        <f t="shared" si="55"/>
        <v>1</v>
      </c>
      <c r="W213" s="18">
        <v>1352.38</v>
      </c>
      <c r="X213" s="18"/>
      <c r="Y213" s="18">
        <f t="shared" si="56"/>
        <v>1352.38</v>
      </c>
      <c r="Z213" s="18">
        <v>12.32</v>
      </c>
      <c r="AA213" s="18"/>
      <c r="AB213" s="18">
        <f t="shared" si="57"/>
        <v>12.32</v>
      </c>
      <c r="AC213" s="18">
        <v>61.21</v>
      </c>
      <c r="AD213" s="18"/>
      <c r="AE213" s="18">
        <f t="shared" si="58"/>
        <v>61.21</v>
      </c>
      <c r="AF213" s="18">
        <v>48890</v>
      </c>
      <c r="AG213" s="18"/>
      <c r="AH213" s="18">
        <f t="shared" si="59"/>
        <v>48890</v>
      </c>
      <c r="AI213" s="18">
        <v>209464</v>
      </c>
      <c r="AJ213" s="18"/>
      <c r="AK213" s="18">
        <f t="shared" si="60"/>
        <v>209464</v>
      </c>
      <c r="AL213" s="18">
        <v>7.77</v>
      </c>
      <c r="AM213" s="18"/>
      <c r="AN213" s="18">
        <f t="shared" si="61"/>
        <v>7.77</v>
      </c>
      <c r="AO213" s="18">
        <v>0.36080000000000001</v>
      </c>
      <c r="AP213" s="18"/>
      <c r="AQ213" s="18">
        <f t="shared" si="62"/>
        <v>0.36080000000000001</v>
      </c>
      <c r="AR213" s="18">
        <v>0</v>
      </c>
      <c r="AS213" s="18"/>
      <c r="AT213" s="18">
        <f t="shared" si="63"/>
        <v>0</v>
      </c>
      <c r="AU213" s="18">
        <v>387820</v>
      </c>
      <c r="AV213" s="18"/>
      <c r="AW213" s="18">
        <f t="shared" si="64"/>
        <v>387820</v>
      </c>
      <c r="AX213" s="18">
        <v>0</v>
      </c>
      <c r="AY213" s="18"/>
      <c r="AZ213" s="18">
        <f t="shared" si="65"/>
        <v>0</v>
      </c>
      <c r="BA213" s="18">
        <v>0</v>
      </c>
      <c r="BB213" s="18"/>
      <c r="BC213" s="18">
        <f t="shared" si="66"/>
        <v>0</v>
      </c>
      <c r="BD213" s="18">
        <v>0</v>
      </c>
      <c r="BE213" s="18"/>
      <c r="BF213" s="18">
        <f t="shared" si="67"/>
        <v>0</v>
      </c>
    </row>
    <row r="214" spans="1:58" ht="38.25" x14ac:dyDescent="0.25">
      <c r="A214" s="124" t="s">
        <v>1329</v>
      </c>
      <c r="B214" s="124" t="s">
        <v>1468</v>
      </c>
      <c r="C214" s="18" t="s">
        <v>1851</v>
      </c>
      <c r="D214" s="18" t="s">
        <v>1852</v>
      </c>
      <c r="E214" s="18" t="s">
        <v>1500</v>
      </c>
      <c r="F214" s="18" t="s">
        <v>1111</v>
      </c>
      <c r="G214" s="119">
        <v>43008</v>
      </c>
      <c r="H214" s="18">
        <v>0</v>
      </c>
      <c r="I214" s="18">
        <v>0</v>
      </c>
      <c r="J214" s="18">
        <f t="shared" si="51"/>
        <v>0</v>
      </c>
      <c r="K214" s="18">
        <v>3.9119999999999999</v>
      </c>
      <c r="L214" s="18">
        <v>0</v>
      </c>
      <c r="M214" s="18">
        <f t="shared" si="52"/>
        <v>3.9119999999999999</v>
      </c>
      <c r="N214" s="18">
        <v>0.96</v>
      </c>
      <c r="O214" s="18">
        <v>1.1100000000000001</v>
      </c>
      <c r="P214" s="18">
        <f t="shared" si="53"/>
        <v>0.96</v>
      </c>
      <c r="Q214" s="18">
        <v>8</v>
      </c>
      <c r="R214" s="18">
        <v>8</v>
      </c>
      <c r="S214" s="18">
        <f t="shared" si="54"/>
        <v>8</v>
      </c>
      <c r="T214" s="18">
        <v>1</v>
      </c>
      <c r="U214" s="18">
        <v>1</v>
      </c>
      <c r="V214" s="18">
        <f t="shared" si="55"/>
        <v>1</v>
      </c>
      <c r="W214" s="18">
        <v>232</v>
      </c>
      <c r="X214" s="18">
        <v>252</v>
      </c>
      <c r="Y214" s="18">
        <f t="shared" si="56"/>
        <v>232</v>
      </c>
      <c r="Z214" s="18">
        <v>15.310600000000001</v>
      </c>
      <c r="AA214" s="18">
        <v>0</v>
      </c>
      <c r="AB214" s="18">
        <f t="shared" si="57"/>
        <v>15.310600000000001</v>
      </c>
      <c r="AC214" s="18">
        <v>79.145700000000005</v>
      </c>
      <c r="AD214" s="18">
        <v>79.145700000000005</v>
      </c>
      <c r="AE214" s="18">
        <f t="shared" si="58"/>
        <v>79.145700000000005</v>
      </c>
      <c r="AF214" s="18">
        <v>63835.1</v>
      </c>
      <c r="AG214" s="18">
        <v>0</v>
      </c>
      <c r="AH214" s="18">
        <f t="shared" si="59"/>
        <v>63835.1</v>
      </c>
      <c r="AI214" s="18">
        <v>24932</v>
      </c>
      <c r="AJ214" s="18">
        <v>30259.279999999999</v>
      </c>
      <c r="AK214" s="18">
        <f t="shared" si="60"/>
        <v>24932</v>
      </c>
      <c r="AL214" s="18">
        <v>8</v>
      </c>
      <c r="AM214" s="18">
        <v>0</v>
      </c>
      <c r="AN214" s="18">
        <f t="shared" si="61"/>
        <v>8</v>
      </c>
      <c r="AO214" s="18">
        <v>1</v>
      </c>
      <c r="AP214" s="18">
        <v>0</v>
      </c>
      <c r="AQ214" s="18">
        <f t="shared" si="62"/>
        <v>1</v>
      </c>
      <c r="AR214" s="18">
        <v>3</v>
      </c>
      <c r="AS214" s="18">
        <v>0</v>
      </c>
      <c r="AT214" s="18">
        <f t="shared" si="63"/>
        <v>3</v>
      </c>
      <c r="AU214" s="18">
        <v>0</v>
      </c>
      <c r="AV214" s="18">
        <v>0</v>
      </c>
      <c r="AW214" s="18">
        <f t="shared" si="64"/>
        <v>0</v>
      </c>
      <c r="AX214" s="18">
        <v>0</v>
      </c>
      <c r="AY214" s="18">
        <v>0</v>
      </c>
      <c r="AZ214" s="18">
        <f t="shared" si="65"/>
        <v>0</v>
      </c>
      <c r="BA214" s="18">
        <v>3.8999999999999998E-3</v>
      </c>
      <c r="BB214" s="18">
        <v>0</v>
      </c>
      <c r="BC214" s="18">
        <f t="shared" si="66"/>
        <v>3.8999999999999998E-3</v>
      </c>
      <c r="BD214" s="18">
        <v>3.8999999999999998E-3</v>
      </c>
      <c r="BE214" s="18">
        <v>0</v>
      </c>
      <c r="BF214" s="18">
        <f t="shared" si="67"/>
        <v>3.8999999999999998E-3</v>
      </c>
    </row>
    <row r="215" spans="1:58" ht="25.5" x14ac:dyDescent="0.25">
      <c r="A215" s="124" t="s">
        <v>1330</v>
      </c>
      <c r="B215" s="124" t="s">
        <v>1468</v>
      </c>
      <c r="C215" s="18" t="s">
        <v>1853</v>
      </c>
      <c r="D215" s="18" t="s">
        <v>1854</v>
      </c>
      <c r="E215" s="18" t="s">
        <v>1474</v>
      </c>
      <c r="F215" s="18" t="s">
        <v>1111</v>
      </c>
      <c r="G215" s="119">
        <v>43159</v>
      </c>
      <c r="H215" s="18">
        <v>0</v>
      </c>
      <c r="I215" s="18"/>
      <c r="J215" s="18">
        <f t="shared" si="51"/>
        <v>0</v>
      </c>
      <c r="K215" s="18">
        <v>0</v>
      </c>
      <c r="L215" s="18"/>
      <c r="M215" s="18">
        <f t="shared" si="52"/>
        <v>0</v>
      </c>
      <c r="N215" s="18">
        <v>0</v>
      </c>
      <c r="O215" s="18"/>
      <c r="P215" s="18">
        <f t="shared" si="53"/>
        <v>0</v>
      </c>
      <c r="Q215" s="18">
        <v>0</v>
      </c>
      <c r="R215" s="18"/>
      <c r="S215" s="18">
        <f t="shared" si="54"/>
        <v>0</v>
      </c>
      <c r="T215" s="18">
        <v>1</v>
      </c>
      <c r="U215" s="18"/>
      <c r="V215" s="18">
        <f t="shared" si="55"/>
        <v>1</v>
      </c>
      <c r="W215" s="18">
        <v>0</v>
      </c>
      <c r="X215" s="18"/>
      <c r="Y215" s="18">
        <f t="shared" si="56"/>
        <v>0</v>
      </c>
      <c r="Z215" s="18">
        <v>11.88</v>
      </c>
      <c r="AA215" s="18"/>
      <c r="AB215" s="18">
        <f t="shared" si="57"/>
        <v>11.88</v>
      </c>
      <c r="AC215" s="18">
        <v>126.07</v>
      </c>
      <c r="AD215" s="18"/>
      <c r="AE215" s="18">
        <f t="shared" si="58"/>
        <v>126.07</v>
      </c>
      <c r="AF215" s="18">
        <v>0</v>
      </c>
      <c r="AG215" s="18"/>
      <c r="AH215" s="18">
        <f t="shared" si="59"/>
        <v>0</v>
      </c>
      <c r="AI215" s="18">
        <v>114189.91</v>
      </c>
      <c r="AJ215" s="18"/>
      <c r="AK215" s="18">
        <f t="shared" si="60"/>
        <v>114189.91</v>
      </c>
      <c r="AL215" s="18">
        <v>0</v>
      </c>
      <c r="AM215" s="18"/>
      <c r="AN215" s="18">
        <f t="shared" si="61"/>
        <v>0</v>
      </c>
      <c r="AO215" s="18">
        <v>0</v>
      </c>
      <c r="AP215" s="18"/>
      <c r="AQ215" s="18">
        <f t="shared" si="62"/>
        <v>0</v>
      </c>
      <c r="AR215" s="18">
        <v>0</v>
      </c>
      <c r="AS215" s="18"/>
      <c r="AT215" s="18">
        <f t="shared" si="63"/>
        <v>0</v>
      </c>
      <c r="AU215" s="18">
        <v>163223.19</v>
      </c>
      <c r="AV215" s="18"/>
      <c r="AW215" s="18">
        <f t="shared" si="64"/>
        <v>163223.19</v>
      </c>
      <c r="AX215" s="18">
        <v>0</v>
      </c>
      <c r="AY215" s="18"/>
      <c r="AZ215" s="18">
        <f t="shared" si="65"/>
        <v>0</v>
      </c>
      <c r="BA215" s="18">
        <v>0</v>
      </c>
      <c r="BB215" s="18"/>
      <c r="BC215" s="18">
        <f t="shared" si="66"/>
        <v>0</v>
      </c>
      <c r="BD215" s="18">
        <v>0</v>
      </c>
      <c r="BE215" s="18"/>
      <c r="BF215" s="18">
        <f t="shared" si="67"/>
        <v>0</v>
      </c>
    </row>
    <row r="216" spans="1:58" ht="25.5" x14ac:dyDescent="0.25">
      <c r="A216" s="124" t="s">
        <v>1331</v>
      </c>
      <c r="B216" s="124" t="s">
        <v>1468</v>
      </c>
      <c r="C216" s="18" t="s">
        <v>1855</v>
      </c>
      <c r="D216" s="18" t="s">
        <v>1856</v>
      </c>
      <c r="E216" s="18" t="s">
        <v>1483</v>
      </c>
      <c r="F216" s="18" t="s">
        <v>1111</v>
      </c>
      <c r="G216" s="119">
        <v>43524</v>
      </c>
      <c r="H216" s="18">
        <v>0</v>
      </c>
      <c r="I216" s="18"/>
      <c r="J216" s="18">
        <f t="shared" si="51"/>
        <v>0</v>
      </c>
      <c r="K216" s="18">
        <v>40.53</v>
      </c>
      <c r="L216" s="18"/>
      <c r="M216" s="18">
        <f t="shared" si="52"/>
        <v>0</v>
      </c>
      <c r="N216" s="18">
        <v>5.92</v>
      </c>
      <c r="O216" s="18"/>
      <c r="P216" s="18">
        <f t="shared" si="53"/>
        <v>0</v>
      </c>
      <c r="Q216" s="18">
        <v>2</v>
      </c>
      <c r="R216" s="18"/>
      <c r="S216" s="18">
        <f t="shared" si="54"/>
        <v>0</v>
      </c>
      <c r="T216" s="18">
        <v>1</v>
      </c>
      <c r="U216" s="18"/>
      <c r="V216" s="18">
        <f t="shared" si="55"/>
        <v>0</v>
      </c>
      <c r="W216" s="18">
        <v>1044.9000000000001</v>
      </c>
      <c r="X216" s="18"/>
      <c r="Y216" s="18">
        <f t="shared" si="56"/>
        <v>0</v>
      </c>
      <c r="Z216" s="18">
        <v>15.194000000000001</v>
      </c>
      <c r="AA216" s="18"/>
      <c r="AB216" s="18">
        <f t="shared" si="57"/>
        <v>0</v>
      </c>
      <c r="AC216" s="18">
        <v>30.692</v>
      </c>
      <c r="AD216" s="18"/>
      <c r="AE216" s="18">
        <f t="shared" si="58"/>
        <v>0</v>
      </c>
      <c r="AF216" s="18">
        <v>15498</v>
      </c>
      <c r="AG216" s="18"/>
      <c r="AH216" s="18">
        <f t="shared" si="59"/>
        <v>0</v>
      </c>
      <c r="AI216" s="18">
        <v>156170.75</v>
      </c>
      <c r="AJ216" s="18"/>
      <c r="AK216" s="18">
        <f t="shared" si="60"/>
        <v>0</v>
      </c>
      <c r="AL216" s="18">
        <v>15.15</v>
      </c>
      <c r="AM216" s="18"/>
      <c r="AN216" s="18">
        <f t="shared" si="61"/>
        <v>0</v>
      </c>
      <c r="AO216" s="18">
        <v>2.758</v>
      </c>
      <c r="AP216" s="18"/>
      <c r="AQ216" s="18">
        <f t="shared" si="62"/>
        <v>0</v>
      </c>
      <c r="AR216" s="18">
        <v>13.79</v>
      </c>
      <c r="AS216" s="18"/>
      <c r="AT216" s="18">
        <f t="shared" si="63"/>
        <v>0</v>
      </c>
      <c r="AU216" s="18">
        <v>15498</v>
      </c>
      <c r="AV216" s="18"/>
      <c r="AW216" s="18">
        <f t="shared" si="64"/>
        <v>0</v>
      </c>
      <c r="AX216" s="18">
        <v>0</v>
      </c>
      <c r="AY216" s="18"/>
      <c r="AZ216" s="18">
        <f t="shared" si="65"/>
        <v>0</v>
      </c>
      <c r="BA216" s="18">
        <v>4.3200000000000002E-2</v>
      </c>
      <c r="BB216" s="18"/>
      <c r="BC216" s="18">
        <f t="shared" si="66"/>
        <v>0</v>
      </c>
      <c r="BD216" s="18">
        <v>4.3200000000000002E-2</v>
      </c>
      <c r="BE216" s="18"/>
      <c r="BF216" s="18">
        <f t="shared" si="67"/>
        <v>0</v>
      </c>
    </row>
    <row r="217" spans="1:58" ht="38.25" x14ac:dyDescent="0.25">
      <c r="A217" s="124" t="s">
        <v>1332</v>
      </c>
      <c r="B217" s="124" t="s">
        <v>1468</v>
      </c>
      <c r="C217" s="18" t="s">
        <v>1857</v>
      </c>
      <c r="D217" s="18" t="s">
        <v>1858</v>
      </c>
      <c r="E217" s="18" t="s">
        <v>1483</v>
      </c>
      <c r="F217" s="18" t="s">
        <v>1111</v>
      </c>
      <c r="G217" s="119">
        <v>43190</v>
      </c>
      <c r="H217" s="18">
        <v>0</v>
      </c>
      <c r="I217" s="18"/>
      <c r="J217" s="18">
        <f t="shared" si="51"/>
        <v>0</v>
      </c>
      <c r="K217" s="18">
        <v>14.2</v>
      </c>
      <c r="L217" s="18"/>
      <c r="M217" s="18">
        <f t="shared" si="52"/>
        <v>14.2</v>
      </c>
      <c r="N217" s="18">
        <v>9.6199999999999992</v>
      </c>
      <c r="O217" s="18"/>
      <c r="P217" s="18">
        <f t="shared" si="53"/>
        <v>9.6199999999999992</v>
      </c>
      <c r="Q217" s="18">
        <v>2</v>
      </c>
      <c r="R217" s="18"/>
      <c r="S217" s="18">
        <f t="shared" si="54"/>
        <v>2</v>
      </c>
      <c r="T217" s="18">
        <v>1</v>
      </c>
      <c r="U217" s="18"/>
      <c r="V217" s="18">
        <f t="shared" si="55"/>
        <v>1</v>
      </c>
      <c r="W217" s="18">
        <v>545.52</v>
      </c>
      <c r="X217" s="18"/>
      <c r="Y217" s="18">
        <f t="shared" si="56"/>
        <v>545.52</v>
      </c>
      <c r="Z217" s="18">
        <v>26.003</v>
      </c>
      <c r="AA217" s="18"/>
      <c r="AB217" s="18">
        <f t="shared" si="57"/>
        <v>26.003</v>
      </c>
      <c r="AC217" s="18">
        <v>61.393000000000001</v>
      </c>
      <c r="AD217" s="18"/>
      <c r="AE217" s="18">
        <f t="shared" si="58"/>
        <v>61.393000000000001</v>
      </c>
      <c r="AF217" s="18">
        <v>35390</v>
      </c>
      <c r="AG217" s="18"/>
      <c r="AH217" s="18">
        <f t="shared" si="59"/>
        <v>35390</v>
      </c>
      <c r="AI217" s="18">
        <v>58410</v>
      </c>
      <c r="AJ217" s="18"/>
      <c r="AK217" s="18">
        <f t="shared" si="60"/>
        <v>58410</v>
      </c>
      <c r="AL217" s="18">
        <v>5.5987999999999998</v>
      </c>
      <c r="AM217" s="18"/>
      <c r="AN217" s="18">
        <f t="shared" si="61"/>
        <v>5.5987999999999998</v>
      </c>
      <c r="AO217" s="18">
        <v>0.28710000000000002</v>
      </c>
      <c r="AP217" s="18"/>
      <c r="AQ217" s="18">
        <f t="shared" si="62"/>
        <v>0.28710000000000002</v>
      </c>
      <c r="AR217" s="18">
        <v>3.44E-2</v>
      </c>
      <c r="AS217" s="18"/>
      <c r="AT217" s="18">
        <f t="shared" si="63"/>
        <v>3.44E-2</v>
      </c>
      <c r="AU217" s="18">
        <v>38890</v>
      </c>
      <c r="AV217" s="18"/>
      <c r="AW217" s="18">
        <f t="shared" si="64"/>
        <v>38890</v>
      </c>
      <c r="AX217" s="18">
        <v>0</v>
      </c>
      <c r="AY217" s="18"/>
      <c r="AZ217" s="18">
        <f t="shared" si="65"/>
        <v>0</v>
      </c>
      <c r="BA217" s="18">
        <v>3.8199999999999998E-2</v>
      </c>
      <c r="BB217" s="18"/>
      <c r="BC217" s="18">
        <f t="shared" si="66"/>
        <v>3.8199999999999998E-2</v>
      </c>
      <c r="BD217" s="18">
        <v>3.8199999999999998E-2</v>
      </c>
      <c r="BE217" s="18"/>
      <c r="BF217" s="18">
        <f t="shared" si="67"/>
        <v>3.8199999999999998E-2</v>
      </c>
    </row>
    <row r="218" spans="1:58" ht="25.5" x14ac:dyDescent="0.25">
      <c r="A218" s="124" t="s">
        <v>1333</v>
      </c>
      <c r="B218" s="124" t="s">
        <v>1468</v>
      </c>
      <c r="C218" s="18" t="s">
        <v>1859</v>
      </c>
      <c r="D218" s="18" t="s">
        <v>1860</v>
      </c>
      <c r="E218" s="18" t="s">
        <v>1500</v>
      </c>
      <c r="F218" s="18" t="s">
        <v>1111</v>
      </c>
      <c r="G218" s="119">
        <v>43555</v>
      </c>
      <c r="H218" s="18">
        <v>0</v>
      </c>
      <c r="I218" s="18"/>
      <c r="J218" s="18">
        <f t="shared" si="51"/>
        <v>0</v>
      </c>
      <c r="K218" s="18">
        <v>0</v>
      </c>
      <c r="L218" s="18"/>
      <c r="M218" s="18">
        <f t="shared" si="52"/>
        <v>0</v>
      </c>
      <c r="N218" s="18">
        <v>65.256799999999998</v>
      </c>
      <c r="O218" s="18"/>
      <c r="P218" s="18">
        <f t="shared" si="53"/>
        <v>0</v>
      </c>
      <c r="Q218" s="18">
        <v>4</v>
      </c>
      <c r="R218" s="18"/>
      <c r="S218" s="18">
        <f t="shared" si="54"/>
        <v>0</v>
      </c>
      <c r="T218" s="18">
        <v>1</v>
      </c>
      <c r="U218" s="18"/>
      <c r="V218" s="18">
        <f t="shared" si="55"/>
        <v>0</v>
      </c>
      <c r="W218" s="18">
        <v>3071.2</v>
      </c>
      <c r="X218" s="18"/>
      <c r="Y218" s="18">
        <f t="shared" si="56"/>
        <v>0</v>
      </c>
      <c r="Z218" s="18">
        <v>136.80000000000001</v>
      </c>
      <c r="AA218" s="18"/>
      <c r="AB218" s="18">
        <f t="shared" si="57"/>
        <v>0</v>
      </c>
      <c r="AC218" s="18">
        <v>441.1</v>
      </c>
      <c r="AD218" s="18"/>
      <c r="AE218" s="18">
        <f t="shared" si="58"/>
        <v>0</v>
      </c>
      <c r="AF218" s="18">
        <v>304304</v>
      </c>
      <c r="AG218" s="18"/>
      <c r="AH218" s="18">
        <f t="shared" si="59"/>
        <v>0</v>
      </c>
      <c r="AI218" s="18">
        <v>510202</v>
      </c>
      <c r="AJ218" s="18"/>
      <c r="AK218" s="18">
        <f t="shared" si="60"/>
        <v>0</v>
      </c>
      <c r="AL218" s="18">
        <v>23.7</v>
      </c>
      <c r="AM218" s="18"/>
      <c r="AN218" s="18">
        <f t="shared" si="61"/>
        <v>0</v>
      </c>
      <c r="AO218" s="18">
        <v>0</v>
      </c>
      <c r="AP218" s="18"/>
      <c r="AQ218" s="18">
        <f t="shared" si="62"/>
        <v>0</v>
      </c>
      <c r="AR218" s="18">
        <v>0</v>
      </c>
      <c r="AS218" s="18"/>
      <c r="AT218" s="18">
        <f t="shared" si="63"/>
        <v>0</v>
      </c>
      <c r="AU218" s="18">
        <v>585245</v>
      </c>
      <c r="AV218" s="18"/>
      <c r="AW218" s="18">
        <f t="shared" si="64"/>
        <v>0</v>
      </c>
      <c r="AX218" s="18">
        <v>0</v>
      </c>
      <c r="AY218" s="18"/>
      <c r="AZ218" s="18">
        <f t="shared" si="65"/>
        <v>0</v>
      </c>
      <c r="BA218" s="18">
        <v>0</v>
      </c>
      <c r="BB218" s="18"/>
      <c r="BC218" s="18">
        <f t="shared" si="66"/>
        <v>0</v>
      </c>
      <c r="BD218" s="18">
        <v>0</v>
      </c>
      <c r="BE218" s="18"/>
      <c r="BF218" s="18">
        <f t="shared" si="67"/>
        <v>0</v>
      </c>
    </row>
    <row r="219" spans="1:58" ht="25.5" x14ac:dyDescent="0.25">
      <c r="A219" s="124" t="s">
        <v>1334</v>
      </c>
      <c r="B219" s="124" t="s">
        <v>1468</v>
      </c>
      <c r="C219" s="18" t="s">
        <v>1093</v>
      </c>
      <c r="D219" s="18" t="s">
        <v>1861</v>
      </c>
      <c r="E219" s="18" t="s">
        <v>1477</v>
      </c>
      <c r="F219" s="18" t="s">
        <v>1111</v>
      </c>
      <c r="G219" s="119">
        <v>43434</v>
      </c>
      <c r="H219" s="18">
        <v>0</v>
      </c>
      <c r="I219" s="18"/>
      <c r="J219" s="18">
        <f t="shared" si="51"/>
        <v>0</v>
      </c>
      <c r="K219" s="18">
        <v>0</v>
      </c>
      <c r="L219" s="18"/>
      <c r="M219" s="18">
        <f t="shared" si="52"/>
        <v>0</v>
      </c>
      <c r="N219" s="18">
        <v>10.89</v>
      </c>
      <c r="O219" s="18"/>
      <c r="P219" s="18">
        <f t="shared" si="53"/>
        <v>10.89</v>
      </c>
      <c r="Q219" s="18">
        <v>6</v>
      </c>
      <c r="R219" s="18"/>
      <c r="S219" s="18">
        <f t="shared" si="54"/>
        <v>6</v>
      </c>
      <c r="T219" s="18">
        <v>1</v>
      </c>
      <c r="U219" s="18"/>
      <c r="V219" s="18">
        <f t="shared" si="55"/>
        <v>1</v>
      </c>
      <c r="W219" s="18">
        <v>742.56</v>
      </c>
      <c r="X219" s="18"/>
      <c r="Y219" s="18">
        <f t="shared" si="56"/>
        <v>742.56</v>
      </c>
      <c r="Z219" s="18">
        <v>56.433999999999997</v>
      </c>
      <c r="AA219" s="18"/>
      <c r="AB219" s="18">
        <f t="shared" si="57"/>
        <v>56.433999999999997</v>
      </c>
      <c r="AC219" s="18">
        <v>273.79000000000002</v>
      </c>
      <c r="AD219" s="18"/>
      <c r="AE219" s="18">
        <f t="shared" si="58"/>
        <v>273.79000000000002</v>
      </c>
      <c r="AF219" s="18">
        <v>81681.600000000006</v>
      </c>
      <c r="AG219" s="18"/>
      <c r="AH219" s="18">
        <f t="shared" si="59"/>
        <v>81681.600000000006</v>
      </c>
      <c r="AI219" s="18">
        <v>110</v>
      </c>
      <c r="AJ219" s="18"/>
      <c r="AK219" s="18">
        <f t="shared" si="60"/>
        <v>110</v>
      </c>
      <c r="AL219" s="18">
        <v>8</v>
      </c>
      <c r="AM219" s="18"/>
      <c r="AN219" s="18">
        <f t="shared" si="61"/>
        <v>8</v>
      </c>
      <c r="AO219" s="18">
        <v>0.4</v>
      </c>
      <c r="AP219" s="18"/>
      <c r="AQ219" s="18">
        <f t="shared" si="62"/>
        <v>0.4</v>
      </c>
      <c r="AR219" s="18">
        <v>0.05</v>
      </c>
      <c r="AS219" s="18"/>
      <c r="AT219" s="18">
        <f t="shared" si="63"/>
        <v>0.05</v>
      </c>
      <c r="AU219" s="18">
        <v>110</v>
      </c>
      <c r="AV219" s="18"/>
      <c r="AW219" s="18">
        <f t="shared" si="64"/>
        <v>110</v>
      </c>
      <c r="AX219" s="18">
        <v>0</v>
      </c>
      <c r="AY219" s="18"/>
      <c r="AZ219" s="18">
        <f t="shared" si="65"/>
        <v>0</v>
      </c>
      <c r="BA219" s="18">
        <v>0</v>
      </c>
      <c r="BB219" s="18"/>
      <c r="BC219" s="18">
        <f t="shared" si="66"/>
        <v>0</v>
      </c>
      <c r="BD219" s="18">
        <v>0</v>
      </c>
      <c r="BE219" s="18"/>
      <c r="BF219" s="18">
        <f t="shared" si="67"/>
        <v>0</v>
      </c>
    </row>
    <row r="220" spans="1:58" ht="38.25" x14ac:dyDescent="0.25">
      <c r="A220" s="124" t="s">
        <v>1335</v>
      </c>
      <c r="B220" s="124" t="s">
        <v>1468</v>
      </c>
      <c r="C220" s="18" t="s">
        <v>1862</v>
      </c>
      <c r="D220" s="18" t="s">
        <v>1863</v>
      </c>
      <c r="E220" s="18" t="s">
        <v>1483</v>
      </c>
      <c r="F220" s="18" t="s">
        <v>1111</v>
      </c>
      <c r="G220" s="119">
        <v>43434</v>
      </c>
      <c r="H220" s="18">
        <v>0</v>
      </c>
      <c r="I220" s="18"/>
      <c r="J220" s="18">
        <f t="shared" si="51"/>
        <v>0</v>
      </c>
      <c r="K220" s="18">
        <v>0</v>
      </c>
      <c r="L220" s="18"/>
      <c r="M220" s="18">
        <f t="shared" si="52"/>
        <v>0</v>
      </c>
      <c r="N220" s="18">
        <v>19.190000000000001</v>
      </c>
      <c r="O220" s="18"/>
      <c r="P220" s="18">
        <f t="shared" si="53"/>
        <v>19.190000000000001</v>
      </c>
      <c r="Q220" s="18">
        <v>5</v>
      </c>
      <c r="R220" s="18"/>
      <c r="S220" s="18">
        <f t="shared" si="54"/>
        <v>5</v>
      </c>
      <c r="T220" s="18">
        <v>1</v>
      </c>
      <c r="U220" s="18"/>
      <c r="V220" s="18">
        <f t="shared" si="55"/>
        <v>1</v>
      </c>
      <c r="W220" s="18">
        <v>648.74</v>
      </c>
      <c r="X220" s="18"/>
      <c r="Y220" s="18">
        <f t="shared" si="56"/>
        <v>648.74</v>
      </c>
      <c r="Z220" s="18">
        <v>22.05</v>
      </c>
      <c r="AA220" s="18"/>
      <c r="AB220" s="18">
        <f t="shared" si="57"/>
        <v>22.05</v>
      </c>
      <c r="AC220" s="18">
        <v>114.78</v>
      </c>
      <c r="AD220" s="18"/>
      <c r="AE220" s="18">
        <f t="shared" si="58"/>
        <v>114.78</v>
      </c>
      <c r="AF220" s="18">
        <v>92730</v>
      </c>
      <c r="AG220" s="18"/>
      <c r="AH220" s="18">
        <f t="shared" si="59"/>
        <v>92730</v>
      </c>
      <c r="AI220" s="18">
        <v>152918.37</v>
      </c>
      <c r="AJ220" s="18"/>
      <c r="AK220" s="18">
        <f t="shared" si="60"/>
        <v>152918.37</v>
      </c>
      <c r="AL220" s="18">
        <v>25</v>
      </c>
      <c r="AM220" s="18"/>
      <c r="AN220" s="18">
        <f t="shared" si="61"/>
        <v>25</v>
      </c>
      <c r="AO220" s="18">
        <v>0.76</v>
      </c>
      <c r="AP220" s="18"/>
      <c r="AQ220" s="18">
        <f t="shared" si="62"/>
        <v>0.76</v>
      </c>
      <c r="AR220" s="18">
        <v>3.83</v>
      </c>
      <c r="AS220" s="18"/>
      <c r="AT220" s="18">
        <f t="shared" si="63"/>
        <v>3.83</v>
      </c>
      <c r="AU220" s="18">
        <v>215940.15</v>
      </c>
      <c r="AV220" s="18"/>
      <c r="AW220" s="18">
        <f t="shared" si="64"/>
        <v>215940.15</v>
      </c>
      <c r="AX220" s="18">
        <v>0</v>
      </c>
      <c r="AY220" s="18"/>
      <c r="AZ220" s="18">
        <f t="shared" si="65"/>
        <v>0</v>
      </c>
      <c r="BA220" s="18">
        <v>0</v>
      </c>
      <c r="BB220" s="18"/>
      <c r="BC220" s="18">
        <f t="shared" si="66"/>
        <v>0</v>
      </c>
      <c r="BD220" s="18">
        <v>0</v>
      </c>
      <c r="BE220" s="18"/>
      <c r="BF220" s="18">
        <f t="shared" si="67"/>
        <v>0</v>
      </c>
    </row>
    <row r="221" spans="1:58" ht="25.5" x14ac:dyDescent="0.25">
      <c r="A221" s="124" t="s">
        <v>1336</v>
      </c>
      <c r="B221" s="124" t="s">
        <v>1468</v>
      </c>
      <c r="C221" s="18" t="s">
        <v>1864</v>
      </c>
      <c r="D221" s="18" t="s">
        <v>1865</v>
      </c>
      <c r="E221" s="18" t="s">
        <v>1483</v>
      </c>
      <c r="F221" s="18" t="s">
        <v>1111</v>
      </c>
      <c r="G221" s="119">
        <v>43069</v>
      </c>
      <c r="H221" s="18">
        <v>0</v>
      </c>
      <c r="I221" s="18">
        <v>0</v>
      </c>
      <c r="J221" s="18">
        <f t="shared" si="51"/>
        <v>0</v>
      </c>
      <c r="K221" s="18">
        <v>39.11</v>
      </c>
      <c r="L221" s="18">
        <v>0</v>
      </c>
      <c r="M221" s="18">
        <f t="shared" si="52"/>
        <v>39.11</v>
      </c>
      <c r="N221" s="18">
        <v>4.24</v>
      </c>
      <c r="O221" s="18">
        <v>4.54</v>
      </c>
      <c r="P221" s="18">
        <f t="shared" si="53"/>
        <v>4.24</v>
      </c>
      <c r="Q221" s="18">
        <v>2</v>
      </c>
      <c r="R221" s="18">
        <v>2</v>
      </c>
      <c r="S221" s="18">
        <f t="shared" si="54"/>
        <v>2</v>
      </c>
      <c r="T221" s="18">
        <v>1</v>
      </c>
      <c r="U221" s="18">
        <v>1</v>
      </c>
      <c r="V221" s="18">
        <f t="shared" si="55"/>
        <v>1</v>
      </c>
      <c r="W221" s="18">
        <v>1076.73</v>
      </c>
      <c r="X221" s="18">
        <v>1076.73</v>
      </c>
      <c r="Y221" s="18">
        <f t="shared" si="56"/>
        <v>1076.73</v>
      </c>
      <c r="Z221" s="18">
        <v>18.709</v>
      </c>
      <c r="AA221" s="18">
        <v>0</v>
      </c>
      <c r="AB221" s="18">
        <f t="shared" si="57"/>
        <v>18.709</v>
      </c>
      <c r="AC221" s="18">
        <v>29.806000000000001</v>
      </c>
      <c r="AD221" s="18">
        <v>29.806000000000001</v>
      </c>
      <c r="AE221" s="18">
        <f t="shared" si="58"/>
        <v>29.806000000000001</v>
      </c>
      <c r="AF221" s="18">
        <v>11097</v>
      </c>
      <c r="AG221" s="18">
        <v>0</v>
      </c>
      <c r="AH221" s="18">
        <f t="shared" si="59"/>
        <v>11097</v>
      </c>
      <c r="AI221" s="18">
        <v>60404.28</v>
      </c>
      <c r="AJ221" s="18">
        <v>57756.39</v>
      </c>
      <c r="AK221" s="18">
        <f t="shared" si="60"/>
        <v>60404.28</v>
      </c>
      <c r="AL221" s="18">
        <v>10.85</v>
      </c>
      <c r="AM221" s="18">
        <v>0</v>
      </c>
      <c r="AN221" s="18">
        <f t="shared" si="61"/>
        <v>10.85</v>
      </c>
      <c r="AO221" s="18">
        <v>1.9750000000000001</v>
      </c>
      <c r="AP221" s="18">
        <v>0</v>
      </c>
      <c r="AQ221" s="18">
        <f t="shared" si="62"/>
        <v>1.9750000000000001</v>
      </c>
      <c r="AR221" s="18">
        <v>9.8759999999999994</v>
      </c>
      <c r="AS221" s="18">
        <v>0</v>
      </c>
      <c r="AT221" s="18">
        <f t="shared" si="63"/>
        <v>9.8759999999999994</v>
      </c>
      <c r="AU221" s="18">
        <v>11097</v>
      </c>
      <c r="AV221" s="18">
        <v>0</v>
      </c>
      <c r="AW221" s="18">
        <f t="shared" si="64"/>
        <v>11097</v>
      </c>
      <c r="AX221" s="18">
        <v>0</v>
      </c>
      <c r="AY221" s="18">
        <v>0</v>
      </c>
      <c r="AZ221" s="18">
        <f t="shared" si="65"/>
        <v>0</v>
      </c>
      <c r="BA221" s="18">
        <v>4.2999999999999997E-2</v>
      </c>
      <c r="BB221" s="18">
        <v>4.2999999999999997E-2</v>
      </c>
      <c r="BC221" s="18">
        <f t="shared" si="66"/>
        <v>4.2999999999999997E-2</v>
      </c>
      <c r="BD221" s="18">
        <v>4.2999999999999997E-2</v>
      </c>
      <c r="BE221" s="18">
        <v>4.2999999999999997E-2</v>
      </c>
      <c r="BF221" s="18">
        <f t="shared" si="67"/>
        <v>4.2999999999999997E-2</v>
      </c>
    </row>
    <row r="222" spans="1:58" ht="25.5" x14ac:dyDescent="0.25">
      <c r="A222" s="124" t="s">
        <v>1337</v>
      </c>
      <c r="B222" s="124" t="s">
        <v>1468</v>
      </c>
      <c r="C222" s="18" t="s">
        <v>1866</v>
      </c>
      <c r="D222" s="18" t="s">
        <v>1867</v>
      </c>
      <c r="E222" s="18" t="s">
        <v>1471</v>
      </c>
      <c r="F222" s="18" t="s">
        <v>1111</v>
      </c>
      <c r="G222" s="119">
        <v>43585</v>
      </c>
      <c r="H222" s="18">
        <v>9.17</v>
      </c>
      <c r="I222" s="18"/>
      <c r="J222" s="18">
        <f t="shared" si="51"/>
        <v>0</v>
      </c>
      <c r="K222" s="18">
        <v>0</v>
      </c>
      <c r="L222" s="18"/>
      <c r="M222" s="18">
        <f t="shared" si="52"/>
        <v>0</v>
      </c>
      <c r="N222" s="18">
        <v>53.34</v>
      </c>
      <c r="O222" s="18"/>
      <c r="P222" s="18">
        <f t="shared" si="53"/>
        <v>0</v>
      </c>
      <c r="Q222" s="18">
        <v>6</v>
      </c>
      <c r="R222" s="18"/>
      <c r="S222" s="18">
        <f t="shared" si="54"/>
        <v>0</v>
      </c>
      <c r="T222" s="18">
        <v>1</v>
      </c>
      <c r="U222" s="18"/>
      <c r="V222" s="18">
        <f t="shared" si="55"/>
        <v>0</v>
      </c>
      <c r="W222" s="18">
        <v>1194.17</v>
      </c>
      <c r="X222" s="18"/>
      <c r="Y222" s="18">
        <f t="shared" si="56"/>
        <v>0</v>
      </c>
      <c r="Z222" s="18">
        <v>75.59</v>
      </c>
      <c r="AA222" s="18"/>
      <c r="AB222" s="18">
        <f t="shared" si="57"/>
        <v>0</v>
      </c>
      <c r="AC222" s="18">
        <v>162.97999999999999</v>
      </c>
      <c r="AD222" s="18"/>
      <c r="AE222" s="18">
        <f t="shared" si="58"/>
        <v>0</v>
      </c>
      <c r="AF222" s="18">
        <v>87396.3</v>
      </c>
      <c r="AG222" s="18"/>
      <c r="AH222" s="18">
        <f t="shared" si="59"/>
        <v>0</v>
      </c>
      <c r="AI222" s="18">
        <v>87396.3</v>
      </c>
      <c r="AJ222" s="18"/>
      <c r="AK222" s="18">
        <f t="shared" si="60"/>
        <v>0</v>
      </c>
      <c r="AL222" s="18">
        <v>0.04</v>
      </c>
      <c r="AM222" s="18"/>
      <c r="AN222" s="18">
        <f t="shared" si="61"/>
        <v>0</v>
      </c>
      <c r="AO222" s="18">
        <v>0.04</v>
      </c>
      <c r="AP222" s="18"/>
      <c r="AQ222" s="18">
        <f t="shared" si="62"/>
        <v>0</v>
      </c>
      <c r="AR222" s="18">
        <v>0.15</v>
      </c>
      <c r="AS222" s="18"/>
      <c r="AT222" s="18">
        <f t="shared" si="63"/>
        <v>0</v>
      </c>
      <c r="AU222" s="18">
        <v>151641.65</v>
      </c>
      <c r="AV222" s="18"/>
      <c r="AW222" s="18">
        <f t="shared" si="64"/>
        <v>0</v>
      </c>
      <c r="AX222" s="18">
        <v>2E-3</v>
      </c>
      <c r="AY222" s="18"/>
      <c r="AZ222" s="18">
        <f t="shared" si="65"/>
        <v>0</v>
      </c>
      <c r="BA222" s="18">
        <v>2E-3</v>
      </c>
      <c r="BB222" s="18"/>
      <c r="BC222" s="18">
        <f t="shared" si="66"/>
        <v>0</v>
      </c>
      <c r="BD222" s="18">
        <v>0</v>
      </c>
      <c r="BE222" s="18"/>
      <c r="BF222" s="18">
        <f t="shared" si="67"/>
        <v>0</v>
      </c>
    </row>
    <row r="223" spans="1:58" ht="38.25" x14ac:dyDescent="0.25">
      <c r="A223" s="124" t="s">
        <v>1338</v>
      </c>
      <c r="B223" s="124" t="s">
        <v>1468</v>
      </c>
      <c r="C223" s="18" t="s">
        <v>1868</v>
      </c>
      <c r="D223" s="18" t="s">
        <v>1869</v>
      </c>
      <c r="E223" s="18" t="s">
        <v>1500</v>
      </c>
      <c r="F223" s="18" t="s">
        <v>1111</v>
      </c>
      <c r="G223" s="119">
        <v>43190</v>
      </c>
      <c r="H223" s="18">
        <v>8.0500000000000007</v>
      </c>
      <c r="I223" s="18"/>
      <c r="J223" s="18">
        <f t="shared" si="51"/>
        <v>8.0500000000000007</v>
      </c>
      <c r="K223" s="18">
        <v>0</v>
      </c>
      <c r="L223" s="18"/>
      <c r="M223" s="18">
        <f t="shared" si="52"/>
        <v>0</v>
      </c>
      <c r="N223" s="18">
        <v>106</v>
      </c>
      <c r="O223" s="18"/>
      <c r="P223" s="18">
        <f t="shared" si="53"/>
        <v>106</v>
      </c>
      <c r="Q223" s="18">
        <v>6</v>
      </c>
      <c r="R223" s="18"/>
      <c r="S223" s="18">
        <f t="shared" si="54"/>
        <v>6</v>
      </c>
      <c r="T223" s="18">
        <v>1</v>
      </c>
      <c r="U223" s="18"/>
      <c r="V223" s="18">
        <f t="shared" si="55"/>
        <v>1</v>
      </c>
      <c r="W223" s="18">
        <v>3559</v>
      </c>
      <c r="X223" s="18"/>
      <c r="Y223" s="18">
        <f t="shared" si="56"/>
        <v>3559</v>
      </c>
      <c r="Z223" s="18">
        <v>71.61</v>
      </c>
      <c r="AA223" s="18"/>
      <c r="AB223" s="18">
        <f t="shared" si="57"/>
        <v>71.61</v>
      </c>
      <c r="AC223" s="18">
        <v>446.18</v>
      </c>
      <c r="AD223" s="18"/>
      <c r="AE223" s="18">
        <f t="shared" si="58"/>
        <v>446.18</v>
      </c>
      <c r="AF223" s="18">
        <v>374570</v>
      </c>
      <c r="AG223" s="18"/>
      <c r="AH223" s="18">
        <f t="shared" si="59"/>
        <v>374570</v>
      </c>
      <c r="AI223" s="18">
        <v>409923</v>
      </c>
      <c r="AJ223" s="18"/>
      <c r="AK223" s="18">
        <f t="shared" si="60"/>
        <v>409923</v>
      </c>
      <c r="AL223" s="18">
        <v>0</v>
      </c>
      <c r="AM223" s="18"/>
      <c r="AN223" s="18">
        <f t="shared" si="61"/>
        <v>0</v>
      </c>
      <c r="AO223" s="18">
        <v>0</v>
      </c>
      <c r="AP223" s="18"/>
      <c r="AQ223" s="18">
        <f t="shared" si="62"/>
        <v>0</v>
      </c>
      <c r="AR223" s="18">
        <v>0</v>
      </c>
      <c r="AS223" s="18"/>
      <c r="AT223" s="18">
        <f t="shared" si="63"/>
        <v>0</v>
      </c>
      <c r="AU223" s="18">
        <v>554981</v>
      </c>
      <c r="AV223" s="18"/>
      <c r="AW223" s="18">
        <f t="shared" si="64"/>
        <v>554981</v>
      </c>
      <c r="AX223" s="18">
        <v>0.01</v>
      </c>
      <c r="AY223" s="18"/>
      <c r="AZ223" s="18">
        <f t="shared" si="65"/>
        <v>0.01</v>
      </c>
      <c r="BA223" s="18">
        <v>0.01</v>
      </c>
      <c r="BB223" s="18"/>
      <c r="BC223" s="18">
        <f t="shared" si="66"/>
        <v>0.01</v>
      </c>
      <c r="BD223" s="18">
        <v>0</v>
      </c>
      <c r="BE223" s="18"/>
      <c r="BF223" s="18">
        <f t="shared" si="67"/>
        <v>0</v>
      </c>
    </row>
    <row r="224" spans="1:58" ht="25.5" x14ac:dyDescent="0.25">
      <c r="A224" s="124" t="s">
        <v>1339</v>
      </c>
      <c r="B224" s="124" t="s">
        <v>1468</v>
      </c>
      <c r="C224" s="18" t="s">
        <v>1870</v>
      </c>
      <c r="D224" s="18" t="s">
        <v>1871</v>
      </c>
      <c r="E224" s="18" t="s">
        <v>1503</v>
      </c>
      <c r="F224" s="18" t="s">
        <v>1111</v>
      </c>
      <c r="G224" s="119">
        <v>43190</v>
      </c>
      <c r="H224" s="18">
        <v>0</v>
      </c>
      <c r="I224" s="18"/>
      <c r="J224" s="18">
        <f t="shared" si="51"/>
        <v>0</v>
      </c>
      <c r="K224" s="18">
        <v>0</v>
      </c>
      <c r="L224" s="18"/>
      <c r="M224" s="18">
        <f t="shared" si="52"/>
        <v>0</v>
      </c>
      <c r="N224" s="18">
        <v>72.599999999999994</v>
      </c>
      <c r="O224" s="18"/>
      <c r="P224" s="18">
        <f t="shared" si="53"/>
        <v>72.599999999999994</v>
      </c>
      <c r="Q224" s="18">
        <v>9</v>
      </c>
      <c r="R224" s="18"/>
      <c r="S224" s="18">
        <f t="shared" si="54"/>
        <v>9</v>
      </c>
      <c r="T224" s="18">
        <v>3</v>
      </c>
      <c r="U224" s="18"/>
      <c r="V224" s="18">
        <f t="shared" si="55"/>
        <v>3</v>
      </c>
      <c r="W224" s="18">
        <v>3145.5</v>
      </c>
      <c r="X224" s="18"/>
      <c r="Y224" s="18">
        <f t="shared" si="56"/>
        <v>3145.5</v>
      </c>
      <c r="Z224" s="18">
        <v>116.01</v>
      </c>
      <c r="AA224" s="18"/>
      <c r="AB224" s="18">
        <f t="shared" si="57"/>
        <v>116.01</v>
      </c>
      <c r="AC224" s="18">
        <v>367.29</v>
      </c>
      <c r="AD224" s="18"/>
      <c r="AE224" s="18">
        <f t="shared" si="58"/>
        <v>367.29</v>
      </c>
      <c r="AF224" s="18">
        <v>251156</v>
      </c>
      <c r="AG224" s="18"/>
      <c r="AH224" s="18">
        <f t="shared" si="59"/>
        <v>251156</v>
      </c>
      <c r="AI224" s="18">
        <v>251156</v>
      </c>
      <c r="AJ224" s="18"/>
      <c r="AK224" s="18">
        <f t="shared" si="60"/>
        <v>251156</v>
      </c>
      <c r="AL224" s="18">
        <v>27778.77</v>
      </c>
      <c r="AM224" s="18"/>
      <c r="AN224" s="18">
        <f t="shared" si="61"/>
        <v>27778.77</v>
      </c>
      <c r="AO224" s="18">
        <v>0</v>
      </c>
      <c r="AP224" s="18"/>
      <c r="AQ224" s="18">
        <f t="shared" si="62"/>
        <v>0</v>
      </c>
      <c r="AR224" s="18">
        <v>176.24</v>
      </c>
      <c r="AS224" s="18"/>
      <c r="AT224" s="18">
        <f t="shared" si="63"/>
        <v>176.24</v>
      </c>
      <c r="AU224" s="18">
        <v>545916.30000000005</v>
      </c>
      <c r="AV224" s="18"/>
      <c r="AW224" s="18">
        <f t="shared" si="64"/>
        <v>545916.30000000005</v>
      </c>
      <c r="AX224" s="18">
        <v>0</v>
      </c>
      <c r="AY224" s="18"/>
      <c r="AZ224" s="18">
        <f t="shared" si="65"/>
        <v>0</v>
      </c>
      <c r="BA224" s="18">
        <v>0</v>
      </c>
      <c r="BB224" s="18"/>
      <c r="BC224" s="18">
        <f t="shared" si="66"/>
        <v>0</v>
      </c>
      <c r="BD224" s="18">
        <v>0</v>
      </c>
      <c r="BE224" s="18"/>
      <c r="BF224" s="18">
        <f t="shared" si="67"/>
        <v>0</v>
      </c>
    </row>
    <row r="225" spans="1:58" ht="38.25" x14ac:dyDescent="0.25">
      <c r="A225" s="124" t="s">
        <v>1340</v>
      </c>
      <c r="B225" s="124" t="s">
        <v>1468</v>
      </c>
      <c r="C225" s="18" t="s">
        <v>1872</v>
      </c>
      <c r="D225" s="18" t="s">
        <v>1873</v>
      </c>
      <c r="E225" s="18" t="s">
        <v>1474</v>
      </c>
      <c r="F225" s="18" t="s">
        <v>1111</v>
      </c>
      <c r="G225" s="119">
        <v>43434</v>
      </c>
      <c r="H225" s="18">
        <v>0</v>
      </c>
      <c r="I225" s="18"/>
      <c r="J225" s="18">
        <f t="shared" si="51"/>
        <v>0</v>
      </c>
      <c r="K225" s="18">
        <v>23.32</v>
      </c>
      <c r="L225" s="18"/>
      <c r="M225" s="18">
        <f t="shared" si="52"/>
        <v>23.32</v>
      </c>
      <c r="N225" s="18">
        <v>2.5219999999999998</v>
      </c>
      <c r="O225" s="18"/>
      <c r="P225" s="18">
        <f t="shared" si="53"/>
        <v>2.5219999999999998</v>
      </c>
      <c r="Q225" s="18">
        <v>5</v>
      </c>
      <c r="R225" s="18"/>
      <c r="S225" s="18">
        <f t="shared" si="54"/>
        <v>5</v>
      </c>
      <c r="T225" s="18">
        <v>1</v>
      </c>
      <c r="U225" s="18"/>
      <c r="V225" s="18">
        <f t="shared" si="55"/>
        <v>1</v>
      </c>
      <c r="W225" s="18">
        <v>1090.33</v>
      </c>
      <c r="X225" s="18"/>
      <c r="Y225" s="18">
        <f t="shared" si="56"/>
        <v>1090.33</v>
      </c>
      <c r="Z225" s="18">
        <v>12.99</v>
      </c>
      <c r="AA225" s="18"/>
      <c r="AB225" s="18">
        <f t="shared" si="57"/>
        <v>12.99</v>
      </c>
      <c r="AC225" s="18">
        <v>100.6</v>
      </c>
      <c r="AD225" s="18"/>
      <c r="AE225" s="18">
        <f t="shared" si="58"/>
        <v>100.6</v>
      </c>
      <c r="AF225" s="18">
        <v>87610</v>
      </c>
      <c r="AG225" s="18"/>
      <c r="AH225" s="18">
        <f t="shared" si="59"/>
        <v>87610</v>
      </c>
      <c r="AI225" s="18">
        <v>268922</v>
      </c>
      <c r="AJ225" s="18"/>
      <c r="AK225" s="18">
        <f t="shared" si="60"/>
        <v>268922</v>
      </c>
      <c r="AL225" s="18">
        <v>21</v>
      </c>
      <c r="AM225" s="18"/>
      <c r="AN225" s="18">
        <f t="shared" si="61"/>
        <v>21</v>
      </c>
      <c r="AO225" s="18">
        <v>0</v>
      </c>
      <c r="AP225" s="18"/>
      <c r="AQ225" s="18">
        <f t="shared" si="62"/>
        <v>0</v>
      </c>
      <c r="AR225" s="18">
        <v>0</v>
      </c>
      <c r="AS225" s="18"/>
      <c r="AT225" s="18">
        <f t="shared" si="63"/>
        <v>0</v>
      </c>
      <c r="AU225" s="18">
        <v>400516.98</v>
      </c>
      <c r="AV225" s="18"/>
      <c r="AW225" s="18">
        <f t="shared" si="64"/>
        <v>400516.98</v>
      </c>
      <c r="AX225" s="18">
        <v>0</v>
      </c>
      <c r="AY225" s="18"/>
      <c r="AZ225" s="18">
        <f t="shared" si="65"/>
        <v>0</v>
      </c>
      <c r="BA225" s="18">
        <v>4.5999999999999999E-2</v>
      </c>
      <c r="BB225" s="18"/>
      <c r="BC225" s="18">
        <f t="shared" si="66"/>
        <v>4.5999999999999999E-2</v>
      </c>
      <c r="BD225" s="18">
        <v>4.5999999999999999E-2</v>
      </c>
      <c r="BE225" s="18"/>
      <c r="BF225" s="18">
        <f t="shared" si="67"/>
        <v>4.5999999999999999E-2</v>
      </c>
    </row>
    <row r="226" spans="1:58" ht="38.25" x14ac:dyDescent="0.25">
      <c r="A226" s="124" t="s">
        <v>1341</v>
      </c>
      <c r="B226" s="124" t="s">
        <v>1468</v>
      </c>
      <c r="C226" s="18" t="s">
        <v>1874</v>
      </c>
      <c r="D226" s="18" t="s">
        <v>1875</v>
      </c>
      <c r="E226" s="18" t="s">
        <v>1477</v>
      </c>
      <c r="F226" s="18" t="s">
        <v>1111</v>
      </c>
      <c r="G226" s="119">
        <v>43100</v>
      </c>
      <c r="H226" s="18">
        <v>0</v>
      </c>
      <c r="I226" s="18"/>
      <c r="J226" s="18">
        <f t="shared" si="51"/>
        <v>0</v>
      </c>
      <c r="K226" s="18">
        <v>0</v>
      </c>
      <c r="L226" s="18"/>
      <c r="M226" s="18">
        <f t="shared" si="52"/>
        <v>0</v>
      </c>
      <c r="N226" s="18">
        <v>12.273999999999999</v>
      </c>
      <c r="O226" s="18"/>
      <c r="P226" s="18">
        <f t="shared" si="53"/>
        <v>12.273999999999999</v>
      </c>
      <c r="Q226" s="18">
        <v>4</v>
      </c>
      <c r="R226" s="18"/>
      <c r="S226" s="18">
        <f t="shared" si="54"/>
        <v>4</v>
      </c>
      <c r="T226" s="18">
        <v>1</v>
      </c>
      <c r="U226" s="18"/>
      <c r="V226" s="18">
        <f t="shared" si="55"/>
        <v>1</v>
      </c>
      <c r="W226" s="18">
        <v>2170.8000000000002</v>
      </c>
      <c r="X226" s="18"/>
      <c r="Y226" s="18">
        <f t="shared" si="56"/>
        <v>2170.8000000000002</v>
      </c>
      <c r="Z226" s="18">
        <v>96</v>
      </c>
      <c r="AA226" s="18"/>
      <c r="AB226" s="18">
        <f t="shared" si="57"/>
        <v>96</v>
      </c>
      <c r="AC226" s="18">
        <v>345.5</v>
      </c>
      <c r="AD226" s="18"/>
      <c r="AE226" s="18">
        <f t="shared" si="58"/>
        <v>345.5</v>
      </c>
      <c r="AF226" s="18">
        <v>249.4</v>
      </c>
      <c r="AG226" s="18"/>
      <c r="AH226" s="18">
        <f t="shared" si="59"/>
        <v>249.4</v>
      </c>
      <c r="AI226" s="18">
        <v>249420.31</v>
      </c>
      <c r="AJ226" s="18"/>
      <c r="AK226" s="18">
        <f t="shared" si="60"/>
        <v>249420.31</v>
      </c>
      <c r="AL226" s="18">
        <v>394.92</v>
      </c>
      <c r="AM226" s="18"/>
      <c r="AN226" s="18">
        <f t="shared" si="61"/>
        <v>394.92</v>
      </c>
      <c r="AO226" s="18">
        <v>806.53</v>
      </c>
      <c r="AP226" s="18"/>
      <c r="AQ226" s="18">
        <f t="shared" si="62"/>
        <v>806.53</v>
      </c>
      <c r="AR226" s="18">
        <v>144.02000000000001</v>
      </c>
      <c r="AS226" s="18"/>
      <c r="AT226" s="18">
        <f t="shared" si="63"/>
        <v>144.02000000000001</v>
      </c>
      <c r="AU226" s="18">
        <v>114302</v>
      </c>
      <c r="AV226" s="18"/>
      <c r="AW226" s="18">
        <f t="shared" si="64"/>
        <v>114302</v>
      </c>
      <c r="AX226" s="18">
        <v>0</v>
      </c>
      <c r="AY226" s="18"/>
      <c r="AZ226" s="18">
        <f t="shared" si="65"/>
        <v>0</v>
      </c>
      <c r="BA226" s="18">
        <v>0</v>
      </c>
      <c r="BB226" s="18"/>
      <c r="BC226" s="18">
        <f t="shared" si="66"/>
        <v>0</v>
      </c>
      <c r="BD226" s="18">
        <v>0</v>
      </c>
      <c r="BE226" s="18"/>
      <c r="BF226" s="18">
        <f t="shared" si="67"/>
        <v>0</v>
      </c>
    </row>
    <row r="227" spans="1:58" ht="25.5" x14ac:dyDescent="0.25">
      <c r="A227" s="124" t="s">
        <v>1342</v>
      </c>
      <c r="B227" s="124" t="s">
        <v>1468</v>
      </c>
      <c r="C227" s="18" t="s">
        <v>1876</v>
      </c>
      <c r="D227" s="18" t="s">
        <v>1877</v>
      </c>
      <c r="E227" s="18" t="s">
        <v>1483</v>
      </c>
      <c r="F227" s="18" t="s">
        <v>1111</v>
      </c>
      <c r="G227" s="119">
        <v>43281</v>
      </c>
      <c r="H227" s="18">
        <v>0</v>
      </c>
      <c r="I227" s="18"/>
      <c r="J227" s="18">
        <f t="shared" si="51"/>
        <v>0</v>
      </c>
      <c r="K227" s="18">
        <v>5.12</v>
      </c>
      <c r="L227" s="18"/>
      <c r="M227" s="18">
        <f t="shared" si="52"/>
        <v>5.12</v>
      </c>
      <c r="N227" s="18">
        <v>10.51</v>
      </c>
      <c r="O227" s="18"/>
      <c r="P227" s="18">
        <f t="shared" si="53"/>
        <v>10.51</v>
      </c>
      <c r="Q227" s="18">
        <v>4</v>
      </c>
      <c r="R227" s="18"/>
      <c r="S227" s="18">
        <f t="shared" si="54"/>
        <v>4</v>
      </c>
      <c r="T227" s="18">
        <v>1</v>
      </c>
      <c r="U227" s="18"/>
      <c r="V227" s="18">
        <f t="shared" si="55"/>
        <v>1</v>
      </c>
      <c r="W227" s="18">
        <v>1259.8499999999999</v>
      </c>
      <c r="X227" s="18"/>
      <c r="Y227" s="18">
        <f t="shared" si="56"/>
        <v>1259.8499999999999</v>
      </c>
      <c r="Z227" s="18">
        <v>8.3699999999999992</v>
      </c>
      <c r="AA227" s="18"/>
      <c r="AB227" s="18">
        <f t="shared" si="57"/>
        <v>8.3699999999999992</v>
      </c>
      <c r="AC227" s="18">
        <v>62.1</v>
      </c>
      <c r="AD227" s="18"/>
      <c r="AE227" s="18">
        <f t="shared" si="58"/>
        <v>62.1</v>
      </c>
      <c r="AF227" s="18">
        <v>240666.13</v>
      </c>
      <c r="AG227" s="18"/>
      <c r="AH227" s="18">
        <f t="shared" si="59"/>
        <v>240666.13</v>
      </c>
      <c r="AI227" s="18">
        <v>53731</v>
      </c>
      <c r="AJ227" s="18"/>
      <c r="AK227" s="18">
        <f t="shared" si="60"/>
        <v>53731</v>
      </c>
      <c r="AL227" s="18">
        <v>15.85</v>
      </c>
      <c r="AM227" s="18"/>
      <c r="AN227" s="18">
        <f t="shared" si="61"/>
        <v>15.85</v>
      </c>
      <c r="AO227" s="18">
        <v>1.1000000000000001</v>
      </c>
      <c r="AP227" s="18"/>
      <c r="AQ227" s="18">
        <f t="shared" si="62"/>
        <v>1.1000000000000001</v>
      </c>
      <c r="AR227" s="18">
        <v>5.5</v>
      </c>
      <c r="AS227" s="18"/>
      <c r="AT227" s="18">
        <f t="shared" si="63"/>
        <v>5.5</v>
      </c>
      <c r="AU227" s="18">
        <v>332935.40000000002</v>
      </c>
      <c r="AV227" s="18"/>
      <c r="AW227" s="18">
        <f t="shared" si="64"/>
        <v>332935.40000000002</v>
      </c>
      <c r="AX227" s="18">
        <v>0</v>
      </c>
      <c r="AY227" s="18"/>
      <c r="AZ227" s="18">
        <f t="shared" si="65"/>
        <v>0</v>
      </c>
      <c r="BA227" s="18">
        <v>8.9999999999999998E-4</v>
      </c>
      <c r="BB227" s="18"/>
      <c r="BC227" s="18">
        <f t="shared" si="66"/>
        <v>8.9999999999999998E-4</v>
      </c>
      <c r="BD227" s="18">
        <v>8.9999999999999998E-4</v>
      </c>
      <c r="BE227" s="18"/>
      <c r="BF227" s="18">
        <f t="shared" si="67"/>
        <v>8.9999999999999998E-4</v>
      </c>
    </row>
    <row r="228" spans="1:58" ht="25.5" x14ac:dyDescent="0.25">
      <c r="A228" s="124" t="s">
        <v>1343</v>
      </c>
      <c r="B228" s="124" t="s">
        <v>1468</v>
      </c>
      <c r="C228" s="18" t="s">
        <v>1878</v>
      </c>
      <c r="D228" s="18" t="s">
        <v>1879</v>
      </c>
      <c r="E228" s="18" t="s">
        <v>1483</v>
      </c>
      <c r="F228" s="18" t="s">
        <v>1111</v>
      </c>
      <c r="G228" s="119">
        <v>43373</v>
      </c>
      <c r="H228" s="18">
        <v>0</v>
      </c>
      <c r="I228" s="18"/>
      <c r="J228" s="18">
        <f t="shared" si="51"/>
        <v>0</v>
      </c>
      <c r="K228" s="18">
        <v>11.192</v>
      </c>
      <c r="L228" s="18"/>
      <c r="M228" s="18">
        <f t="shared" si="52"/>
        <v>11.192</v>
      </c>
      <c r="N228" s="18">
        <v>2.0768</v>
      </c>
      <c r="O228" s="18"/>
      <c r="P228" s="18">
        <f t="shared" si="53"/>
        <v>2.0768</v>
      </c>
      <c r="Q228" s="18">
        <v>3</v>
      </c>
      <c r="R228" s="18"/>
      <c r="S228" s="18">
        <f t="shared" si="54"/>
        <v>3</v>
      </c>
      <c r="T228" s="18">
        <v>1</v>
      </c>
      <c r="U228" s="18"/>
      <c r="V228" s="18">
        <f t="shared" si="55"/>
        <v>1</v>
      </c>
      <c r="W228" s="18">
        <v>608.34</v>
      </c>
      <c r="X228" s="18"/>
      <c r="Y228" s="18">
        <f t="shared" si="56"/>
        <v>608.34</v>
      </c>
      <c r="Z228" s="18">
        <v>4.5170000000000003</v>
      </c>
      <c r="AA228" s="18"/>
      <c r="AB228" s="18">
        <f t="shared" si="57"/>
        <v>4.5170000000000003</v>
      </c>
      <c r="AC228" s="18">
        <v>30.344000000000001</v>
      </c>
      <c r="AD228" s="18"/>
      <c r="AE228" s="18">
        <f t="shared" si="58"/>
        <v>30.344000000000001</v>
      </c>
      <c r="AF228" s="18">
        <v>25827.360000000001</v>
      </c>
      <c r="AG228" s="18"/>
      <c r="AH228" s="18">
        <f t="shared" si="59"/>
        <v>25827.360000000001</v>
      </c>
      <c r="AI228" s="18">
        <v>25827.360000000001</v>
      </c>
      <c r="AJ228" s="18"/>
      <c r="AK228" s="18">
        <f t="shared" si="60"/>
        <v>25827.360000000001</v>
      </c>
      <c r="AL228" s="18">
        <v>6.16</v>
      </c>
      <c r="AM228" s="18"/>
      <c r="AN228" s="18">
        <f t="shared" si="61"/>
        <v>6.16</v>
      </c>
      <c r="AO228" s="18">
        <v>0.11</v>
      </c>
      <c r="AP228" s="18"/>
      <c r="AQ228" s="18">
        <f t="shared" si="62"/>
        <v>0.11</v>
      </c>
      <c r="AR228" s="18">
        <v>0.53</v>
      </c>
      <c r="AS228" s="18"/>
      <c r="AT228" s="18">
        <f t="shared" si="63"/>
        <v>0.53</v>
      </c>
      <c r="AU228" s="18">
        <v>127228.23</v>
      </c>
      <c r="AV228" s="18"/>
      <c r="AW228" s="18">
        <f t="shared" si="64"/>
        <v>127228.23</v>
      </c>
      <c r="AX228" s="18">
        <v>0</v>
      </c>
      <c r="AY228" s="18"/>
      <c r="AZ228" s="18">
        <f t="shared" si="65"/>
        <v>0</v>
      </c>
      <c r="BA228" s="18">
        <v>19.771000000000001</v>
      </c>
      <c r="BB228" s="18"/>
      <c r="BC228" s="18">
        <f t="shared" si="66"/>
        <v>19.771000000000001</v>
      </c>
      <c r="BD228" s="18">
        <v>19.771000000000001</v>
      </c>
      <c r="BE228" s="18"/>
      <c r="BF228" s="18">
        <f t="shared" si="67"/>
        <v>19.771000000000001</v>
      </c>
    </row>
    <row r="229" spans="1:58" ht="38.25" x14ac:dyDescent="0.25">
      <c r="A229" s="124" t="s">
        <v>1344</v>
      </c>
      <c r="B229" s="124" t="s">
        <v>1468</v>
      </c>
      <c r="C229" s="18" t="s">
        <v>1880</v>
      </c>
      <c r="D229" s="18" t="s">
        <v>1881</v>
      </c>
      <c r="E229" s="18" t="s">
        <v>1500</v>
      </c>
      <c r="F229" s="18" t="s">
        <v>1111</v>
      </c>
      <c r="G229" s="119">
        <v>43220</v>
      </c>
      <c r="H229" s="18">
        <v>0</v>
      </c>
      <c r="I229" s="18"/>
      <c r="J229" s="18">
        <f t="shared" si="51"/>
        <v>0</v>
      </c>
      <c r="K229" s="18">
        <v>13.2</v>
      </c>
      <c r="L229" s="18"/>
      <c r="M229" s="18">
        <f t="shared" si="52"/>
        <v>13.2</v>
      </c>
      <c r="N229" s="18">
        <v>9.3800000000000008</v>
      </c>
      <c r="O229" s="18"/>
      <c r="P229" s="18">
        <f t="shared" si="53"/>
        <v>9.3800000000000008</v>
      </c>
      <c r="Q229" s="18">
        <v>4</v>
      </c>
      <c r="R229" s="18"/>
      <c r="S229" s="18">
        <f t="shared" si="54"/>
        <v>4</v>
      </c>
      <c r="T229" s="18">
        <v>1</v>
      </c>
      <c r="U229" s="18"/>
      <c r="V229" s="18">
        <f t="shared" si="55"/>
        <v>1</v>
      </c>
      <c r="W229" s="18">
        <v>554.5</v>
      </c>
      <c r="X229" s="18"/>
      <c r="Y229" s="18">
        <f t="shared" si="56"/>
        <v>554.5</v>
      </c>
      <c r="Z229" s="18">
        <v>81.123400000000004</v>
      </c>
      <c r="AA229" s="18"/>
      <c r="AB229" s="18">
        <f t="shared" si="57"/>
        <v>81.123400000000004</v>
      </c>
      <c r="AC229" s="18">
        <v>145.11269999999999</v>
      </c>
      <c r="AD229" s="18"/>
      <c r="AE229" s="18">
        <f t="shared" si="58"/>
        <v>145.11269999999999</v>
      </c>
      <c r="AF229" s="18">
        <v>53731.05</v>
      </c>
      <c r="AG229" s="18"/>
      <c r="AH229" s="18">
        <f t="shared" si="59"/>
        <v>53731.05</v>
      </c>
      <c r="AI229" s="18">
        <v>53731.05</v>
      </c>
      <c r="AJ229" s="18"/>
      <c r="AK229" s="18">
        <f t="shared" si="60"/>
        <v>53731.05</v>
      </c>
      <c r="AL229" s="18">
        <v>7.9409999999999998</v>
      </c>
      <c r="AM229" s="18"/>
      <c r="AN229" s="18">
        <f t="shared" si="61"/>
        <v>7.9409999999999998</v>
      </c>
      <c r="AO229" s="18">
        <v>0.40799999999999997</v>
      </c>
      <c r="AP229" s="18"/>
      <c r="AQ229" s="18">
        <f t="shared" si="62"/>
        <v>0.40799999999999997</v>
      </c>
      <c r="AR229" s="18">
        <v>4.9000000000000002E-2</v>
      </c>
      <c r="AS229" s="18"/>
      <c r="AT229" s="18">
        <f t="shared" si="63"/>
        <v>4.9000000000000002E-2</v>
      </c>
      <c r="AU229" s="18">
        <v>63989.3</v>
      </c>
      <c r="AV229" s="18"/>
      <c r="AW229" s="18">
        <f t="shared" si="64"/>
        <v>63989.3</v>
      </c>
      <c r="AX229" s="18">
        <v>0</v>
      </c>
      <c r="AY229" s="18"/>
      <c r="AZ229" s="18">
        <f t="shared" si="65"/>
        <v>0</v>
      </c>
      <c r="BA229" s="18">
        <v>13.2</v>
      </c>
      <c r="BB229" s="18"/>
      <c r="BC229" s="18">
        <f t="shared" si="66"/>
        <v>13.2</v>
      </c>
      <c r="BD229" s="18">
        <v>13.2</v>
      </c>
      <c r="BE229" s="18"/>
      <c r="BF229" s="18">
        <f t="shared" si="67"/>
        <v>13.2</v>
      </c>
    </row>
    <row r="230" spans="1:58" ht="38.25" x14ac:dyDescent="0.25">
      <c r="A230" s="124" t="s">
        <v>1345</v>
      </c>
      <c r="B230" s="124" t="s">
        <v>1468</v>
      </c>
      <c r="C230" s="18" t="s">
        <v>1882</v>
      </c>
      <c r="D230" s="18" t="s">
        <v>1883</v>
      </c>
      <c r="E230" s="18" t="s">
        <v>1483</v>
      </c>
      <c r="F230" s="18" t="s">
        <v>1111</v>
      </c>
      <c r="G230" s="119">
        <v>43373</v>
      </c>
      <c r="H230" s="18">
        <v>0</v>
      </c>
      <c r="I230" s="18"/>
      <c r="J230" s="18">
        <f t="shared" si="51"/>
        <v>0</v>
      </c>
      <c r="K230" s="18">
        <v>10.173999999999999</v>
      </c>
      <c r="L230" s="18"/>
      <c r="M230" s="18">
        <f t="shared" si="52"/>
        <v>10.173999999999999</v>
      </c>
      <c r="N230" s="18">
        <v>0.47399999999999998</v>
      </c>
      <c r="O230" s="18"/>
      <c r="P230" s="18">
        <f t="shared" si="53"/>
        <v>0.47399999999999998</v>
      </c>
      <c r="Q230" s="18">
        <v>3</v>
      </c>
      <c r="R230" s="18"/>
      <c r="S230" s="18">
        <f t="shared" si="54"/>
        <v>3</v>
      </c>
      <c r="T230" s="18">
        <v>1</v>
      </c>
      <c r="U230" s="18"/>
      <c r="V230" s="18">
        <f t="shared" si="55"/>
        <v>1</v>
      </c>
      <c r="W230" s="18">
        <v>760.54</v>
      </c>
      <c r="X230" s="18"/>
      <c r="Y230" s="18">
        <f t="shared" si="56"/>
        <v>760.54</v>
      </c>
      <c r="Z230" s="18">
        <v>1.355</v>
      </c>
      <c r="AA230" s="18"/>
      <c r="AB230" s="18">
        <f t="shared" si="57"/>
        <v>1.355</v>
      </c>
      <c r="AC230" s="18">
        <v>26.63</v>
      </c>
      <c r="AD230" s="18"/>
      <c r="AE230" s="18">
        <f t="shared" si="58"/>
        <v>26.63</v>
      </c>
      <c r="AF230" s="18">
        <v>25275.05</v>
      </c>
      <c r="AG230" s="18"/>
      <c r="AH230" s="18">
        <f t="shared" si="59"/>
        <v>25275.05</v>
      </c>
      <c r="AI230" s="18">
        <v>199841.63</v>
      </c>
      <c r="AJ230" s="18"/>
      <c r="AK230" s="18">
        <f t="shared" si="60"/>
        <v>199841.63</v>
      </c>
      <c r="AL230" s="18">
        <v>6.49</v>
      </c>
      <c r="AM230" s="18"/>
      <c r="AN230" s="18">
        <f t="shared" si="61"/>
        <v>6.49</v>
      </c>
      <c r="AO230" s="18">
        <v>0.13</v>
      </c>
      <c r="AP230" s="18"/>
      <c r="AQ230" s="18">
        <f t="shared" si="62"/>
        <v>0.13</v>
      </c>
      <c r="AR230" s="18">
        <v>0.65</v>
      </c>
      <c r="AS230" s="18"/>
      <c r="AT230" s="18">
        <f t="shared" si="63"/>
        <v>0.65</v>
      </c>
      <c r="AU230" s="18">
        <v>273011.03999999998</v>
      </c>
      <c r="AV230" s="18"/>
      <c r="AW230" s="18">
        <f t="shared" si="64"/>
        <v>273011.03999999998</v>
      </c>
      <c r="AX230" s="18">
        <v>0</v>
      </c>
      <c r="AY230" s="18"/>
      <c r="AZ230" s="18">
        <f t="shared" si="65"/>
        <v>0</v>
      </c>
      <c r="BA230" s="18">
        <v>2.8899999999999999E-2</v>
      </c>
      <c r="BB230" s="18"/>
      <c r="BC230" s="18">
        <f t="shared" si="66"/>
        <v>2.8899999999999999E-2</v>
      </c>
      <c r="BD230" s="18">
        <v>2.8899999999999999E-2</v>
      </c>
      <c r="BE230" s="18"/>
      <c r="BF230" s="18">
        <f t="shared" si="67"/>
        <v>2.8899999999999999E-2</v>
      </c>
    </row>
    <row r="231" spans="1:58" ht="25.5" x14ac:dyDescent="0.25">
      <c r="A231" s="124" t="s">
        <v>1346</v>
      </c>
      <c r="B231" s="124" t="s">
        <v>1468</v>
      </c>
      <c r="C231" s="18" t="s">
        <v>1884</v>
      </c>
      <c r="D231" s="18" t="s">
        <v>1885</v>
      </c>
      <c r="E231" s="18" t="s">
        <v>1503</v>
      </c>
      <c r="F231" s="18" t="s">
        <v>1111</v>
      </c>
      <c r="G231" s="119">
        <v>43677</v>
      </c>
      <c r="H231" s="18">
        <v>0</v>
      </c>
      <c r="I231" s="18"/>
      <c r="J231" s="18">
        <f t="shared" si="51"/>
        <v>0</v>
      </c>
      <c r="K231" s="18">
        <v>0</v>
      </c>
      <c r="L231" s="18"/>
      <c r="M231" s="18">
        <f t="shared" si="52"/>
        <v>0</v>
      </c>
      <c r="N231" s="18">
        <v>18.399999999999999</v>
      </c>
      <c r="O231" s="18"/>
      <c r="P231" s="18">
        <f t="shared" si="53"/>
        <v>0</v>
      </c>
      <c r="Q231" s="18">
        <v>3</v>
      </c>
      <c r="R231" s="18"/>
      <c r="S231" s="18">
        <f t="shared" si="54"/>
        <v>0</v>
      </c>
      <c r="T231" s="18">
        <v>3</v>
      </c>
      <c r="U231" s="18"/>
      <c r="V231" s="18">
        <f t="shared" si="55"/>
        <v>0</v>
      </c>
      <c r="W231" s="18">
        <v>3378.37</v>
      </c>
      <c r="X231" s="18"/>
      <c r="Y231" s="18">
        <f t="shared" si="56"/>
        <v>0</v>
      </c>
      <c r="Z231" s="18">
        <v>52.16</v>
      </c>
      <c r="AA231" s="18"/>
      <c r="AB231" s="18">
        <f t="shared" si="57"/>
        <v>0</v>
      </c>
      <c r="AC231" s="18">
        <v>185.76</v>
      </c>
      <c r="AD231" s="18"/>
      <c r="AE231" s="18">
        <f t="shared" si="58"/>
        <v>0</v>
      </c>
      <c r="AF231" s="18">
        <v>133600</v>
      </c>
      <c r="AG231" s="18"/>
      <c r="AH231" s="18">
        <f t="shared" si="59"/>
        <v>0</v>
      </c>
      <c r="AI231" s="18">
        <v>133600</v>
      </c>
      <c r="AJ231" s="18"/>
      <c r="AK231" s="18">
        <f t="shared" si="60"/>
        <v>0</v>
      </c>
      <c r="AL231" s="18">
        <v>5.5999999999999999E-3</v>
      </c>
      <c r="AM231" s="18"/>
      <c r="AN231" s="18">
        <f t="shared" si="61"/>
        <v>0</v>
      </c>
      <c r="AO231" s="18">
        <v>0</v>
      </c>
      <c r="AP231" s="18"/>
      <c r="AQ231" s="18">
        <f t="shared" si="62"/>
        <v>0</v>
      </c>
      <c r="AR231" s="18">
        <v>1.17E-2</v>
      </c>
      <c r="AS231" s="18"/>
      <c r="AT231" s="18">
        <f t="shared" si="63"/>
        <v>0</v>
      </c>
      <c r="AU231" s="18">
        <v>46.63</v>
      </c>
      <c r="AV231" s="18"/>
      <c r="AW231" s="18">
        <f t="shared" si="64"/>
        <v>0</v>
      </c>
      <c r="AX231" s="18">
        <v>0</v>
      </c>
      <c r="AY231" s="18"/>
      <c r="AZ231" s="18">
        <f t="shared" si="65"/>
        <v>0</v>
      </c>
      <c r="BA231" s="18">
        <v>0</v>
      </c>
      <c r="BB231" s="18"/>
      <c r="BC231" s="18">
        <f t="shared" si="66"/>
        <v>0</v>
      </c>
      <c r="BD231" s="18">
        <v>0</v>
      </c>
      <c r="BE231" s="18"/>
      <c r="BF231" s="18">
        <f t="shared" si="67"/>
        <v>0</v>
      </c>
    </row>
    <row r="232" spans="1:58" ht="25.5" x14ac:dyDescent="0.25">
      <c r="A232" s="124" t="s">
        <v>1347</v>
      </c>
      <c r="B232" s="124" t="s">
        <v>1468</v>
      </c>
      <c r="C232" s="18" t="s">
        <v>1886</v>
      </c>
      <c r="D232" s="18" t="s">
        <v>1887</v>
      </c>
      <c r="E232" s="18" t="s">
        <v>1483</v>
      </c>
      <c r="F232" s="18" t="s">
        <v>1111</v>
      </c>
      <c r="G232" s="119">
        <v>43159</v>
      </c>
      <c r="H232" s="18">
        <v>0</v>
      </c>
      <c r="I232" s="18"/>
      <c r="J232" s="18">
        <f t="shared" si="51"/>
        <v>0</v>
      </c>
      <c r="K232" s="18">
        <v>0</v>
      </c>
      <c r="L232" s="18"/>
      <c r="M232" s="18">
        <f t="shared" si="52"/>
        <v>0</v>
      </c>
      <c r="N232" s="18">
        <v>29.48</v>
      </c>
      <c r="O232" s="18"/>
      <c r="P232" s="18">
        <f t="shared" si="53"/>
        <v>29.48</v>
      </c>
      <c r="Q232" s="18">
        <v>1</v>
      </c>
      <c r="R232" s="18"/>
      <c r="S232" s="18">
        <f t="shared" si="54"/>
        <v>1</v>
      </c>
      <c r="T232" s="18">
        <v>1</v>
      </c>
      <c r="U232" s="18"/>
      <c r="V232" s="18">
        <f t="shared" si="55"/>
        <v>1</v>
      </c>
      <c r="W232" s="18">
        <v>380</v>
      </c>
      <c r="X232" s="18"/>
      <c r="Y232" s="18">
        <f t="shared" si="56"/>
        <v>380</v>
      </c>
      <c r="Z232" s="18">
        <v>12.39</v>
      </c>
      <c r="AA232" s="18"/>
      <c r="AB232" s="18">
        <f t="shared" si="57"/>
        <v>12.39</v>
      </c>
      <c r="AC232" s="18">
        <v>118.51</v>
      </c>
      <c r="AD232" s="18"/>
      <c r="AE232" s="18">
        <f t="shared" si="58"/>
        <v>118.51</v>
      </c>
      <c r="AF232" s="18">
        <v>106120</v>
      </c>
      <c r="AG232" s="18"/>
      <c r="AH232" s="18">
        <f t="shared" si="59"/>
        <v>106120</v>
      </c>
      <c r="AI232" s="18">
        <v>106120</v>
      </c>
      <c r="AJ232" s="18"/>
      <c r="AK232" s="18">
        <f t="shared" si="60"/>
        <v>106120</v>
      </c>
      <c r="AL232" s="18">
        <v>0</v>
      </c>
      <c r="AM232" s="18"/>
      <c r="AN232" s="18">
        <f t="shared" si="61"/>
        <v>0</v>
      </c>
      <c r="AO232" s="18">
        <v>0</v>
      </c>
      <c r="AP232" s="18"/>
      <c r="AQ232" s="18">
        <f t="shared" si="62"/>
        <v>0</v>
      </c>
      <c r="AR232" s="18">
        <v>5</v>
      </c>
      <c r="AS232" s="18"/>
      <c r="AT232" s="18">
        <f t="shared" si="63"/>
        <v>5</v>
      </c>
      <c r="AU232" s="18">
        <v>106120</v>
      </c>
      <c r="AV232" s="18"/>
      <c r="AW232" s="18">
        <f t="shared" si="64"/>
        <v>106120</v>
      </c>
      <c r="AX232" s="18">
        <v>0</v>
      </c>
      <c r="AY232" s="18"/>
      <c r="AZ232" s="18">
        <f t="shared" si="65"/>
        <v>0</v>
      </c>
      <c r="BA232" s="18">
        <v>0</v>
      </c>
      <c r="BB232" s="18"/>
      <c r="BC232" s="18">
        <f t="shared" si="66"/>
        <v>0</v>
      </c>
      <c r="BD232" s="18">
        <v>0</v>
      </c>
      <c r="BE232" s="18"/>
      <c r="BF232" s="18">
        <f t="shared" si="67"/>
        <v>0</v>
      </c>
    </row>
    <row r="233" spans="1:58" ht="25.5" x14ac:dyDescent="0.25">
      <c r="A233" s="124" t="s">
        <v>1348</v>
      </c>
      <c r="B233" s="124" t="s">
        <v>1468</v>
      </c>
      <c r="C233" s="18" t="s">
        <v>1888</v>
      </c>
      <c r="D233" s="18" t="s">
        <v>1889</v>
      </c>
      <c r="E233" s="18" t="s">
        <v>1483</v>
      </c>
      <c r="F233" s="18" t="s">
        <v>1111</v>
      </c>
      <c r="G233" s="119">
        <v>43312</v>
      </c>
      <c r="H233" s="18">
        <v>0</v>
      </c>
      <c r="I233" s="18"/>
      <c r="J233" s="18">
        <f t="shared" si="51"/>
        <v>0</v>
      </c>
      <c r="K233" s="18">
        <v>0</v>
      </c>
      <c r="L233" s="18"/>
      <c r="M233" s="18">
        <f t="shared" si="52"/>
        <v>0</v>
      </c>
      <c r="N233" s="18">
        <v>23.155999999999999</v>
      </c>
      <c r="O233" s="18"/>
      <c r="P233" s="18">
        <f t="shared" si="53"/>
        <v>23.155999999999999</v>
      </c>
      <c r="Q233" s="18">
        <v>1</v>
      </c>
      <c r="R233" s="18"/>
      <c r="S233" s="18">
        <f t="shared" si="54"/>
        <v>1</v>
      </c>
      <c r="T233" s="18">
        <v>1</v>
      </c>
      <c r="U233" s="18"/>
      <c r="V233" s="18">
        <f t="shared" si="55"/>
        <v>1</v>
      </c>
      <c r="W233" s="18">
        <v>1129.2</v>
      </c>
      <c r="X233" s="18"/>
      <c r="Y233" s="18">
        <f t="shared" si="56"/>
        <v>1129.2</v>
      </c>
      <c r="Z233" s="18">
        <v>42.372999999999998</v>
      </c>
      <c r="AA233" s="18"/>
      <c r="AB233" s="18">
        <f t="shared" si="57"/>
        <v>42.372999999999998</v>
      </c>
      <c r="AC233" s="18">
        <v>94.352999999999994</v>
      </c>
      <c r="AD233" s="18"/>
      <c r="AE233" s="18">
        <f t="shared" si="58"/>
        <v>94.352999999999994</v>
      </c>
      <c r="AF233" s="18">
        <v>51980</v>
      </c>
      <c r="AG233" s="18"/>
      <c r="AH233" s="18">
        <f t="shared" si="59"/>
        <v>51980</v>
      </c>
      <c r="AI233" s="18">
        <v>51980</v>
      </c>
      <c r="AJ233" s="18"/>
      <c r="AK233" s="18">
        <f t="shared" si="60"/>
        <v>51980</v>
      </c>
      <c r="AL233" s="18">
        <v>34.299999999999997</v>
      </c>
      <c r="AM233" s="18"/>
      <c r="AN233" s="18">
        <f t="shared" si="61"/>
        <v>34.299999999999997</v>
      </c>
      <c r="AO233" s="18">
        <v>0</v>
      </c>
      <c r="AP233" s="18"/>
      <c r="AQ233" s="18">
        <f t="shared" si="62"/>
        <v>0</v>
      </c>
      <c r="AR233" s="18">
        <v>17.260000000000002</v>
      </c>
      <c r="AS233" s="18"/>
      <c r="AT233" s="18">
        <f t="shared" si="63"/>
        <v>17.260000000000002</v>
      </c>
      <c r="AU233" s="18">
        <v>51980</v>
      </c>
      <c r="AV233" s="18"/>
      <c r="AW233" s="18">
        <f t="shared" si="64"/>
        <v>51980</v>
      </c>
      <c r="AX233" s="18">
        <v>0</v>
      </c>
      <c r="AY233" s="18"/>
      <c r="AZ233" s="18">
        <f t="shared" si="65"/>
        <v>0</v>
      </c>
      <c r="BA233" s="18">
        <v>0</v>
      </c>
      <c r="BB233" s="18"/>
      <c r="BC233" s="18">
        <f t="shared" si="66"/>
        <v>0</v>
      </c>
      <c r="BD233" s="18">
        <v>0</v>
      </c>
      <c r="BE233" s="18"/>
      <c r="BF233" s="18">
        <f t="shared" si="67"/>
        <v>0</v>
      </c>
    </row>
    <row r="234" spans="1:58" ht="38.25" x14ac:dyDescent="0.25">
      <c r="A234" s="124" t="s">
        <v>1349</v>
      </c>
      <c r="B234" s="124" t="s">
        <v>1468</v>
      </c>
      <c r="C234" s="18" t="s">
        <v>1890</v>
      </c>
      <c r="D234" s="18" t="s">
        <v>1891</v>
      </c>
      <c r="E234" s="18" t="s">
        <v>1474</v>
      </c>
      <c r="F234" s="18" t="s">
        <v>1111</v>
      </c>
      <c r="G234" s="119">
        <v>43465</v>
      </c>
      <c r="H234" s="18">
        <v>0</v>
      </c>
      <c r="I234" s="18"/>
      <c r="J234" s="18">
        <f t="shared" si="51"/>
        <v>0</v>
      </c>
      <c r="K234" s="18">
        <v>0</v>
      </c>
      <c r="L234" s="18"/>
      <c r="M234" s="18">
        <f t="shared" si="52"/>
        <v>0</v>
      </c>
      <c r="N234" s="18">
        <v>19.654</v>
      </c>
      <c r="O234" s="18"/>
      <c r="P234" s="18">
        <f t="shared" si="53"/>
        <v>19.654</v>
      </c>
      <c r="Q234" s="18">
        <v>5</v>
      </c>
      <c r="R234" s="18"/>
      <c r="S234" s="18">
        <f t="shared" si="54"/>
        <v>5</v>
      </c>
      <c r="T234" s="18">
        <v>1</v>
      </c>
      <c r="U234" s="18"/>
      <c r="V234" s="18">
        <f t="shared" si="55"/>
        <v>1</v>
      </c>
      <c r="W234" s="18">
        <v>583.19000000000005</v>
      </c>
      <c r="X234" s="18"/>
      <c r="Y234" s="18">
        <f t="shared" si="56"/>
        <v>583.19000000000005</v>
      </c>
      <c r="Z234" s="18">
        <v>40.695</v>
      </c>
      <c r="AA234" s="18"/>
      <c r="AB234" s="18">
        <f t="shared" si="57"/>
        <v>40.695</v>
      </c>
      <c r="AC234" s="18">
        <v>105.108</v>
      </c>
      <c r="AD234" s="18"/>
      <c r="AE234" s="18">
        <f t="shared" si="58"/>
        <v>105.108</v>
      </c>
      <c r="AF234" s="18">
        <v>64413.34</v>
      </c>
      <c r="AG234" s="18"/>
      <c r="AH234" s="18">
        <f t="shared" si="59"/>
        <v>64413.34</v>
      </c>
      <c r="AI234" s="18">
        <v>62090</v>
      </c>
      <c r="AJ234" s="18"/>
      <c r="AK234" s="18">
        <f t="shared" si="60"/>
        <v>62090</v>
      </c>
      <c r="AL234" s="18">
        <v>5.7908999999999997</v>
      </c>
      <c r="AM234" s="18"/>
      <c r="AN234" s="18">
        <f t="shared" si="61"/>
        <v>5.7908999999999997</v>
      </c>
      <c r="AO234" s="18">
        <v>1.26</v>
      </c>
      <c r="AP234" s="18"/>
      <c r="AQ234" s="18">
        <f t="shared" si="62"/>
        <v>1.26</v>
      </c>
      <c r="AR234" s="18">
        <v>1.3732</v>
      </c>
      <c r="AS234" s="18"/>
      <c r="AT234" s="18">
        <f t="shared" si="63"/>
        <v>1.3732</v>
      </c>
      <c r="AU234" s="18">
        <v>120038</v>
      </c>
      <c r="AV234" s="18"/>
      <c r="AW234" s="18">
        <f t="shared" si="64"/>
        <v>120038</v>
      </c>
      <c r="AX234" s="18">
        <v>0</v>
      </c>
      <c r="AY234" s="18"/>
      <c r="AZ234" s="18">
        <f t="shared" si="65"/>
        <v>0</v>
      </c>
      <c r="BA234" s="18">
        <v>0</v>
      </c>
      <c r="BB234" s="18"/>
      <c r="BC234" s="18">
        <f t="shared" si="66"/>
        <v>0</v>
      </c>
      <c r="BD234" s="18">
        <v>0</v>
      </c>
      <c r="BE234" s="18"/>
      <c r="BF234" s="18">
        <f t="shared" si="67"/>
        <v>0</v>
      </c>
    </row>
    <row r="235" spans="1:58" ht="25.5" x14ac:dyDescent="0.25">
      <c r="A235" s="124" t="s">
        <v>1350</v>
      </c>
      <c r="B235" s="124" t="s">
        <v>1468</v>
      </c>
      <c r="C235" s="18" t="s">
        <v>1892</v>
      </c>
      <c r="D235" s="18" t="s">
        <v>1893</v>
      </c>
      <c r="E235" s="18" t="s">
        <v>1483</v>
      </c>
      <c r="F235" s="18" t="s">
        <v>1111</v>
      </c>
      <c r="G235" s="119">
        <v>43100</v>
      </c>
      <c r="H235" s="18">
        <v>1</v>
      </c>
      <c r="I235" s="18"/>
      <c r="J235" s="18">
        <f t="shared" si="51"/>
        <v>1</v>
      </c>
      <c r="K235" s="18">
        <v>0</v>
      </c>
      <c r="L235" s="18"/>
      <c r="M235" s="18">
        <f t="shared" si="52"/>
        <v>0</v>
      </c>
      <c r="N235" s="18">
        <v>34.57</v>
      </c>
      <c r="O235" s="18"/>
      <c r="P235" s="18">
        <f t="shared" si="53"/>
        <v>34.57</v>
      </c>
      <c r="Q235" s="18">
        <v>2</v>
      </c>
      <c r="R235" s="18"/>
      <c r="S235" s="18">
        <f t="shared" si="54"/>
        <v>2</v>
      </c>
      <c r="T235" s="18">
        <v>1</v>
      </c>
      <c r="U235" s="18"/>
      <c r="V235" s="18">
        <f t="shared" si="55"/>
        <v>1</v>
      </c>
      <c r="W235" s="18">
        <v>1305.75</v>
      </c>
      <c r="X235" s="18"/>
      <c r="Y235" s="18">
        <f t="shared" si="56"/>
        <v>1305.75</v>
      </c>
      <c r="Z235" s="18">
        <v>59.265999999999998</v>
      </c>
      <c r="AA235" s="18"/>
      <c r="AB235" s="18">
        <f t="shared" si="57"/>
        <v>59.265999999999998</v>
      </c>
      <c r="AC235" s="18">
        <v>260.233</v>
      </c>
      <c r="AD235" s="18"/>
      <c r="AE235" s="18">
        <f t="shared" si="58"/>
        <v>260.233</v>
      </c>
      <c r="AF235" s="18">
        <v>201067</v>
      </c>
      <c r="AG235" s="18"/>
      <c r="AH235" s="18">
        <f t="shared" si="59"/>
        <v>201067</v>
      </c>
      <c r="AI235" s="18">
        <v>173014</v>
      </c>
      <c r="AJ235" s="18"/>
      <c r="AK235" s="18">
        <f t="shared" si="60"/>
        <v>173014</v>
      </c>
      <c r="AL235" s="18">
        <v>30.58</v>
      </c>
      <c r="AM235" s="18"/>
      <c r="AN235" s="18">
        <f t="shared" si="61"/>
        <v>30.58</v>
      </c>
      <c r="AO235" s="18">
        <v>0</v>
      </c>
      <c r="AP235" s="18"/>
      <c r="AQ235" s="18">
        <f t="shared" si="62"/>
        <v>0</v>
      </c>
      <c r="AR235" s="18">
        <v>241.4</v>
      </c>
      <c r="AS235" s="18"/>
      <c r="AT235" s="18">
        <f t="shared" si="63"/>
        <v>241.4</v>
      </c>
      <c r="AU235" s="18">
        <v>134332</v>
      </c>
      <c r="AV235" s="18"/>
      <c r="AW235" s="18">
        <f t="shared" si="64"/>
        <v>134332</v>
      </c>
      <c r="AX235" s="18">
        <v>2.5000000000000001E-3</v>
      </c>
      <c r="AY235" s="18"/>
      <c r="AZ235" s="18">
        <f t="shared" si="65"/>
        <v>2.5000000000000001E-3</v>
      </c>
      <c r="BA235" s="18">
        <v>2.5000000000000001E-3</v>
      </c>
      <c r="BB235" s="18"/>
      <c r="BC235" s="18">
        <f t="shared" si="66"/>
        <v>2.5000000000000001E-3</v>
      </c>
      <c r="BD235" s="18">
        <v>0</v>
      </c>
      <c r="BE235" s="18"/>
      <c r="BF235" s="18">
        <f t="shared" si="67"/>
        <v>0</v>
      </c>
    </row>
    <row r="236" spans="1:58" ht="38.25" x14ac:dyDescent="0.25">
      <c r="A236" s="124" t="s">
        <v>1351</v>
      </c>
      <c r="B236" s="124" t="s">
        <v>1468</v>
      </c>
      <c r="C236" s="18" t="s">
        <v>1894</v>
      </c>
      <c r="D236" s="18" t="s">
        <v>1895</v>
      </c>
      <c r="E236" s="18" t="s">
        <v>1503</v>
      </c>
      <c r="F236" s="18" t="s">
        <v>1111</v>
      </c>
      <c r="G236" s="119">
        <v>43646</v>
      </c>
      <c r="H236" s="18">
        <v>41.8</v>
      </c>
      <c r="I236" s="18"/>
      <c r="J236" s="18">
        <f t="shared" si="51"/>
        <v>0</v>
      </c>
      <c r="K236" s="18">
        <v>0</v>
      </c>
      <c r="L236" s="18"/>
      <c r="M236" s="18">
        <f t="shared" si="52"/>
        <v>0</v>
      </c>
      <c r="N236" s="18">
        <v>199.4</v>
      </c>
      <c r="O236" s="18"/>
      <c r="P236" s="18">
        <f t="shared" si="53"/>
        <v>0</v>
      </c>
      <c r="Q236" s="18">
        <v>4</v>
      </c>
      <c r="R236" s="18"/>
      <c r="S236" s="18">
        <f t="shared" si="54"/>
        <v>0</v>
      </c>
      <c r="T236" s="18">
        <v>1</v>
      </c>
      <c r="U236" s="18"/>
      <c r="V236" s="18">
        <f t="shared" si="55"/>
        <v>0</v>
      </c>
      <c r="W236" s="18">
        <v>3119.45</v>
      </c>
      <c r="X236" s="18"/>
      <c r="Y236" s="18">
        <f t="shared" si="56"/>
        <v>0</v>
      </c>
      <c r="Z236" s="18">
        <v>447.2</v>
      </c>
      <c r="AA236" s="18"/>
      <c r="AB236" s="18">
        <f t="shared" si="57"/>
        <v>0</v>
      </c>
      <c r="AC236" s="18">
        <v>1118</v>
      </c>
      <c r="AD236" s="18"/>
      <c r="AE236" s="18">
        <f t="shared" si="58"/>
        <v>0</v>
      </c>
      <c r="AF236" s="18">
        <v>670800</v>
      </c>
      <c r="AG236" s="18"/>
      <c r="AH236" s="18">
        <f t="shared" si="59"/>
        <v>0</v>
      </c>
      <c r="AI236" s="18">
        <v>715162</v>
      </c>
      <c r="AJ236" s="18"/>
      <c r="AK236" s="18">
        <f t="shared" si="60"/>
        <v>0</v>
      </c>
      <c r="AL236" s="18">
        <v>142.18</v>
      </c>
      <c r="AM236" s="18"/>
      <c r="AN236" s="18">
        <f t="shared" si="61"/>
        <v>0</v>
      </c>
      <c r="AO236" s="18">
        <v>40.1</v>
      </c>
      <c r="AP236" s="18"/>
      <c r="AQ236" s="18">
        <f t="shared" si="62"/>
        <v>0</v>
      </c>
      <c r="AR236" s="18">
        <v>6.27</v>
      </c>
      <c r="AS236" s="18"/>
      <c r="AT236" s="18">
        <f t="shared" si="63"/>
        <v>0</v>
      </c>
      <c r="AU236" s="18">
        <v>1082328</v>
      </c>
      <c r="AV236" s="18"/>
      <c r="AW236" s="18">
        <f t="shared" si="64"/>
        <v>0</v>
      </c>
      <c r="AX236" s="18">
        <v>0.04</v>
      </c>
      <c r="AY236" s="18"/>
      <c r="AZ236" s="18">
        <f t="shared" si="65"/>
        <v>0</v>
      </c>
      <c r="BA236" s="18">
        <v>0.04</v>
      </c>
      <c r="BB236" s="18"/>
      <c r="BC236" s="18">
        <f t="shared" si="66"/>
        <v>0</v>
      </c>
      <c r="BD236" s="18">
        <v>0</v>
      </c>
      <c r="BE236" s="18"/>
      <c r="BF236" s="18">
        <f t="shared" si="67"/>
        <v>0</v>
      </c>
    </row>
    <row r="237" spans="1:58" ht="25.5" x14ac:dyDescent="0.25">
      <c r="A237" s="124" t="s">
        <v>1352</v>
      </c>
      <c r="B237" s="124" t="s">
        <v>1468</v>
      </c>
      <c r="C237" s="18" t="s">
        <v>1896</v>
      </c>
      <c r="D237" s="18" t="s">
        <v>1897</v>
      </c>
      <c r="E237" s="18" t="s">
        <v>1503</v>
      </c>
      <c r="F237" s="18" t="s">
        <v>1111</v>
      </c>
      <c r="G237" s="119">
        <v>43465</v>
      </c>
      <c r="H237" s="18">
        <v>0</v>
      </c>
      <c r="I237" s="18"/>
      <c r="J237" s="18">
        <f t="shared" si="51"/>
        <v>0</v>
      </c>
      <c r="K237" s="18">
        <v>0</v>
      </c>
      <c r="L237" s="18"/>
      <c r="M237" s="18">
        <f t="shared" si="52"/>
        <v>0</v>
      </c>
      <c r="N237" s="18">
        <v>55.54</v>
      </c>
      <c r="O237" s="18"/>
      <c r="P237" s="18">
        <f t="shared" si="53"/>
        <v>55.54</v>
      </c>
      <c r="Q237" s="18">
        <v>4</v>
      </c>
      <c r="R237" s="18"/>
      <c r="S237" s="18">
        <f t="shared" si="54"/>
        <v>4</v>
      </c>
      <c r="T237" s="18">
        <v>1</v>
      </c>
      <c r="U237" s="18"/>
      <c r="V237" s="18">
        <f t="shared" si="55"/>
        <v>1</v>
      </c>
      <c r="W237" s="18">
        <v>900.71</v>
      </c>
      <c r="X237" s="18"/>
      <c r="Y237" s="18">
        <f t="shared" si="56"/>
        <v>900.71</v>
      </c>
      <c r="Z237" s="18">
        <v>45.85</v>
      </c>
      <c r="AA237" s="18"/>
      <c r="AB237" s="18">
        <f t="shared" si="57"/>
        <v>45.85</v>
      </c>
      <c r="AC237" s="18">
        <v>115.46899999999999</v>
      </c>
      <c r="AD237" s="18"/>
      <c r="AE237" s="18">
        <f t="shared" si="58"/>
        <v>115.46899999999999</v>
      </c>
      <c r="AF237" s="18">
        <v>69614</v>
      </c>
      <c r="AG237" s="18"/>
      <c r="AH237" s="18">
        <f t="shared" si="59"/>
        <v>69614</v>
      </c>
      <c r="AI237" s="18">
        <v>196354.78</v>
      </c>
      <c r="AJ237" s="18"/>
      <c r="AK237" s="18">
        <f t="shared" si="60"/>
        <v>196354.78</v>
      </c>
      <c r="AL237" s="18">
        <v>33</v>
      </c>
      <c r="AM237" s="18"/>
      <c r="AN237" s="18">
        <f t="shared" si="61"/>
        <v>33</v>
      </c>
      <c r="AO237" s="18">
        <v>1.4</v>
      </c>
      <c r="AP237" s="18"/>
      <c r="AQ237" s="18">
        <f t="shared" si="62"/>
        <v>1.4</v>
      </c>
      <c r="AR237" s="18">
        <v>0</v>
      </c>
      <c r="AS237" s="18"/>
      <c r="AT237" s="18">
        <f t="shared" si="63"/>
        <v>0</v>
      </c>
      <c r="AU237" s="18">
        <v>272302.64</v>
      </c>
      <c r="AV237" s="18"/>
      <c r="AW237" s="18">
        <f t="shared" si="64"/>
        <v>272302.64</v>
      </c>
      <c r="AX237" s="18">
        <v>0</v>
      </c>
      <c r="AY237" s="18"/>
      <c r="AZ237" s="18">
        <f t="shared" si="65"/>
        <v>0</v>
      </c>
      <c r="BA237" s="18">
        <v>0</v>
      </c>
      <c r="BB237" s="18"/>
      <c r="BC237" s="18">
        <f t="shared" si="66"/>
        <v>0</v>
      </c>
      <c r="BD237" s="18">
        <v>0</v>
      </c>
      <c r="BE237" s="18"/>
      <c r="BF237" s="18">
        <f t="shared" si="67"/>
        <v>0</v>
      </c>
    </row>
    <row r="238" spans="1:58" ht="25.5" x14ac:dyDescent="0.25">
      <c r="A238" s="124" t="s">
        <v>1353</v>
      </c>
      <c r="B238" s="124" t="s">
        <v>1468</v>
      </c>
      <c r="C238" s="18" t="s">
        <v>1898</v>
      </c>
      <c r="D238" s="18" t="s">
        <v>1899</v>
      </c>
      <c r="E238" s="18" t="s">
        <v>1503</v>
      </c>
      <c r="F238" s="18" t="s">
        <v>1111</v>
      </c>
      <c r="G238" s="119">
        <v>43434</v>
      </c>
      <c r="H238" s="18">
        <v>0</v>
      </c>
      <c r="I238" s="18"/>
      <c r="J238" s="18">
        <f t="shared" si="51"/>
        <v>0</v>
      </c>
      <c r="K238" s="18">
        <v>0</v>
      </c>
      <c r="L238" s="18"/>
      <c r="M238" s="18">
        <f t="shared" si="52"/>
        <v>0</v>
      </c>
      <c r="N238" s="18">
        <v>14.4</v>
      </c>
      <c r="O238" s="18"/>
      <c r="P238" s="18">
        <f t="shared" si="53"/>
        <v>14.4</v>
      </c>
      <c r="Q238" s="18">
        <v>5</v>
      </c>
      <c r="R238" s="18"/>
      <c r="S238" s="18">
        <f t="shared" si="54"/>
        <v>5</v>
      </c>
      <c r="T238" s="18">
        <v>1</v>
      </c>
      <c r="U238" s="18"/>
      <c r="V238" s="18">
        <f t="shared" si="55"/>
        <v>1</v>
      </c>
      <c r="W238" s="18">
        <v>847</v>
      </c>
      <c r="X238" s="18"/>
      <c r="Y238" s="18">
        <f t="shared" si="56"/>
        <v>847</v>
      </c>
      <c r="Z238" s="18">
        <v>42.7</v>
      </c>
      <c r="AA238" s="18"/>
      <c r="AB238" s="18">
        <f t="shared" si="57"/>
        <v>42.7</v>
      </c>
      <c r="AC238" s="18">
        <v>111.496</v>
      </c>
      <c r="AD238" s="18"/>
      <c r="AE238" s="18">
        <f t="shared" si="58"/>
        <v>111.496</v>
      </c>
      <c r="AF238" s="18">
        <v>68796</v>
      </c>
      <c r="AG238" s="18"/>
      <c r="AH238" s="18">
        <f t="shared" si="59"/>
        <v>68796</v>
      </c>
      <c r="AI238" s="18">
        <v>68796</v>
      </c>
      <c r="AJ238" s="18"/>
      <c r="AK238" s="18">
        <f t="shared" si="60"/>
        <v>68796</v>
      </c>
      <c r="AL238" s="18">
        <v>18</v>
      </c>
      <c r="AM238" s="18"/>
      <c r="AN238" s="18">
        <f t="shared" si="61"/>
        <v>18</v>
      </c>
      <c r="AO238" s="18">
        <v>0</v>
      </c>
      <c r="AP238" s="18"/>
      <c r="AQ238" s="18">
        <f t="shared" si="62"/>
        <v>0</v>
      </c>
      <c r="AR238" s="18">
        <v>2</v>
      </c>
      <c r="AS238" s="18"/>
      <c r="AT238" s="18">
        <f t="shared" si="63"/>
        <v>2</v>
      </c>
      <c r="AU238" s="18">
        <v>66610</v>
      </c>
      <c r="AV238" s="18"/>
      <c r="AW238" s="18">
        <f t="shared" si="64"/>
        <v>66610</v>
      </c>
      <c r="AX238" s="18">
        <v>0</v>
      </c>
      <c r="AY238" s="18"/>
      <c r="AZ238" s="18">
        <f t="shared" si="65"/>
        <v>0</v>
      </c>
      <c r="BA238" s="18">
        <v>0</v>
      </c>
      <c r="BB238" s="18"/>
      <c r="BC238" s="18">
        <f t="shared" si="66"/>
        <v>0</v>
      </c>
      <c r="BD238" s="18">
        <v>0</v>
      </c>
      <c r="BE238" s="18"/>
      <c r="BF238" s="18">
        <f t="shared" si="67"/>
        <v>0</v>
      </c>
    </row>
    <row r="239" spans="1:58" ht="25.5" x14ac:dyDescent="0.25">
      <c r="A239" s="124" t="s">
        <v>1354</v>
      </c>
      <c r="B239" s="124" t="s">
        <v>1468</v>
      </c>
      <c r="C239" s="18" t="s">
        <v>1900</v>
      </c>
      <c r="D239" s="18" t="s">
        <v>1901</v>
      </c>
      <c r="E239" s="18" t="s">
        <v>1483</v>
      </c>
      <c r="F239" s="18" t="s">
        <v>1111</v>
      </c>
      <c r="G239" s="119">
        <v>43131</v>
      </c>
      <c r="H239" s="18">
        <v>0</v>
      </c>
      <c r="I239" s="18"/>
      <c r="J239" s="18">
        <f t="shared" si="51"/>
        <v>0</v>
      </c>
      <c r="K239" s="18">
        <v>0</v>
      </c>
      <c r="L239" s="18"/>
      <c r="M239" s="18">
        <f t="shared" si="52"/>
        <v>0</v>
      </c>
      <c r="N239" s="18">
        <v>20</v>
      </c>
      <c r="O239" s="18"/>
      <c r="P239" s="18">
        <f t="shared" si="53"/>
        <v>20</v>
      </c>
      <c r="Q239" s="18">
        <v>5</v>
      </c>
      <c r="R239" s="18"/>
      <c r="S239" s="18">
        <f t="shared" si="54"/>
        <v>5</v>
      </c>
      <c r="T239" s="18">
        <v>1</v>
      </c>
      <c r="U239" s="18"/>
      <c r="V239" s="18">
        <f t="shared" si="55"/>
        <v>1</v>
      </c>
      <c r="W239" s="18">
        <v>457</v>
      </c>
      <c r="X239" s="18"/>
      <c r="Y239" s="18">
        <f t="shared" si="56"/>
        <v>457</v>
      </c>
      <c r="Z239" s="18">
        <v>33.823999999999998</v>
      </c>
      <c r="AA239" s="18"/>
      <c r="AB239" s="18">
        <f t="shared" si="57"/>
        <v>33.823999999999998</v>
      </c>
      <c r="AC239" s="18">
        <v>75.313999999999993</v>
      </c>
      <c r="AD239" s="18"/>
      <c r="AE239" s="18">
        <f t="shared" si="58"/>
        <v>75.313999999999993</v>
      </c>
      <c r="AF239" s="18">
        <v>41491</v>
      </c>
      <c r="AG239" s="18"/>
      <c r="AH239" s="18">
        <f t="shared" si="59"/>
        <v>41491</v>
      </c>
      <c r="AI239" s="18">
        <v>124870</v>
      </c>
      <c r="AJ239" s="18"/>
      <c r="AK239" s="18">
        <f t="shared" si="60"/>
        <v>124870</v>
      </c>
      <c r="AL239" s="18">
        <v>95</v>
      </c>
      <c r="AM239" s="18"/>
      <c r="AN239" s="18">
        <f t="shared" si="61"/>
        <v>95</v>
      </c>
      <c r="AO239" s="18">
        <v>22</v>
      </c>
      <c r="AP239" s="18"/>
      <c r="AQ239" s="18">
        <f t="shared" si="62"/>
        <v>22</v>
      </c>
      <c r="AR239" s="18">
        <v>1</v>
      </c>
      <c r="AS239" s="18"/>
      <c r="AT239" s="18">
        <f t="shared" si="63"/>
        <v>1</v>
      </c>
      <c r="AU239" s="18">
        <v>29219.01</v>
      </c>
      <c r="AV239" s="18"/>
      <c r="AW239" s="18">
        <f t="shared" si="64"/>
        <v>29219.01</v>
      </c>
      <c r="AX239" s="18">
        <v>0</v>
      </c>
      <c r="AY239" s="18"/>
      <c r="AZ239" s="18">
        <f t="shared" si="65"/>
        <v>0</v>
      </c>
      <c r="BA239" s="18">
        <v>0</v>
      </c>
      <c r="BB239" s="18"/>
      <c r="BC239" s="18">
        <f t="shared" si="66"/>
        <v>0</v>
      </c>
      <c r="BD239" s="18">
        <v>0</v>
      </c>
      <c r="BE239" s="18"/>
      <c r="BF239" s="18">
        <f t="shared" si="67"/>
        <v>0</v>
      </c>
    </row>
    <row r="240" spans="1:58" ht="25.5" x14ac:dyDescent="0.25">
      <c r="A240" s="124" t="s">
        <v>1355</v>
      </c>
      <c r="B240" s="124" t="s">
        <v>1468</v>
      </c>
      <c r="C240" s="18" t="s">
        <v>1902</v>
      </c>
      <c r="D240" s="18" t="s">
        <v>1903</v>
      </c>
      <c r="E240" s="18" t="s">
        <v>1483</v>
      </c>
      <c r="F240" s="18" t="s">
        <v>1111</v>
      </c>
      <c r="G240" s="119">
        <v>43131</v>
      </c>
      <c r="H240" s="18">
        <v>0</v>
      </c>
      <c r="I240" s="18"/>
      <c r="J240" s="18">
        <f t="shared" si="51"/>
        <v>0</v>
      </c>
      <c r="K240" s="18">
        <v>0</v>
      </c>
      <c r="L240" s="18"/>
      <c r="M240" s="18">
        <f t="shared" si="52"/>
        <v>0</v>
      </c>
      <c r="N240" s="18">
        <v>65.8</v>
      </c>
      <c r="O240" s="18"/>
      <c r="P240" s="18">
        <f t="shared" si="53"/>
        <v>65.8</v>
      </c>
      <c r="Q240" s="18">
        <v>5</v>
      </c>
      <c r="R240" s="18"/>
      <c r="S240" s="18">
        <f t="shared" si="54"/>
        <v>5</v>
      </c>
      <c r="T240" s="18">
        <v>1</v>
      </c>
      <c r="U240" s="18"/>
      <c r="V240" s="18">
        <f t="shared" si="55"/>
        <v>1</v>
      </c>
      <c r="W240" s="18">
        <v>1123.31</v>
      </c>
      <c r="X240" s="18"/>
      <c r="Y240" s="18">
        <f t="shared" si="56"/>
        <v>1123.31</v>
      </c>
      <c r="Z240" s="18">
        <v>26.577000000000002</v>
      </c>
      <c r="AA240" s="18"/>
      <c r="AB240" s="18">
        <f t="shared" si="57"/>
        <v>26.577000000000002</v>
      </c>
      <c r="AC240" s="18">
        <v>61.414000000000001</v>
      </c>
      <c r="AD240" s="18"/>
      <c r="AE240" s="18">
        <f t="shared" si="58"/>
        <v>61.414000000000001</v>
      </c>
      <c r="AF240" s="18">
        <v>34837</v>
      </c>
      <c r="AG240" s="18"/>
      <c r="AH240" s="18">
        <f t="shared" si="59"/>
        <v>34837</v>
      </c>
      <c r="AI240" s="18">
        <v>286119.28000000003</v>
      </c>
      <c r="AJ240" s="18"/>
      <c r="AK240" s="18">
        <f t="shared" si="60"/>
        <v>286119.28000000003</v>
      </c>
      <c r="AL240" s="18">
        <v>77</v>
      </c>
      <c r="AM240" s="18"/>
      <c r="AN240" s="18">
        <f t="shared" si="61"/>
        <v>77</v>
      </c>
      <c r="AO240" s="18">
        <v>0</v>
      </c>
      <c r="AP240" s="18"/>
      <c r="AQ240" s="18">
        <f t="shared" si="62"/>
        <v>0</v>
      </c>
      <c r="AR240" s="18">
        <v>1</v>
      </c>
      <c r="AS240" s="18"/>
      <c r="AT240" s="18">
        <f t="shared" si="63"/>
        <v>1</v>
      </c>
      <c r="AU240" s="18">
        <v>40726.22</v>
      </c>
      <c r="AV240" s="18"/>
      <c r="AW240" s="18">
        <f t="shared" si="64"/>
        <v>40726.22</v>
      </c>
      <c r="AX240" s="18">
        <v>0</v>
      </c>
      <c r="AY240" s="18"/>
      <c r="AZ240" s="18">
        <f t="shared" si="65"/>
        <v>0</v>
      </c>
      <c r="BA240" s="18">
        <v>0</v>
      </c>
      <c r="BB240" s="18"/>
      <c r="BC240" s="18">
        <f t="shared" si="66"/>
        <v>0</v>
      </c>
      <c r="BD240" s="18">
        <v>0</v>
      </c>
      <c r="BE240" s="18"/>
      <c r="BF240" s="18">
        <f t="shared" si="67"/>
        <v>0</v>
      </c>
    </row>
    <row r="241" spans="1:58" ht="25.5" x14ac:dyDescent="0.25">
      <c r="A241" s="124" t="s">
        <v>1356</v>
      </c>
      <c r="B241" s="124" t="s">
        <v>1468</v>
      </c>
      <c r="C241" s="18" t="s">
        <v>1904</v>
      </c>
      <c r="D241" s="18" t="s">
        <v>1905</v>
      </c>
      <c r="E241" s="18" t="s">
        <v>1471</v>
      </c>
      <c r="F241" s="18" t="s">
        <v>1111</v>
      </c>
      <c r="G241" s="119">
        <v>43131</v>
      </c>
      <c r="H241" s="18">
        <v>0</v>
      </c>
      <c r="I241" s="18"/>
      <c r="J241" s="18">
        <f t="shared" si="51"/>
        <v>0</v>
      </c>
      <c r="K241" s="18">
        <v>0</v>
      </c>
      <c r="L241" s="18"/>
      <c r="M241" s="18">
        <f t="shared" si="52"/>
        <v>0</v>
      </c>
      <c r="N241" s="18">
        <v>2.4799999999999999E-2</v>
      </c>
      <c r="O241" s="18"/>
      <c r="P241" s="18">
        <f t="shared" si="53"/>
        <v>2.4799999999999999E-2</v>
      </c>
      <c r="Q241" s="18">
        <v>3</v>
      </c>
      <c r="R241" s="18"/>
      <c r="S241" s="18">
        <f t="shared" si="54"/>
        <v>3</v>
      </c>
      <c r="T241" s="18">
        <v>1</v>
      </c>
      <c r="U241" s="18"/>
      <c r="V241" s="18">
        <f t="shared" si="55"/>
        <v>1</v>
      </c>
      <c r="W241" s="18">
        <v>0</v>
      </c>
      <c r="X241" s="18"/>
      <c r="Y241" s="18">
        <f t="shared" si="56"/>
        <v>0</v>
      </c>
      <c r="Z241" s="18">
        <v>262.94139999999999</v>
      </c>
      <c r="AA241" s="18"/>
      <c r="AB241" s="18">
        <f t="shared" si="57"/>
        <v>262.94139999999999</v>
      </c>
      <c r="AC241" s="18">
        <v>656.97299999999996</v>
      </c>
      <c r="AD241" s="18"/>
      <c r="AE241" s="18">
        <f t="shared" si="58"/>
        <v>656.97299999999996</v>
      </c>
      <c r="AF241" s="18">
        <v>394031.56</v>
      </c>
      <c r="AG241" s="18"/>
      <c r="AH241" s="18">
        <f t="shared" si="59"/>
        <v>394031.56</v>
      </c>
      <c r="AI241" s="18">
        <v>128745</v>
      </c>
      <c r="AJ241" s="18"/>
      <c r="AK241" s="18">
        <f t="shared" si="60"/>
        <v>128745</v>
      </c>
      <c r="AL241" s="18">
        <v>8.2699999999999996E-2</v>
      </c>
      <c r="AM241" s="18"/>
      <c r="AN241" s="18">
        <f t="shared" si="61"/>
        <v>8.2699999999999996E-2</v>
      </c>
      <c r="AO241" s="18">
        <v>0</v>
      </c>
      <c r="AP241" s="18"/>
      <c r="AQ241" s="18">
        <f t="shared" si="62"/>
        <v>0</v>
      </c>
      <c r="AR241" s="18">
        <v>7.5300000000000006E-2</v>
      </c>
      <c r="AS241" s="18"/>
      <c r="AT241" s="18">
        <f t="shared" si="63"/>
        <v>7.5300000000000006E-2</v>
      </c>
      <c r="AU241" s="18">
        <v>106.64</v>
      </c>
      <c r="AV241" s="18"/>
      <c r="AW241" s="18">
        <f t="shared" si="64"/>
        <v>106.64</v>
      </c>
      <c r="AX241" s="18">
        <v>0</v>
      </c>
      <c r="AY241" s="18"/>
      <c r="AZ241" s="18">
        <f t="shared" si="65"/>
        <v>0</v>
      </c>
      <c r="BA241" s="18">
        <v>0</v>
      </c>
      <c r="BB241" s="18"/>
      <c r="BC241" s="18">
        <f t="shared" si="66"/>
        <v>0</v>
      </c>
      <c r="BD241" s="18">
        <v>0</v>
      </c>
      <c r="BE241" s="18"/>
      <c r="BF241" s="18">
        <f t="shared" si="67"/>
        <v>0</v>
      </c>
    </row>
    <row r="242" spans="1:58" ht="25.5" x14ac:dyDescent="0.25">
      <c r="A242" s="124" t="s">
        <v>1357</v>
      </c>
      <c r="B242" s="124" t="s">
        <v>1468</v>
      </c>
      <c r="C242" s="18" t="s">
        <v>1906</v>
      </c>
      <c r="D242" s="18" t="s">
        <v>1907</v>
      </c>
      <c r="E242" s="18" t="s">
        <v>1489</v>
      </c>
      <c r="F242" s="18" t="s">
        <v>1111</v>
      </c>
      <c r="G242" s="119">
        <v>43100</v>
      </c>
      <c r="H242" s="18">
        <v>3.0009000000000001</v>
      </c>
      <c r="I242" s="18"/>
      <c r="J242" s="18">
        <f t="shared" si="51"/>
        <v>3.0009000000000001</v>
      </c>
      <c r="K242" s="18">
        <v>9.9274000000000004</v>
      </c>
      <c r="L242" s="18"/>
      <c r="M242" s="18">
        <f t="shared" si="52"/>
        <v>9.9274000000000004</v>
      </c>
      <c r="N242" s="18">
        <v>1.41E-2</v>
      </c>
      <c r="O242" s="18"/>
      <c r="P242" s="18">
        <f t="shared" si="53"/>
        <v>1.41E-2</v>
      </c>
      <c r="Q242" s="18">
        <v>3</v>
      </c>
      <c r="R242" s="18"/>
      <c r="S242" s="18">
        <f t="shared" si="54"/>
        <v>3</v>
      </c>
      <c r="T242" s="18">
        <v>1</v>
      </c>
      <c r="U242" s="18"/>
      <c r="V242" s="18">
        <f t="shared" si="55"/>
        <v>1</v>
      </c>
      <c r="W242" s="18">
        <v>364.14</v>
      </c>
      <c r="X242" s="18"/>
      <c r="Y242" s="18">
        <f t="shared" si="56"/>
        <v>364.14</v>
      </c>
      <c r="Z242" s="18">
        <v>62.804200000000002</v>
      </c>
      <c r="AA242" s="18"/>
      <c r="AB242" s="18">
        <f t="shared" si="57"/>
        <v>62.804200000000002</v>
      </c>
      <c r="AC242" s="18">
        <v>586.95500000000004</v>
      </c>
      <c r="AD242" s="18"/>
      <c r="AE242" s="18">
        <f t="shared" si="58"/>
        <v>586.95500000000004</v>
      </c>
      <c r="AF242" s="18">
        <v>524150.82</v>
      </c>
      <c r="AG242" s="18"/>
      <c r="AH242" s="18">
        <f t="shared" si="59"/>
        <v>524150.82</v>
      </c>
      <c r="AI242" s="18">
        <v>119128.8</v>
      </c>
      <c r="AJ242" s="18"/>
      <c r="AK242" s="18">
        <f t="shared" si="60"/>
        <v>119128.8</v>
      </c>
      <c r="AL242" s="18">
        <v>47.2</v>
      </c>
      <c r="AM242" s="18"/>
      <c r="AN242" s="18">
        <f t="shared" si="61"/>
        <v>47.2</v>
      </c>
      <c r="AO242" s="18">
        <v>8.59</v>
      </c>
      <c r="AP242" s="18"/>
      <c r="AQ242" s="18">
        <f t="shared" si="62"/>
        <v>8.59</v>
      </c>
      <c r="AR242" s="18">
        <v>42.95</v>
      </c>
      <c r="AS242" s="18"/>
      <c r="AT242" s="18">
        <f t="shared" si="63"/>
        <v>42.95</v>
      </c>
      <c r="AU242" s="18">
        <v>180962.32</v>
      </c>
      <c r="AV242" s="18"/>
      <c r="AW242" s="18">
        <f t="shared" si="64"/>
        <v>180962.32</v>
      </c>
      <c r="AX242" s="18">
        <v>3.0009000000000001</v>
      </c>
      <c r="AY242" s="18"/>
      <c r="AZ242" s="18">
        <f t="shared" si="65"/>
        <v>3.0009000000000001</v>
      </c>
      <c r="BA242" s="18">
        <v>12.9283</v>
      </c>
      <c r="BB242" s="18"/>
      <c r="BC242" s="18">
        <f t="shared" si="66"/>
        <v>12.9283</v>
      </c>
      <c r="BD242" s="18">
        <v>0</v>
      </c>
      <c r="BE242" s="18"/>
      <c r="BF242" s="18">
        <f t="shared" si="67"/>
        <v>0</v>
      </c>
    </row>
    <row r="243" spans="1:58" ht="38.25" x14ac:dyDescent="0.25">
      <c r="A243" s="124" t="s">
        <v>1358</v>
      </c>
      <c r="B243" s="124" t="s">
        <v>1468</v>
      </c>
      <c r="C243" s="18" t="s">
        <v>1908</v>
      </c>
      <c r="D243" s="18" t="s">
        <v>1909</v>
      </c>
      <c r="E243" s="18" t="s">
        <v>1474</v>
      </c>
      <c r="F243" s="18" t="s">
        <v>1111</v>
      </c>
      <c r="G243" s="119">
        <v>43281</v>
      </c>
      <c r="H243" s="18">
        <v>0</v>
      </c>
      <c r="I243" s="18"/>
      <c r="J243" s="18">
        <f t="shared" si="51"/>
        <v>0</v>
      </c>
      <c r="K243" s="18">
        <v>0</v>
      </c>
      <c r="L243" s="18"/>
      <c r="M243" s="18">
        <f t="shared" si="52"/>
        <v>0</v>
      </c>
      <c r="N243" s="18">
        <v>43.57</v>
      </c>
      <c r="O243" s="18"/>
      <c r="P243" s="18">
        <f t="shared" si="53"/>
        <v>43.57</v>
      </c>
      <c r="Q243" s="18">
        <v>1</v>
      </c>
      <c r="R243" s="18"/>
      <c r="S243" s="18">
        <f t="shared" si="54"/>
        <v>1</v>
      </c>
      <c r="T243" s="18">
        <v>3</v>
      </c>
      <c r="U243" s="18"/>
      <c r="V243" s="18">
        <f t="shared" si="55"/>
        <v>3</v>
      </c>
      <c r="W243" s="18">
        <v>2210.9899999999998</v>
      </c>
      <c r="X243" s="18"/>
      <c r="Y243" s="18">
        <f t="shared" si="56"/>
        <v>2210.9899999999998</v>
      </c>
      <c r="Z243" s="18">
        <v>69.55</v>
      </c>
      <c r="AA243" s="18"/>
      <c r="AB243" s="18">
        <f t="shared" si="57"/>
        <v>69.55</v>
      </c>
      <c r="AC243" s="18">
        <v>298.67</v>
      </c>
      <c r="AD243" s="18"/>
      <c r="AE243" s="18">
        <f t="shared" si="58"/>
        <v>298.67</v>
      </c>
      <c r="AF243" s="18">
        <v>229110</v>
      </c>
      <c r="AG243" s="18"/>
      <c r="AH243" s="18">
        <f t="shared" si="59"/>
        <v>229110</v>
      </c>
      <c r="AI243" s="18">
        <v>229110</v>
      </c>
      <c r="AJ243" s="18"/>
      <c r="AK243" s="18">
        <f t="shared" si="60"/>
        <v>229110</v>
      </c>
      <c r="AL243" s="18">
        <v>54.96</v>
      </c>
      <c r="AM243" s="18"/>
      <c r="AN243" s="18">
        <f t="shared" si="61"/>
        <v>54.96</v>
      </c>
      <c r="AO243" s="18">
        <v>0.55000000000000004</v>
      </c>
      <c r="AP243" s="18"/>
      <c r="AQ243" s="18">
        <f t="shared" si="62"/>
        <v>0.55000000000000004</v>
      </c>
      <c r="AR243" s="18">
        <v>2</v>
      </c>
      <c r="AS243" s="18"/>
      <c r="AT243" s="18">
        <f t="shared" si="63"/>
        <v>2</v>
      </c>
      <c r="AU243" s="18">
        <v>229110</v>
      </c>
      <c r="AV243" s="18"/>
      <c r="AW243" s="18">
        <f t="shared" si="64"/>
        <v>229110</v>
      </c>
      <c r="AX243" s="18">
        <v>0</v>
      </c>
      <c r="AY243" s="18"/>
      <c r="AZ243" s="18">
        <f t="shared" si="65"/>
        <v>0</v>
      </c>
      <c r="BA243" s="18">
        <v>0</v>
      </c>
      <c r="BB243" s="18"/>
      <c r="BC243" s="18">
        <f t="shared" si="66"/>
        <v>0</v>
      </c>
      <c r="BD243" s="18">
        <v>0</v>
      </c>
      <c r="BE243" s="18"/>
      <c r="BF243" s="18">
        <f t="shared" si="67"/>
        <v>0</v>
      </c>
    </row>
    <row r="244" spans="1:58" ht="38.25" x14ac:dyDescent="0.25">
      <c r="A244" s="124" t="s">
        <v>1359</v>
      </c>
      <c r="B244" s="124" t="s">
        <v>1468</v>
      </c>
      <c r="C244" s="18" t="s">
        <v>1910</v>
      </c>
      <c r="D244" s="18" t="s">
        <v>1911</v>
      </c>
      <c r="E244" s="18" t="s">
        <v>1471</v>
      </c>
      <c r="F244" s="18" t="s">
        <v>1111</v>
      </c>
      <c r="G244" s="119">
        <v>43131</v>
      </c>
      <c r="H244" s="18">
        <v>1</v>
      </c>
      <c r="I244" s="18"/>
      <c r="J244" s="18">
        <f t="shared" si="51"/>
        <v>1</v>
      </c>
      <c r="K244" s="18">
        <v>0</v>
      </c>
      <c r="L244" s="18"/>
      <c r="M244" s="18">
        <f t="shared" si="52"/>
        <v>0</v>
      </c>
      <c r="N244" s="18">
        <v>10.95</v>
      </c>
      <c r="O244" s="18"/>
      <c r="P244" s="18">
        <f t="shared" si="53"/>
        <v>10.95</v>
      </c>
      <c r="Q244" s="18">
        <v>5</v>
      </c>
      <c r="R244" s="18"/>
      <c r="S244" s="18">
        <f t="shared" si="54"/>
        <v>5</v>
      </c>
      <c r="T244" s="18">
        <v>1</v>
      </c>
      <c r="U244" s="18"/>
      <c r="V244" s="18">
        <f t="shared" si="55"/>
        <v>1</v>
      </c>
      <c r="W244" s="18">
        <v>505.26</v>
      </c>
      <c r="X244" s="18"/>
      <c r="Y244" s="18">
        <f t="shared" si="56"/>
        <v>505.26</v>
      </c>
      <c r="Z244" s="18">
        <v>9.5150000000000006</v>
      </c>
      <c r="AA244" s="18"/>
      <c r="AB244" s="18">
        <f t="shared" si="57"/>
        <v>9.5150000000000006</v>
      </c>
      <c r="AC244" s="18">
        <v>48.84</v>
      </c>
      <c r="AD244" s="18"/>
      <c r="AE244" s="18">
        <f t="shared" si="58"/>
        <v>48.84</v>
      </c>
      <c r="AF244" s="18">
        <v>39329.25</v>
      </c>
      <c r="AG244" s="18"/>
      <c r="AH244" s="18">
        <f t="shared" si="59"/>
        <v>39329.25</v>
      </c>
      <c r="AI244" s="18">
        <v>45306.12</v>
      </c>
      <c r="AJ244" s="18"/>
      <c r="AK244" s="18">
        <f t="shared" si="60"/>
        <v>45306.12</v>
      </c>
      <c r="AL244" s="18">
        <v>5.9</v>
      </c>
      <c r="AM244" s="18"/>
      <c r="AN244" s="18">
        <f t="shared" si="61"/>
        <v>5.9</v>
      </c>
      <c r="AO244" s="18">
        <v>0</v>
      </c>
      <c r="AP244" s="18"/>
      <c r="AQ244" s="18">
        <f t="shared" si="62"/>
        <v>0</v>
      </c>
      <c r="AR244" s="18">
        <v>3.6299999999999999E-2</v>
      </c>
      <c r="AS244" s="18"/>
      <c r="AT244" s="18">
        <f t="shared" si="63"/>
        <v>3.6299999999999999E-2</v>
      </c>
      <c r="AU244" s="18">
        <v>54238.29</v>
      </c>
      <c r="AV244" s="18"/>
      <c r="AW244" s="18">
        <f t="shared" si="64"/>
        <v>54238.29</v>
      </c>
      <c r="AX244" s="18">
        <v>1E-3</v>
      </c>
      <c r="AY244" s="18"/>
      <c r="AZ244" s="18">
        <f t="shared" si="65"/>
        <v>1E-3</v>
      </c>
      <c r="BA244" s="18">
        <v>1E-3</v>
      </c>
      <c r="BB244" s="18"/>
      <c r="BC244" s="18">
        <f t="shared" si="66"/>
        <v>1E-3</v>
      </c>
      <c r="BD244" s="18">
        <v>0</v>
      </c>
      <c r="BE244" s="18"/>
      <c r="BF244" s="18">
        <f t="shared" si="67"/>
        <v>0</v>
      </c>
    </row>
    <row r="245" spans="1:58" ht="38.25" x14ac:dyDescent="0.25">
      <c r="A245" s="124" t="s">
        <v>1360</v>
      </c>
      <c r="B245" s="124" t="s">
        <v>1468</v>
      </c>
      <c r="C245" s="18" t="s">
        <v>1912</v>
      </c>
      <c r="D245" s="18" t="s">
        <v>1913</v>
      </c>
      <c r="E245" s="18" t="s">
        <v>1471</v>
      </c>
      <c r="F245" s="18" t="s">
        <v>1111</v>
      </c>
      <c r="G245" s="119">
        <v>43465</v>
      </c>
      <c r="H245" s="18">
        <v>0</v>
      </c>
      <c r="I245" s="18"/>
      <c r="J245" s="18">
        <f t="shared" si="51"/>
        <v>0</v>
      </c>
      <c r="K245" s="18">
        <v>0</v>
      </c>
      <c r="L245" s="18"/>
      <c r="M245" s="18">
        <f t="shared" si="52"/>
        <v>0</v>
      </c>
      <c r="N245" s="18">
        <v>18.669</v>
      </c>
      <c r="O245" s="18"/>
      <c r="P245" s="18">
        <f t="shared" si="53"/>
        <v>18.669</v>
      </c>
      <c r="Q245" s="18">
        <v>1</v>
      </c>
      <c r="R245" s="18"/>
      <c r="S245" s="18">
        <f t="shared" si="54"/>
        <v>1</v>
      </c>
      <c r="T245" s="18">
        <v>1</v>
      </c>
      <c r="U245" s="18"/>
      <c r="V245" s="18">
        <f t="shared" si="55"/>
        <v>1</v>
      </c>
      <c r="W245" s="18">
        <v>708.03200000000004</v>
      </c>
      <c r="X245" s="18"/>
      <c r="Y245" s="18">
        <f t="shared" si="56"/>
        <v>708.03200000000004</v>
      </c>
      <c r="Z245" s="18">
        <v>53.197000000000003</v>
      </c>
      <c r="AA245" s="18"/>
      <c r="AB245" s="18">
        <f t="shared" si="57"/>
        <v>53.197000000000003</v>
      </c>
      <c r="AC245" s="18">
        <v>116.285</v>
      </c>
      <c r="AD245" s="18"/>
      <c r="AE245" s="18">
        <f t="shared" si="58"/>
        <v>116.285</v>
      </c>
      <c r="AF245" s="18">
        <v>63087</v>
      </c>
      <c r="AG245" s="18"/>
      <c r="AH245" s="18">
        <f t="shared" si="59"/>
        <v>63087</v>
      </c>
      <c r="AI245" s="18">
        <v>176117</v>
      </c>
      <c r="AJ245" s="18"/>
      <c r="AK245" s="18">
        <f t="shared" si="60"/>
        <v>176117</v>
      </c>
      <c r="AL245" s="18">
        <v>0</v>
      </c>
      <c r="AM245" s="18"/>
      <c r="AN245" s="18">
        <f t="shared" si="61"/>
        <v>0</v>
      </c>
      <c r="AO245" s="18">
        <v>0</v>
      </c>
      <c r="AP245" s="18"/>
      <c r="AQ245" s="18">
        <f t="shared" si="62"/>
        <v>0</v>
      </c>
      <c r="AR245" s="18">
        <v>0</v>
      </c>
      <c r="AS245" s="18"/>
      <c r="AT245" s="18">
        <f t="shared" si="63"/>
        <v>0</v>
      </c>
      <c r="AU245" s="18">
        <v>176117</v>
      </c>
      <c r="AV245" s="18"/>
      <c r="AW245" s="18">
        <f t="shared" si="64"/>
        <v>176117</v>
      </c>
      <c r="AX245" s="18">
        <v>0</v>
      </c>
      <c r="AY245" s="18"/>
      <c r="AZ245" s="18">
        <f t="shared" si="65"/>
        <v>0</v>
      </c>
      <c r="BA245" s="18">
        <v>0</v>
      </c>
      <c r="BB245" s="18"/>
      <c r="BC245" s="18">
        <f t="shared" si="66"/>
        <v>0</v>
      </c>
      <c r="BD245" s="18">
        <v>0</v>
      </c>
      <c r="BE245" s="18"/>
      <c r="BF245" s="18">
        <f t="shared" si="67"/>
        <v>0</v>
      </c>
    </row>
    <row r="246" spans="1:58" ht="38.25" x14ac:dyDescent="0.25">
      <c r="A246" s="124" t="s">
        <v>1361</v>
      </c>
      <c r="B246" s="124" t="s">
        <v>1468</v>
      </c>
      <c r="C246" s="18" t="s">
        <v>1914</v>
      </c>
      <c r="D246" s="18" t="s">
        <v>1915</v>
      </c>
      <c r="E246" s="18" t="s">
        <v>1477</v>
      </c>
      <c r="F246" s="18" t="s">
        <v>1111</v>
      </c>
      <c r="G246" s="119">
        <v>43131</v>
      </c>
      <c r="H246" s="18">
        <v>0</v>
      </c>
      <c r="I246" s="18"/>
      <c r="J246" s="18">
        <f t="shared" si="51"/>
        <v>0</v>
      </c>
      <c r="K246" s="18">
        <v>0</v>
      </c>
      <c r="L246" s="18"/>
      <c r="M246" s="18">
        <f t="shared" si="52"/>
        <v>0</v>
      </c>
      <c r="N246" s="18">
        <v>11.7262</v>
      </c>
      <c r="O246" s="18"/>
      <c r="P246" s="18">
        <f t="shared" si="53"/>
        <v>11.7262</v>
      </c>
      <c r="Q246" s="18">
        <v>3</v>
      </c>
      <c r="R246" s="18"/>
      <c r="S246" s="18">
        <f t="shared" si="54"/>
        <v>3</v>
      </c>
      <c r="T246" s="18">
        <v>1</v>
      </c>
      <c r="U246" s="18"/>
      <c r="V246" s="18">
        <f t="shared" si="55"/>
        <v>1</v>
      </c>
      <c r="W246" s="18">
        <v>544.62</v>
      </c>
      <c r="X246" s="18"/>
      <c r="Y246" s="18">
        <f t="shared" si="56"/>
        <v>544.62</v>
      </c>
      <c r="Z246" s="18">
        <v>53.994</v>
      </c>
      <c r="AA246" s="18"/>
      <c r="AB246" s="18">
        <f t="shared" si="57"/>
        <v>53.994</v>
      </c>
      <c r="AC246" s="18">
        <v>103.015</v>
      </c>
      <c r="AD246" s="18"/>
      <c r="AE246" s="18">
        <f t="shared" si="58"/>
        <v>103.015</v>
      </c>
      <c r="AF246" s="18">
        <v>80623</v>
      </c>
      <c r="AG246" s="18"/>
      <c r="AH246" s="18">
        <f t="shared" si="59"/>
        <v>80623</v>
      </c>
      <c r="AI246" s="18">
        <v>235.923</v>
      </c>
      <c r="AJ246" s="18"/>
      <c r="AK246" s="18">
        <f t="shared" si="60"/>
        <v>235.923</v>
      </c>
      <c r="AL246" s="18">
        <v>2.4</v>
      </c>
      <c r="AM246" s="18"/>
      <c r="AN246" s="18">
        <f t="shared" si="61"/>
        <v>2.4</v>
      </c>
      <c r="AO246" s="18">
        <v>3.3</v>
      </c>
      <c r="AP246" s="18"/>
      <c r="AQ246" s="18">
        <f t="shared" si="62"/>
        <v>3.3</v>
      </c>
      <c r="AR246" s="18">
        <v>0.1</v>
      </c>
      <c r="AS246" s="18"/>
      <c r="AT246" s="18">
        <f t="shared" si="63"/>
        <v>0.1</v>
      </c>
      <c r="AU246" s="18">
        <v>103530</v>
      </c>
      <c r="AV246" s="18"/>
      <c r="AW246" s="18">
        <f t="shared" si="64"/>
        <v>103530</v>
      </c>
      <c r="AX246" s="18">
        <v>0</v>
      </c>
      <c r="AY246" s="18"/>
      <c r="AZ246" s="18">
        <f t="shared" si="65"/>
        <v>0</v>
      </c>
      <c r="BA246" s="18">
        <v>2.8000000000000001E-2</v>
      </c>
      <c r="BB246" s="18"/>
      <c r="BC246" s="18">
        <f t="shared" si="66"/>
        <v>2.8000000000000001E-2</v>
      </c>
      <c r="BD246" s="18">
        <v>2.8000000000000001E-2</v>
      </c>
      <c r="BE246" s="18"/>
      <c r="BF246" s="18">
        <f t="shared" si="67"/>
        <v>2.8000000000000001E-2</v>
      </c>
    </row>
    <row r="247" spans="1:58" ht="25.5" x14ac:dyDescent="0.25">
      <c r="A247" s="124" t="s">
        <v>1362</v>
      </c>
      <c r="B247" s="124" t="s">
        <v>1468</v>
      </c>
      <c r="C247" s="18" t="s">
        <v>1512</v>
      </c>
      <c r="D247" s="18" t="s">
        <v>1916</v>
      </c>
      <c r="E247" s="18" t="s">
        <v>1483</v>
      </c>
      <c r="F247" s="18" t="s">
        <v>1111</v>
      </c>
      <c r="G247" s="119">
        <v>43190</v>
      </c>
      <c r="H247" s="18">
        <v>5</v>
      </c>
      <c r="I247" s="18"/>
      <c r="J247" s="18">
        <f t="shared" si="51"/>
        <v>5</v>
      </c>
      <c r="K247" s="18">
        <v>0</v>
      </c>
      <c r="L247" s="18"/>
      <c r="M247" s="18">
        <f t="shared" si="52"/>
        <v>0</v>
      </c>
      <c r="N247" s="18">
        <v>45.905099999999997</v>
      </c>
      <c r="O247" s="18"/>
      <c r="P247" s="18">
        <f t="shared" si="53"/>
        <v>45.905099999999997</v>
      </c>
      <c r="Q247" s="18">
        <v>7</v>
      </c>
      <c r="R247" s="18"/>
      <c r="S247" s="18">
        <f t="shared" si="54"/>
        <v>7</v>
      </c>
      <c r="T247" s="18">
        <v>3</v>
      </c>
      <c r="U247" s="18"/>
      <c r="V247" s="18">
        <f t="shared" si="55"/>
        <v>3</v>
      </c>
      <c r="W247" s="18">
        <v>1364.67</v>
      </c>
      <c r="X247" s="18"/>
      <c r="Y247" s="18">
        <f t="shared" si="56"/>
        <v>1364.67</v>
      </c>
      <c r="Z247" s="18">
        <v>53.99</v>
      </c>
      <c r="AA247" s="18"/>
      <c r="AB247" s="18">
        <f t="shared" si="57"/>
        <v>53.99</v>
      </c>
      <c r="AC247" s="18">
        <v>220.01</v>
      </c>
      <c r="AD247" s="18"/>
      <c r="AE247" s="18">
        <f t="shared" si="58"/>
        <v>220.01</v>
      </c>
      <c r="AF247" s="18">
        <v>166022.6</v>
      </c>
      <c r="AG247" s="18"/>
      <c r="AH247" s="18">
        <f t="shared" si="59"/>
        <v>166022.6</v>
      </c>
      <c r="AI247" s="18">
        <v>247389.28</v>
      </c>
      <c r="AJ247" s="18"/>
      <c r="AK247" s="18">
        <f t="shared" si="60"/>
        <v>247389.28</v>
      </c>
      <c r="AL247" s="18">
        <v>31.2</v>
      </c>
      <c r="AM247" s="18"/>
      <c r="AN247" s="18">
        <f t="shared" si="61"/>
        <v>31.2</v>
      </c>
      <c r="AO247" s="18">
        <v>3.2</v>
      </c>
      <c r="AP247" s="18"/>
      <c r="AQ247" s="18">
        <f t="shared" si="62"/>
        <v>3.2</v>
      </c>
      <c r="AR247" s="18">
        <v>5.3</v>
      </c>
      <c r="AS247" s="18"/>
      <c r="AT247" s="18">
        <f t="shared" si="63"/>
        <v>5.3</v>
      </c>
      <c r="AU247" s="18">
        <v>327191.45</v>
      </c>
      <c r="AV247" s="18"/>
      <c r="AW247" s="18">
        <f t="shared" si="64"/>
        <v>327191.45</v>
      </c>
      <c r="AX247" s="18">
        <v>0.01</v>
      </c>
      <c r="AY247" s="18"/>
      <c r="AZ247" s="18">
        <f t="shared" si="65"/>
        <v>0.01</v>
      </c>
      <c r="BA247" s="18">
        <v>0.01</v>
      </c>
      <c r="BB247" s="18"/>
      <c r="BC247" s="18">
        <f t="shared" si="66"/>
        <v>0.01</v>
      </c>
      <c r="BD247" s="18">
        <v>0</v>
      </c>
      <c r="BE247" s="18"/>
      <c r="BF247" s="18">
        <f t="shared" si="67"/>
        <v>0</v>
      </c>
    </row>
    <row r="248" spans="1:58" ht="25.5" x14ac:dyDescent="0.25">
      <c r="A248" s="124" t="s">
        <v>1363</v>
      </c>
      <c r="B248" s="124" t="s">
        <v>1468</v>
      </c>
      <c r="C248" s="18" t="s">
        <v>1050</v>
      </c>
      <c r="D248" s="18" t="s">
        <v>1917</v>
      </c>
      <c r="E248" s="18" t="s">
        <v>1471</v>
      </c>
      <c r="F248" s="18" t="s">
        <v>1111</v>
      </c>
      <c r="G248" s="119">
        <v>43069</v>
      </c>
      <c r="H248" s="18">
        <v>17.670000000000002</v>
      </c>
      <c r="I248" s="18"/>
      <c r="J248" s="18">
        <f t="shared" si="51"/>
        <v>17.670000000000002</v>
      </c>
      <c r="K248" s="18">
        <v>0</v>
      </c>
      <c r="L248" s="18"/>
      <c r="M248" s="18">
        <f t="shared" si="52"/>
        <v>0</v>
      </c>
      <c r="N248" s="18">
        <v>21.2</v>
      </c>
      <c r="O248" s="18"/>
      <c r="P248" s="18">
        <f t="shared" si="53"/>
        <v>21.2</v>
      </c>
      <c r="Q248" s="18">
        <v>4</v>
      </c>
      <c r="R248" s="18"/>
      <c r="S248" s="18">
        <f t="shared" si="54"/>
        <v>4</v>
      </c>
      <c r="T248" s="18">
        <v>1</v>
      </c>
      <c r="U248" s="18"/>
      <c r="V248" s="18">
        <f t="shared" si="55"/>
        <v>1</v>
      </c>
      <c r="W248" s="18">
        <v>3332</v>
      </c>
      <c r="X248" s="18"/>
      <c r="Y248" s="18">
        <f t="shared" si="56"/>
        <v>3332</v>
      </c>
      <c r="Z248" s="18">
        <v>100</v>
      </c>
      <c r="AA248" s="18"/>
      <c r="AB248" s="18">
        <f t="shared" si="57"/>
        <v>100</v>
      </c>
      <c r="AC248" s="18">
        <v>365</v>
      </c>
      <c r="AD248" s="18"/>
      <c r="AE248" s="18">
        <f t="shared" si="58"/>
        <v>365</v>
      </c>
      <c r="AF248" s="18">
        <v>265047</v>
      </c>
      <c r="AG248" s="18"/>
      <c r="AH248" s="18">
        <f t="shared" si="59"/>
        <v>265047</v>
      </c>
      <c r="AI248" s="18">
        <v>265047</v>
      </c>
      <c r="AJ248" s="18"/>
      <c r="AK248" s="18">
        <f t="shared" si="60"/>
        <v>265047</v>
      </c>
      <c r="AL248" s="18">
        <v>43100</v>
      </c>
      <c r="AM248" s="18"/>
      <c r="AN248" s="18">
        <f t="shared" si="61"/>
        <v>43100</v>
      </c>
      <c r="AO248" s="18">
        <v>2200</v>
      </c>
      <c r="AP248" s="18"/>
      <c r="AQ248" s="18">
        <f t="shared" si="62"/>
        <v>2200</v>
      </c>
      <c r="AR248" s="18">
        <v>300</v>
      </c>
      <c r="AS248" s="18"/>
      <c r="AT248" s="18">
        <f t="shared" si="63"/>
        <v>300</v>
      </c>
      <c r="AU248" s="18">
        <v>225495</v>
      </c>
      <c r="AV248" s="18"/>
      <c r="AW248" s="18">
        <f t="shared" si="64"/>
        <v>225495</v>
      </c>
      <c r="AX248" s="18">
        <v>0.01</v>
      </c>
      <c r="AY248" s="18"/>
      <c r="AZ248" s="18">
        <f t="shared" si="65"/>
        <v>0.01</v>
      </c>
      <c r="BA248" s="18">
        <v>1.6E-2</v>
      </c>
      <c r="BB248" s="18"/>
      <c r="BC248" s="18">
        <f t="shared" si="66"/>
        <v>1.6E-2</v>
      </c>
      <c r="BD248" s="18">
        <v>6.0000000000000001E-3</v>
      </c>
      <c r="BE248" s="18"/>
      <c r="BF248" s="18">
        <f t="shared" si="67"/>
        <v>6.0000000000000001E-3</v>
      </c>
    </row>
    <row r="249" spans="1:58" ht="25.5" x14ac:dyDescent="0.25">
      <c r="A249" s="124" t="s">
        <v>1364</v>
      </c>
      <c r="B249" s="124" t="s">
        <v>1468</v>
      </c>
      <c r="C249" s="18" t="s">
        <v>1918</v>
      </c>
      <c r="D249" s="18" t="s">
        <v>1919</v>
      </c>
      <c r="E249" s="18" t="s">
        <v>1477</v>
      </c>
      <c r="F249" s="18" t="s">
        <v>1111</v>
      </c>
      <c r="G249" s="119">
        <v>43220</v>
      </c>
      <c r="H249" s="18">
        <v>0</v>
      </c>
      <c r="I249" s="18"/>
      <c r="J249" s="18">
        <f t="shared" si="51"/>
        <v>0</v>
      </c>
      <c r="K249" s="18">
        <v>7.1</v>
      </c>
      <c r="L249" s="18"/>
      <c r="M249" s="18">
        <f t="shared" si="52"/>
        <v>7.1</v>
      </c>
      <c r="N249" s="18">
        <v>54.21</v>
      </c>
      <c r="O249" s="18"/>
      <c r="P249" s="18">
        <f t="shared" si="53"/>
        <v>54.21</v>
      </c>
      <c r="Q249" s="18">
        <v>3</v>
      </c>
      <c r="R249" s="18"/>
      <c r="S249" s="18">
        <f t="shared" si="54"/>
        <v>3</v>
      </c>
      <c r="T249" s="18">
        <v>1</v>
      </c>
      <c r="U249" s="18"/>
      <c r="V249" s="18">
        <f t="shared" si="55"/>
        <v>1</v>
      </c>
      <c r="W249" s="18">
        <v>2500</v>
      </c>
      <c r="X249" s="18"/>
      <c r="Y249" s="18">
        <f t="shared" si="56"/>
        <v>2500</v>
      </c>
      <c r="Z249" s="18">
        <v>45.8</v>
      </c>
      <c r="AA249" s="18"/>
      <c r="AB249" s="18">
        <f t="shared" si="57"/>
        <v>45.8</v>
      </c>
      <c r="AC249" s="18">
        <v>215</v>
      </c>
      <c r="AD249" s="18"/>
      <c r="AE249" s="18">
        <f t="shared" si="58"/>
        <v>215</v>
      </c>
      <c r="AF249" s="18">
        <v>194775</v>
      </c>
      <c r="AG249" s="18"/>
      <c r="AH249" s="18">
        <f t="shared" si="59"/>
        <v>194775</v>
      </c>
      <c r="AI249" s="18">
        <v>194775</v>
      </c>
      <c r="AJ249" s="18"/>
      <c r="AK249" s="18">
        <f t="shared" si="60"/>
        <v>194775</v>
      </c>
      <c r="AL249" s="18">
        <v>113</v>
      </c>
      <c r="AM249" s="18"/>
      <c r="AN249" s="18">
        <f t="shared" si="61"/>
        <v>113</v>
      </c>
      <c r="AO249" s="18">
        <v>7</v>
      </c>
      <c r="AP249" s="18"/>
      <c r="AQ249" s="18">
        <f t="shared" si="62"/>
        <v>7</v>
      </c>
      <c r="AR249" s="18">
        <v>37</v>
      </c>
      <c r="AS249" s="18"/>
      <c r="AT249" s="18">
        <f t="shared" si="63"/>
        <v>37</v>
      </c>
      <c r="AU249" s="18">
        <v>321084</v>
      </c>
      <c r="AV249" s="18"/>
      <c r="AW249" s="18">
        <f t="shared" si="64"/>
        <v>321084</v>
      </c>
      <c r="AX249" s="18">
        <v>0</v>
      </c>
      <c r="AY249" s="18"/>
      <c r="AZ249" s="18">
        <f t="shared" si="65"/>
        <v>0</v>
      </c>
      <c r="BA249" s="18">
        <v>2.3999999999999998E-3</v>
      </c>
      <c r="BB249" s="18"/>
      <c r="BC249" s="18">
        <f t="shared" si="66"/>
        <v>2.3999999999999998E-3</v>
      </c>
      <c r="BD249" s="18">
        <v>2.3999999999999998E-3</v>
      </c>
      <c r="BE249" s="18"/>
      <c r="BF249" s="18">
        <f t="shared" si="67"/>
        <v>2.3999999999999998E-3</v>
      </c>
    </row>
    <row r="250" spans="1:58" ht="25.5" x14ac:dyDescent="0.25">
      <c r="A250" s="124" t="s">
        <v>1365</v>
      </c>
      <c r="B250" s="124" t="s">
        <v>1468</v>
      </c>
      <c r="C250" s="18" t="s">
        <v>1920</v>
      </c>
      <c r="D250" s="18" t="s">
        <v>1921</v>
      </c>
      <c r="E250" s="18" t="s">
        <v>1489</v>
      </c>
      <c r="F250" s="18" t="s">
        <v>1111</v>
      </c>
      <c r="G250" s="119">
        <v>43100</v>
      </c>
      <c r="H250" s="18">
        <v>0</v>
      </c>
      <c r="I250" s="18"/>
      <c r="J250" s="18">
        <f t="shared" si="51"/>
        <v>0</v>
      </c>
      <c r="K250" s="18">
        <v>0</v>
      </c>
      <c r="L250" s="18"/>
      <c r="M250" s="18">
        <f t="shared" si="52"/>
        <v>0</v>
      </c>
      <c r="N250" s="18">
        <v>11.21</v>
      </c>
      <c r="O250" s="18"/>
      <c r="P250" s="18">
        <f t="shared" si="53"/>
        <v>11.21</v>
      </c>
      <c r="Q250" s="18">
        <v>5</v>
      </c>
      <c r="R250" s="18"/>
      <c r="S250" s="18">
        <f t="shared" si="54"/>
        <v>5</v>
      </c>
      <c r="T250" s="18">
        <v>1</v>
      </c>
      <c r="U250" s="18"/>
      <c r="V250" s="18">
        <f t="shared" si="55"/>
        <v>1</v>
      </c>
      <c r="W250" s="18">
        <v>254.6</v>
      </c>
      <c r="X250" s="18"/>
      <c r="Y250" s="18">
        <f t="shared" si="56"/>
        <v>254.6</v>
      </c>
      <c r="Z250" s="18">
        <v>4.0039999999999996</v>
      </c>
      <c r="AA250" s="18"/>
      <c r="AB250" s="18">
        <f t="shared" si="57"/>
        <v>4.0039999999999996</v>
      </c>
      <c r="AC250" s="18">
        <v>42.274000000000001</v>
      </c>
      <c r="AD250" s="18"/>
      <c r="AE250" s="18">
        <f t="shared" si="58"/>
        <v>42.274000000000001</v>
      </c>
      <c r="AF250" s="18">
        <v>38271</v>
      </c>
      <c r="AG250" s="18"/>
      <c r="AH250" s="18">
        <f t="shared" si="59"/>
        <v>38271</v>
      </c>
      <c r="AI250" s="18">
        <v>38271</v>
      </c>
      <c r="AJ250" s="18"/>
      <c r="AK250" s="18">
        <f t="shared" si="60"/>
        <v>38271</v>
      </c>
      <c r="AL250" s="18">
        <v>6.8999999999999999E-3</v>
      </c>
      <c r="AM250" s="18"/>
      <c r="AN250" s="18">
        <f t="shared" si="61"/>
        <v>6.8999999999999999E-3</v>
      </c>
      <c r="AO250" s="18">
        <v>0</v>
      </c>
      <c r="AP250" s="18"/>
      <c r="AQ250" s="18">
        <f t="shared" si="62"/>
        <v>0</v>
      </c>
      <c r="AR250" s="18">
        <v>5.1200000000000002E-2</v>
      </c>
      <c r="AS250" s="18"/>
      <c r="AT250" s="18">
        <f t="shared" si="63"/>
        <v>5.1200000000000002E-2</v>
      </c>
      <c r="AU250" s="18">
        <v>31562</v>
      </c>
      <c r="AV250" s="18"/>
      <c r="AW250" s="18">
        <f t="shared" si="64"/>
        <v>31562</v>
      </c>
      <c r="AX250" s="18">
        <v>0</v>
      </c>
      <c r="AY250" s="18"/>
      <c r="AZ250" s="18">
        <f t="shared" si="65"/>
        <v>0</v>
      </c>
      <c r="BA250" s="18">
        <v>0</v>
      </c>
      <c r="BB250" s="18"/>
      <c r="BC250" s="18">
        <f t="shared" si="66"/>
        <v>0</v>
      </c>
      <c r="BD250" s="18">
        <v>0</v>
      </c>
      <c r="BE250" s="18"/>
      <c r="BF250" s="18">
        <f t="shared" si="67"/>
        <v>0</v>
      </c>
    </row>
    <row r="251" spans="1:58" ht="38.25" x14ac:dyDescent="0.25">
      <c r="A251" s="124" t="s">
        <v>1366</v>
      </c>
      <c r="B251" s="124" t="s">
        <v>1468</v>
      </c>
      <c r="C251" s="18" t="s">
        <v>1922</v>
      </c>
      <c r="D251" s="18" t="s">
        <v>1923</v>
      </c>
      <c r="E251" s="18" t="s">
        <v>1477</v>
      </c>
      <c r="F251" s="18" t="s">
        <v>1111</v>
      </c>
      <c r="G251" s="119">
        <v>43131</v>
      </c>
      <c r="H251" s="18">
        <v>0</v>
      </c>
      <c r="I251" s="18"/>
      <c r="J251" s="18">
        <f t="shared" si="51"/>
        <v>0</v>
      </c>
      <c r="K251" s="18">
        <v>18.986999999999998</v>
      </c>
      <c r="L251" s="18"/>
      <c r="M251" s="18">
        <f t="shared" si="52"/>
        <v>18.986999999999998</v>
      </c>
      <c r="N251" s="18">
        <v>93.793000000000006</v>
      </c>
      <c r="O251" s="18"/>
      <c r="P251" s="18">
        <f t="shared" si="53"/>
        <v>93.793000000000006</v>
      </c>
      <c r="Q251" s="18">
        <v>3</v>
      </c>
      <c r="R251" s="18"/>
      <c r="S251" s="18">
        <f t="shared" si="54"/>
        <v>3</v>
      </c>
      <c r="T251" s="18">
        <v>1</v>
      </c>
      <c r="U251" s="18"/>
      <c r="V251" s="18">
        <f t="shared" si="55"/>
        <v>1</v>
      </c>
      <c r="W251" s="18">
        <v>587.1</v>
      </c>
      <c r="X251" s="18"/>
      <c r="Y251" s="18">
        <f t="shared" si="56"/>
        <v>587.1</v>
      </c>
      <c r="Z251" s="18">
        <v>29.355</v>
      </c>
      <c r="AA251" s="18"/>
      <c r="AB251" s="18">
        <f t="shared" si="57"/>
        <v>29.355</v>
      </c>
      <c r="AC251" s="18">
        <v>206.072</v>
      </c>
      <c r="AD251" s="18"/>
      <c r="AE251" s="18">
        <f t="shared" si="58"/>
        <v>206.072</v>
      </c>
      <c r="AF251" s="18">
        <v>131453</v>
      </c>
      <c r="AG251" s="18"/>
      <c r="AH251" s="18">
        <f t="shared" si="59"/>
        <v>131453</v>
      </c>
      <c r="AI251" s="18">
        <v>131453</v>
      </c>
      <c r="AJ251" s="18"/>
      <c r="AK251" s="18">
        <f t="shared" si="60"/>
        <v>131453</v>
      </c>
      <c r="AL251" s="18">
        <v>5.3999999999999999E-2</v>
      </c>
      <c r="AM251" s="18"/>
      <c r="AN251" s="18">
        <f t="shared" si="61"/>
        <v>5.3999999999999999E-2</v>
      </c>
      <c r="AO251" s="18">
        <v>0.90400000000000003</v>
      </c>
      <c r="AP251" s="18"/>
      <c r="AQ251" s="18">
        <f t="shared" si="62"/>
        <v>0.90400000000000003</v>
      </c>
      <c r="AR251" s="18">
        <v>0.24199999999999999</v>
      </c>
      <c r="AS251" s="18"/>
      <c r="AT251" s="18">
        <f t="shared" si="63"/>
        <v>0.24199999999999999</v>
      </c>
      <c r="AU251" s="18">
        <v>176717</v>
      </c>
      <c r="AV251" s="18"/>
      <c r="AW251" s="18">
        <f t="shared" si="64"/>
        <v>176717</v>
      </c>
      <c r="AX251" s="18">
        <v>0</v>
      </c>
      <c r="AY251" s="18"/>
      <c r="AZ251" s="18">
        <f t="shared" si="65"/>
        <v>0</v>
      </c>
      <c r="BA251" s="18">
        <v>2.1000000000000001E-2</v>
      </c>
      <c r="BB251" s="18"/>
      <c r="BC251" s="18">
        <f t="shared" si="66"/>
        <v>2.1000000000000001E-2</v>
      </c>
      <c r="BD251" s="18">
        <v>2.1000000000000001E-2</v>
      </c>
      <c r="BE251" s="18"/>
      <c r="BF251" s="18">
        <f t="shared" si="67"/>
        <v>2.1000000000000001E-2</v>
      </c>
    </row>
    <row r="252" spans="1:58" ht="38.25" x14ac:dyDescent="0.25">
      <c r="A252" s="124" t="s">
        <v>1367</v>
      </c>
      <c r="B252" s="124" t="s">
        <v>1468</v>
      </c>
      <c r="C252" s="18" t="s">
        <v>1924</v>
      </c>
      <c r="D252" s="18" t="s">
        <v>1925</v>
      </c>
      <c r="E252" s="18" t="s">
        <v>1503</v>
      </c>
      <c r="F252" s="18" t="s">
        <v>1111</v>
      </c>
      <c r="G252" s="119">
        <v>43555</v>
      </c>
      <c r="H252" s="18">
        <v>0</v>
      </c>
      <c r="I252" s="18"/>
      <c r="J252" s="18">
        <f t="shared" si="51"/>
        <v>0</v>
      </c>
      <c r="K252" s="18">
        <v>0</v>
      </c>
      <c r="L252" s="18"/>
      <c r="M252" s="18">
        <f t="shared" si="52"/>
        <v>0</v>
      </c>
      <c r="N252" s="18">
        <v>9.6211000000000002</v>
      </c>
      <c r="O252" s="18"/>
      <c r="P252" s="18">
        <f t="shared" si="53"/>
        <v>0</v>
      </c>
      <c r="Q252" s="18">
        <v>3</v>
      </c>
      <c r="R252" s="18"/>
      <c r="S252" s="18">
        <f t="shared" si="54"/>
        <v>0</v>
      </c>
      <c r="T252" s="18">
        <v>1</v>
      </c>
      <c r="U252" s="18"/>
      <c r="V252" s="18">
        <f t="shared" si="55"/>
        <v>0</v>
      </c>
      <c r="W252" s="18">
        <v>521.14</v>
      </c>
      <c r="X252" s="18"/>
      <c r="Y252" s="18">
        <f t="shared" si="56"/>
        <v>0</v>
      </c>
      <c r="Z252" s="18">
        <v>9.98</v>
      </c>
      <c r="AA252" s="18"/>
      <c r="AB252" s="18">
        <f t="shared" si="57"/>
        <v>0</v>
      </c>
      <c r="AC252" s="18">
        <v>44.54</v>
      </c>
      <c r="AD252" s="18"/>
      <c r="AE252" s="18">
        <f t="shared" si="58"/>
        <v>0</v>
      </c>
      <c r="AF252" s="18">
        <v>34560</v>
      </c>
      <c r="AG252" s="18"/>
      <c r="AH252" s="18">
        <f t="shared" si="59"/>
        <v>0</v>
      </c>
      <c r="AI252" s="18">
        <v>142860.10999999999</v>
      </c>
      <c r="AJ252" s="18"/>
      <c r="AK252" s="18">
        <f t="shared" si="60"/>
        <v>0</v>
      </c>
      <c r="AL252" s="18">
        <v>6.25</v>
      </c>
      <c r="AM252" s="18"/>
      <c r="AN252" s="18">
        <f t="shared" si="61"/>
        <v>0</v>
      </c>
      <c r="AO252" s="18">
        <v>1.5</v>
      </c>
      <c r="AP252" s="18"/>
      <c r="AQ252" s="18">
        <f t="shared" si="62"/>
        <v>0</v>
      </c>
      <c r="AR252" s="18">
        <v>5.15</v>
      </c>
      <c r="AS252" s="18"/>
      <c r="AT252" s="18">
        <f t="shared" si="63"/>
        <v>0</v>
      </c>
      <c r="AU252" s="18">
        <v>232506.61</v>
      </c>
      <c r="AV252" s="18"/>
      <c r="AW252" s="18">
        <f t="shared" si="64"/>
        <v>0</v>
      </c>
      <c r="AX252" s="18">
        <v>0</v>
      </c>
      <c r="AY252" s="18"/>
      <c r="AZ252" s="18">
        <f t="shared" si="65"/>
        <v>0</v>
      </c>
      <c r="BA252" s="18">
        <v>0</v>
      </c>
      <c r="BB252" s="18"/>
      <c r="BC252" s="18">
        <f t="shared" si="66"/>
        <v>0</v>
      </c>
      <c r="BD252" s="18">
        <v>0</v>
      </c>
      <c r="BE252" s="18"/>
      <c r="BF252" s="18">
        <f t="shared" si="67"/>
        <v>0</v>
      </c>
    </row>
    <row r="253" spans="1:58" ht="25.5" x14ac:dyDescent="0.25">
      <c r="A253" s="124" t="s">
        <v>1368</v>
      </c>
      <c r="B253" s="124" t="s">
        <v>1468</v>
      </c>
      <c r="C253" s="18" t="s">
        <v>1926</v>
      </c>
      <c r="D253" s="18" t="s">
        <v>1927</v>
      </c>
      <c r="E253" s="18" t="s">
        <v>1471</v>
      </c>
      <c r="F253" s="18" t="s">
        <v>1111</v>
      </c>
      <c r="G253" s="119">
        <v>43131</v>
      </c>
      <c r="H253" s="18">
        <v>9</v>
      </c>
      <c r="I253" s="18"/>
      <c r="J253" s="18">
        <f t="shared" si="51"/>
        <v>9</v>
      </c>
      <c r="K253" s="18">
        <v>0</v>
      </c>
      <c r="L253" s="18"/>
      <c r="M253" s="18">
        <f t="shared" si="52"/>
        <v>0</v>
      </c>
      <c r="N253" s="18">
        <v>2.5700000000000001E-2</v>
      </c>
      <c r="O253" s="18"/>
      <c r="P253" s="18">
        <f t="shared" si="53"/>
        <v>2.5700000000000001E-2</v>
      </c>
      <c r="Q253" s="18">
        <v>4</v>
      </c>
      <c r="R253" s="18"/>
      <c r="S253" s="18">
        <f t="shared" si="54"/>
        <v>4</v>
      </c>
      <c r="T253" s="18">
        <v>1</v>
      </c>
      <c r="U253" s="18"/>
      <c r="V253" s="18">
        <f t="shared" si="55"/>
        <v>1</v>
      </c>
      <c r="W253" s="18">
        <v>0</v>
      </c>
      <c r="X253" s="18"/>
      <c r="Y253" s="18">
        <f t="shared" si="56"/>
        <v>0</v>
      </c>
      <c r="Z253" s="18">
        <v>12.58</v>
      </c>
      <c r="AA253" s="18"/>
      <c r="AB253" s="18">
        <f t="shared" si="57"/>
        <v>12.58</v>
      </c>
      <c r="AC253" s="18">
        <v>105.4</v>
      </c>
      <c r="AD253" s="18"/>
      <c r="AE253" s="18">
        <f t="shared" si="58"/>
        <v>105.4</v>
      </c>
      <c r="AF253" s="18">
        <v>92820</v>
      </c>
      <c r="AG253" s="18"/>
      <c r="AH253" s="18">
        <f t="shared" si="59"/>
        <v>92820</v>
      </c>
      <c r="AI253" s="18">
        <v>214760.9</v>
      </c>
      <c r="AJ253" s="18"/>
      <c r="AK253" s="18">
        <f t="shared" si="60"/>
        <v>214760.9</v>
      </c>
      <c r="AL253" s="18">
        <v>14</v>
      </c>
      <c r="AM253" s="18"/>
      <c r="AN253" s="18">
        <f t="shared" si="61"/>
        <v>14</v>
      </c>
      <c r="AO253" s="18">
        <v>0</v>
      </c>
      <c r="AP253" s="18"/>
      <c r="AQ253" s="18">
        <f t="shared" si="62"/>
        <v>0</v>
      </c>
      <c r="AR253" s="18">
        <v>9.4</v>
      </c>
      <c r="AS253" s="18"/>
      <c r="AT253" s="18">
        <f t="shared" si="63"/>
        <v>9.4</v>
      </c>
      <c r="AU253" s="18">
        <v>332116.8</v>
      </c>
      <c r="AV253" s="18"/>
      <c r="AW253" s="18">
        <f t="shared" si="64"/>
        <v>332116.8</v>
      </c>
      <c r="AX253" s="18">
        <v>0</v>
      </c>
      <c r="AY253" s="18"/>
      <c r="AZ253" s="18">
        <f t="shared" si="65"/>
        <v>0</v>
      </c>
      <c r="BA253" s="18">
        <v>0</v>
      </c>
      <c r="BB253" s="18"/>
      <c r="BC253" s="18">
        <f t="shared" si="66"/>
        <v>0</v>
      </c>
      <c r="BD253" s="18">
        <v>0</v>
      </c>
      <c r="BE253" s="18"/>
      <c r="BF253" s="18">
        <f t="shared" si="67"/>
        <v>0</v>
      </c>
    </row>
    <row r="254" spans="1:58" ht="25.5" x14ac:dyDescent="0.25">
      <c r="A254" s="124" t="s">
        <v>1369</v>
      </c>
      <c r="B254" s="124" t="s">
        <v>1468</v>
      </c>
      <c r="C254" s="18" t="s">
        <v>1928</v>
      </c>
      <c r="D254" s="18" t="s">
        <v>1929</v>
      </c>
      <c r="E254" s="18" t="s">
        <v>1500</v>
      </c>
      <c r="F254" s="18" t="s">
        <v>1111</v>
      </c>
      <c r="G254" s="119">
        <v>43555</v>
      </c>
      <c r="H254" s="18">
        <v>6.0006000000000004</v>
      </c>
      <c r="I254" s="18"/>
      <c r="J254" s="18">
        <f t="shared" si="51"/>
        <v>0</v>
      </c>
      <c r="K254" s="18">
        <v>0</v>
      </c>
      <c r="L254" s="18"/>
      <c r="M254" s="18">
        <f t="shared" si="52"/>
        <v>0</v>
      </c>
      <c r="N254" s="18">
        <v>5.2699999999999997E-2</v>
      </c>
      <c r="O254" s="18"/>
      <c r="P254" s="18">
        <f t="shared" si="53"/>
        <v>0</v>
      </c>
      <c r="Q254" s="18">
        <v>4</v>
      </c>
      <c r="R254" s="18"/>
      <c r="S254" s="18">
        <f t="shared" si="54"/>
        <v>0</v>
      </c>
      <c r="T254" s="18">
        <v>1</v>
      </c>
      <c r="U254" s="18"/>
      <c r="V254" s="18">
        <f t="shared" si="55"/>
        <v>0</v>
      </c>
      <c r="W254" s="18">
        <v>961.65</v>
      </c>
      <c r="X254" s="18"/>
      <c r="Y254" s="18">
        <f t="shared" si="56"/>
        <v>0</v>
      </c>
      <c r="Z254" s="18">
        <v>11.815</v>
      </c>
      <c r="AA254" s="18"/>
      <c r="AB254" s="18">
        <f t="shared" si="57"/>
        <v>0</v>
      </c>
      <c r="AC254" s="18">
        <v>40.743000000000002</v>
      </c>
      <c r="AD254" s="18"/>
      <c r="AE254" s="18">
        <f t="shared" si="58"/>
        <v>0</v>
      </c>
      <c r="AF254" s="18">
        <v>28.927499999999998</v>
      </c>
      <c r="AG254" s="18"/>
      <c r="AH254" s="18">
        <f t="shared" si="59"/>
        <v>0</v>
      </c>
      <c r="AI254" s="18">
        <v>97126.65</v>
      </c>
      <c r="AJ254" s="18"/>
      <c r="AK254" s="18">
        <f t="shared" si="60"/>
        <v>0</v>
      </c>
      <c r="AL254" s="18">
        <v>190.23</v>
      </c>
      <c r="AM254" s="18"/>
      <c r="AN254" s="18">
        <f t="shared" si="61"/>
        <v>0</v>
      </c>
      <c r="AO254" s="18">
        <v>34.64</v>
      </c>
      <c r="AP254" s="18"/>
      <c r="AQ254" s="18">
        <f t="shared" si="62"/>
        <v>0</v>
      </c>
      <c r="AR254" s="18">
        <v>173.13</v>
      </c>
      <c r="AS254" s="18"/>
      <c r="AT254" s="18">
        <f t="shared" si="63"/>
        <v>0</v>
      </c>
      <c r="AU254" s="18">
        <v>363503.7</v>
      </c>
      <c r="AV254" s="18"/>
      <c r="AW254" s="18">
        <f t="shared" si="64"/>
        <v>0</v>
      </c>
      <c r="AX254" s="18">
        <v>6</v>
      </c>
      <c r="AY254" s="18"/>
      <c r="AZ254" s="18">
        <f t="shared" si="65"/>
        <v>0</v>
      </c>
      <c r="BA254" s="18">
        <v>33.89</v>
      </c>
      <c r="BB254" s="18"/>
      <c r="BC254" s="18">
        <f t="shared" si="66"/>
        <v>0</v>
      </c>
      <c r="BD254" s="18">
        <v>0</v>
      </c>
      <c r="BE254" s="18"/>
      <c r="BF254" s="18">
        <f t="shared" si="67"/>
        <v>0</v>
      </c>
    </row>
    <row r="255" spans="1:58" ht="25.5" x14ac:dyDescent="0.25">
      <c r="A255" s="124" t="s">
        <v>1370</v>
      </c>
      <c r="B255" s="124" t="s">
        <v>1468</v>
      </c>
      <c r="C255" s="18" t="s">
        <v>1930</v>
      </c>
      <c r="D255" s="18" t="s">
        <v>1931</v>
      </c>
      <c r="E255" s="18" t="s">
        <v>1500</v>
      </c>
      <c r="F255" s="18" t="s">
        <v>1111</v>
      </c>
      <c r="G255" s="119">
        <v>43131</v>
      </c>
      <c r="H255" s="18">
        <v>0</v>
      </c>
      <c r="I255" s="18"/>
      <c r="J255" s="18">
        <f t="shared" si="51"/>
        <v>0</v>
      </c>
      <c r="K255" s="18">
        <v>0</v>
      </c>
      <c r="L255" s="18"/>
      <c r="M255" s="18">
        <f t="shared" si="52"/>
        <v>0</v>
      </c>
      <c r="N255" s="18">
        <v>15.638</v>
      </c>
      <c r="O255" s="18"/>
      <c r="P255" s="18">
        <f t="shared" si="53"/>
        <v>15.638</v>
      </c>
      <c r="Q255" s="18">
        <v>1</v>
      </c>
      <c r="R255" s="18"/>
      <c r="S255" s="18">
        <f t="shared" si="54"/>
        <v>1</v>
      </c>
      <c r="T255" s="18">
        <v>1</v>
      </c>
      <c r="U255" s="18"/>
      <c r="V255" s="18">
        <f t="shared" si="55"/>
        <v>1</v>
      </c>
      <c r="W255" s="18">
        <v>510.7</v>
      </c>
      <c r="X255" s="18"/>
      <c r="Y255" s="18">
        <f t="shared" si="56"/>
        <v>510.7</v>
      </c>
      <c r="Z255" s="18">
        <v>25.98</v>
      </c>
      <c r="AA255" s="18"/>
      <c r="AB255" s="18">
        <f t="shared" si="57"/>
        <v>25.98</v>
      </c>
      <c r="AC255" s="18">
        <v>94.866</v>
      </c>
      <c r="AD255" s="18"/>
      <c r="AE255" s="18">
        <f t="shared" si="58"/>
        <v>94.866</v>
      </c>
      <c r="AF255" s="18">
        <v>68886</v>
      </c>
      <c r="AG255" s="18"/>
      <c r="AH255" s="18">
        <f t="shared" si="59"/>
        <v>68886</v>
      </c>
      <c r="AI255" s="18">
        <v>68886</v>
      </c>
      <c r="AJ255" s="18"/>
      <c r="AK255" s="18">
        <f t="shared" si="60"/>
        <v>68886</v>
      </c>
      <c r="AL255" s="18">
        <v>11.21</v>
      </c>
      <c r="AM255" s="18"/>
      <c r="AN255" s="18">
        <f t="shared" si="61"/>
        <v>11.21</v>
      </c>
      <c r="AO255" s="18">
        <v>0.56999999999999995</v>
      </c>
      <c r="AP255" s="18"/>
      <c r="AQ255" s="18">
        <f t="shared" si="62"/>
        <v>0.56999999999999995</v>
      </c>
      <c r="AR255" s="18">
        <v>7.0000000000000007E-2</v>
      </c>
      <c r="AS255" s="18"/>
      <c r="AT255" s="18">
        <f t="shared" si="63"/>
        <v>7.0000000000000007E-2</v>
      </c>
      <c r="AU255" s="18">
        <v>127889</v>
      </c>
      <c r="AV255" s="18"/>
      <c r="AW255" s="18">
        <f t="shared" si="64"/>
        <v>127889</v>
      </c>
      <c r="AX255" s="18">
        <v>0</v>
      </c>
      <c r="AY255" s="18"/>
      <c r="AZ255" s="18">
        <f t="shared" si="65"/>
        <v>0</v>
      </c>
      <c r="BA255" s="18">
        <v>0</v>
      </c>
      <c r="BB255" s="18"/>
      <c r="BC255" s="18">
        <f t="shared" si="66"/>
        <v>0</v>
      </c>
      <c r="BD255" s="18">
        <v>0</v>
      </c>
      <c r="BE255" s="18"/>
      <c r="BF255" s="18">
        <f t="shared" si="67"/>
        <v>0</v>
      </c>
    </row>
    <row r="256" spans="1:58" ht="38.25" x14ac:dyDescent="0.25">
      <c r="A256" s="124" t="s">
        <v>1371</v>
      </c>
      <c r="B256" s="124" t="s">
        <v>1468</v>
      </c>
      <c r="C256" s="18" t="s">
        <v>1693</v>
      </c>
      <c r="D256" s="18" t="s">
        <v>1932</v>
      </c>
      <c r="E256" s="18" t="s">
        <v>1474</v>
      </c>
      <c r="F256" s="18" t="s">
        <v>1111</v>
      </c>
      <c r="G256" s="119">
        <v>43373</v>
      </c>
      <c r="H256" s="18">
        <v>0</v>
      </c>
      <c r="I256" s="18"/>
      <c r="J256" s="18">
        <f t="shared" si="51"/>
        <v>0</v>
      </c>
      <c r="K256" s="18">
        <v>0</v>
      </c>
      <c r="L256" s="18"/>
      <c r="M256" s="18">
        <f t="shared" si="52"/>
        <v>0</v>
      </c>
      <c r="N256" s="18">
        <v>43.372199999999999</v>
      </c>
      <c r="O256" s="18"/>
      <c r="P256" s="18">
        <f t="shared" si="53"/>
        <v>43.372199999999999</v>
      </c>
      <c r="Q256" s="18">
        <v>6</v>
      </c>
      <c r="R256" s="18"/>
      <c r="S256" s="18">
        <f t="shared" si="54"/>
        <v>6</v>
      </c>
      <c r="T256" s="18">
        <v>1</v>
      </c>
      <c r="U256" s="18"/>
      <c r="V256" s="18">
        <f t="shared" si="55"/>
        <v>1</v>
      </c>
      <c r="W256" s="18">
        <v>2206.2199999999998</v>
      </c>
      <c r="X256" s="18"/>
      <c r="Y256" s="18">
        <f t="shared" si="56"/>
        <v>2206.2199999999998</v>
      </c>
      <c r="Z256" s="18">
        <v>77.34</v>
      </c>
      <c r="AA256" s="18"/>
      <c r="AB256" s="18">
        <f t="shared" si="57"/>
        <v>77.34</v>
      </c>
      <c r="AC256" s="18">
        <v>342.02</v>
      </c>
      <c r="AD256" s="18"/>
      <c r="AE256" s="18">
        <f t="shared" si="58"/>
        <v>342.02</v>
      </c>
      <c r="AF256" s="18">
        <v>264688</v>
      </c>
      <c r="AG256" s="18"/>
      <c r="AH256" s="18">
        <f t="shared" si="59"/>
        <v>264688</v>
      </c>
      <c r="AI256" s="18">
        <v>426483</v>
      </c>
      <c r="AJ256" s="18"/>
      <c r="AK256" s="18">
        <f t="shared" si="60"/>
        <v>426483</v>
      </c>
      <c r="AL256" s="18">
        <v>73.599999999999994</v>
      </c>
      <c r="AM256" s="18"/>
      <c r="AN256" s="18">
        <f t="shared" si="61"/>
        <v>73.599999999999994</v>
      </c>
      <c r="AO256" s="18">
        <v>0</v>
      </c>
      <c r="AP256" s="18"/>
      <c r="AQ256" s="18">
        <f t="shared" si="62"/>
        <v>0</v>
      </c>
      <c r="AR256" s="18">
        <v>0</v>
      </c>
      <c r="AS256" s="18"/>
      <c r="AT256" s="18">
        <f t="shared" si="63"/>
        <v>0</v>
      </c>
      <c r="AU256" s="18">
        <v>325641</v>
      </c>
      <c r="AV256" s="18"/>
      <c r="AW256" s="18">
        <f t="shared" si="64"/>
        <v>325641</v>
      </c>
      <c r="AX256" s="18">
        <v>0</v>
      </c>
      <c r="AY256" s="18"/>
      <c r="AZ256" s="18">
        <f t="shared" si="65"/>
        <v>0</v>
      </c>
      <c r="BA256" s="18">
        <v>0</v>
      </c>
      <c r="BB256" s="18"/>
      <c r="BC256" s="18">
        <f t="shared" si="66"/>
        <v>0</v>
      </c>
      <c r="BD256" s="18">
        <v>0</v>
      </c>
      <c r="BE256" s="18"/>
      <c r="BF256" s="18">
        <f t="shared" si="67"/>
        <v>0</v>
      </c>
    </row>
    <row r="257" spans="1:58" ht="38.25" x14ac:dyDescent="0.25">
      <c r="A257" s="124" t="s">
        <v>1372</v>
      </c>
      <c r="B257" s="124" t="s">
        <v>1468</v>
      </c>
      <c r="C257" s="18" t="s">
        <v>1093</v>
      </c>
      <c r="D257" s="18" t="s">
        <v>1933</v>
      </c>
      <c r="E257" s="18" t="s">
        <v>1477</v>
      </c>
      <c r="F257" s="18" t="s">
        <v>1111</v>
      </c>
      <c r="G257" s="119">
        <v>42978</v>
      </c>
      <c r="H257" s="18">
        <v>0</v>
      </c>
      <c r="I257" s="18"/>
      <c r="J257" s="18">
        <f t="shared" si="51"/>
        <v>0</v>
      </c>
      <c r="K257" s="18">
        <v>0</v>
      </c>
      <c r="L257" s="18"/>
      <c r="M257" s="18">
        <f t="shared" si="52"/>
        <v>0</v>
      </c>
      <c r="N257" s="18">
        <v>46.41</v>
      </c>
      <c r="O257" s="18"/>
      <c r="P257" s="18">
        <f t="shared" si="53"/>
        <v>46.41</v>
      </c>
      <c r="Q257" s="18">
        <v>7</v>
      </c>
      <c r="R257" s="18"/>
      <c r="S257" s="18">
        <f t="shared" si="54"/>
        <v>7</v>
      </c>
      <c r="T257" s="18">
        <v>1</v>
      </c>
      <c r="U257" s="18"/>
      <c r="V257" s="18">
        <f t="shared" si="55"/>
        <v>1</v>
      </c>
      <c r="W257" s="18">
        <v>2741</v>
      </c>
      <c r="X257" s="18"/>
      <c r="Y257" s="18">
        <f t="shared" si="56"/>
        <v>2741</v>
      </c>
      <c r="Z257" s="18">
        <v>227.74</v>
      </c>
      <c r="AA257" s="18"/>
      <c r="AB257" s="18">
        <f t="shared" si="57"/>
        <v>227.74</v>
      </c>
      <c r="AC257" s="18">
        <v>400.71</v>
      </c>
      <c r="AD257" s="18"/>
      <c r="AE257" s="18">
        <f t="shared" si="58"/>
        <v>400.71</v>
      </c>
      <c r="AF257" s="18">
        <v>172970</v>
      </c>
      <c r="AG257" s="18"/>
      <c r="AH257" s="18">
        <f t="shared" si="59"/>
        <v>172970</v>
      </c>
      <c r="AI257" s="18">
        <v>241208</v>
      </c>
      <c r="AJ257" s="18"/>
      <c r="AK257" s="18">
        <f t="shared" si="60"/>
        <v>241208</v>
      </c>
      <c r="AL257" s="18">
        <v>33</v>
      </c>
      <c r="AM257" s="18"/>
      <c r="AN257" s="18">
        <f t="shared" si="61"/>
        <v>33</v>
      </c>
      <c r="AO257" s="18">
        <v>1.7</v>
      </c>
      <c r="AP257" s="18"/>
      <c r="AQ257" s="18">
        <f t="shared" si="62"/>
        <v>1.7</v>
      </c>
      <c r="AR257" s="18">
        <v>0.21</v>
      </c>
      <c r="AS257" s="18"/>
      <c r="AT257" s="18">
        <f t="shared" si="63"/>
        <v>0.21</v>
      </c>
      <c r="AU257" s="18">
        <v>422114</v>
      </c>
      <c r="AV257" s="18"/>
      <c r="AW257" s="18">
        <f t="shared" si="64"/>
        <v>422114</v>
      </c>
      <c r="AX257" s="18">
        <v>0</v>
      </c>
      <c r="AY257" s="18"/>
      <c r="AZ257" s="18">
        <f t="shared" si="65"/>
        <v>0</v>
      </c>
      <c r="BA257" s="18">
        <v>0</v>
      </c>
      <c r="BB257" s="18"/>
      <c r="BC257" s="18">
        <f t="shared" si="66"/>
        <v>0</v>
      </c>
      <c r="BD257" s="18">
        <v>0</v>
      </c>
      <c r="BE257" s="18"/>
      <c r="BF257" s="18">
        <f t="shared" si="67"/>
        <v>0</v>
      </c>
    </row>
    <row r="258" spans="1:58" ht="25.5" x14ac:dyDescent="0.25">
      <c r="A258" s="124" t="s">
        <v>1373</v>
      </c>
      <c r="B258" s="124" t="s">
        <v>1468</v>
      </c>
      <c r="C258" s="18" t="s">
        <v>1093</v>
      </c>
      <c r="D258" s="18" t="s">
        <v>1934</v>
      </c>
      <c r="E258" s="18" t="s">
        <v>1477</v>
      </c>
      <c r="F258" s="18" t="s">
        <v>1111</v>
      </c>
      <c r="G258" s="119">
        <v>43434</v>
      </c>
      <c r="H258" s="18">
        <v>0</v>
      </c>
      <c r="I258" s="18"/>
      <c r="J258" s="18">
        <f t="shared" si="51"/>
        <v>0</v>
      </c>
      <c r="K258" s="18">
        <v>0</v>
      </c>
      <c r="L258" s="18"/>
      <c r="M258" s="18">
        <f t="shared" si="52"/>
        <v>0</v>
      </c>
      <c r="N258" s="18">
        <v>65.14</v>
      </c>
      <c r="O258" s="18"/>
      <c r="P258" s="18">
        <f t="shared" si="53"/>
        <v>65.14</v>
      </c>
      <c r="Q258" s="18">
        <v>5</v>
      </c>
      <c r="R258" s="18"/>
      <c r="S258" s="18">
        <f t="shared" si="54"/>
        <v>5</v>
      </c>
      <c r="T258" s="18">
        <v>1</v>
      </c>
      <c r="U258" s="18"/>
      <c r="V258" s="18">
        <f t="shared" si="55"/>
        <v>1</v>
      </c>
      <c r="W258" s="18">
        <v>5679.9</v>
      </c>
      <c r="X258" s="18"/>
      <c r="Y258" s="18">
        <f t="shared" si="56"/>
        <v>5679.9</v>
      </c>
      <c r="Z258" s="18">
        <v>244.24</v>
      </c>
      <c r="AA258" s="18"/>
      <c r="AB258" s="18">
        <f t="shared" si="57"/>
        <v>244.24</v>
      </c>
      <c r="AC258" s="18">
        <v>786.72</v>
      </c>
      <c r="AD258" s="18"/>
      <c r="AE258" s="18">
        <f t="shared" si="58"/>
        <v>786.72</v>
      </c>
      <c r="AF258" s="18">
        <v>596389.5</v>
      </c>
      <c r="AG258" s="18"/>
      <c r="AH258" s="18">
        <f t="shared" si="59"/>
        <v>596389.5</v>
      </c>
      <c r="AI258" s="18">
        <v>105</v>
      </c>
      <c r="AJ258" s="18"/>
      <c r="AK258" s="18">
        <f t="shared" si="60"/>
        <v>105</v>
      </c>
      <c r="AL258" s="18">
        <v>45</v>
      </c>
      <c r="AM258" s="18"/>
      <c r="AN258" s="18">
        <f t="shared" si="61"/>
        <v>45</v>
      </c>
      <c r="AO258" s="18">
        <v>2.2999999999999998</v>
      </c>
      <c r="AP258" s="18"/>
      <c r="AQ258" s="18">
        <f t="shared" si="62"/>
        <v>2.2999999999999998</v>
      </c>
      <c r="AR258" s="18">
        <v>0.2</v>
      </c>
      <c r="AS258" s="18"/>
      <c r="AT258" s="18">
        <f t="shared" si="63"/>
        <v>0.2</v>
      </c>
      <c r="AU258" s="18">
        <v>105</v>
      </c>
      <c r="AV258" s="18"/>
      <c r="AW258" s="18">
        <f t="shared" si="64"/>
        <v>105</v>
      </c>
      <c r="AX258" s="18">
        <v>0</v>
      </c>
      <c r="AY258" s="18"/>
      <c r="AZ258" s="18">
        <f t="shared" si="65"/>
        <v>0</v>
      </c>
      <c r="BA258" s="18">
        <v>0</v>
      </c>
      <c r="BB258" s="18"/>
      <c r="BC258" s="18">
        <f t="shared" si="66"/>
        <v>0</v>
      </c>
      <c r="BD258" s="18">
        <v>0</v>
      </c>
      <c r="BE258" s="18"/>
      <c r="BF258" s="18">
        <f t="shared" si="67"/>
        <v>0</v>
      </c>
    </row>
    <row r="259" spans="1:58" ht="25.5" x14ac:dyDescent="0.25">
      <c r="A259" s="124" t="s">
        <v>1374</v>
      </c>
      <c r="B259" s="124" t="s">
        <v>1468</v>
      </c>
      <c r="C259" s="18" t="s">
        <v>1093</v>
      </c>
      <c r="D259" s="18" t="s">
        <v>1935</v>
      </c>
      <c r="E259" s="18" t="s">
        <v>1471</v>
      </c>
      <c r="F259" s="18" t="s">
        <v>1111</v>
      </c>
      <c r="G259" s="119">
        <v>43434</v>
      </c>
      <c r="H259" s="18">
        <v>0</v>
      </c>
      <c r="I259" s="18"/>
      <c r="J259" s="18">
        <f t="shared" si="51"/>
        <v>0</v>
      </c>
      <c r="K259" s="18">
        <v>0</v>
      </c>
      <c r="L259" s="18"/>
      <c r="M259" s="18">
        <f t="shared" si="52"/>
        <v>0</v>
      </c>
      <c r="N259" s="18">
        <v>80.400000000000006</v>
      </c>
      <c r="O259" s="18"/>
      <c r="P259" s="18">
        <f t="shared" si="53"/>
        <v>80.400000000000006</v>
      </c>
      <c r="Q259" s="18">
        <v>8</v>
      </c>
      <c r="R259" s="18"/>
      <c r="S259" s="18">
        <f t="shared" si="54"/>
        <v>8</v>
      </c>
      <c r="T259" s="18">
        <v>1</v>
      </c>
      <c r="U259" s="18"/>
      <c r="V259" s="18">
        <f t="shared" si="55"/>
        <v>1</v>
      </c>
      <c r="W259" s="18">
        <v>1878.2</v>
      </c>
      <c r="X259" s="18"/>
      <c r="Y259" s="18">
        <f t="shared" si="56"/>
        <v>1878.2</v>
      </c>
      <c r="Z259" s="18">
        <v>132.6</v>
      </c>
      <c r="AA259" s="18"/>
      <c r="AB259" s="18">
        <f t="shared" si="57"/>
        <v>132.6</v>
      </c>
      <c r="AC259" s="18">
        <v>258.06</v>
      </c>
      <c r="AD259" s="18"/>
      <c r="AE259" s="18">
        <f t="shared" si="58"/>
        <v>258.06</v>
      </c>
      <c r="AF259" s="18">
        <v>125463</v>
      </c>
      <c r="AG259" s="18"/>
      <c r="AH259" s="18">
        <f t="shared" si="59"/>
        <v>125463</v>
      </c>
      <c r="AI259" s="18">
        <v>299513.7</v>
      </c>
      <c r="AJ259" s="18"/>
      <c r="AK259" s="18">
        <f t="shared" si="60"/>
        <v>299513.7</v>
      </c>
      <c r="AL259" s="18">
        <v>39.299999999999997</v>
      </c>
      <c r="AM259" s="18"/>
      <c r="AN259" s="18">
        <f t="shared" si="61"/>
        <v>39.299999999999997</v>
      </c>
      <c r="AO259" s="18">
        <v>2.02</v>
      </c>
      <c r="AP259" s="18"/>
      <c r="AQ259" s="18">
        <f t="shared" si="62"/>
        <v>2.02</v>
      </c>
      <c r="AR259" s="18">
        <v>0.25</v>
      </c>
      <c r="AS259" s="18"/>
      <c r="AT259" s="18">
        <f t="shared" si="63"/>
        <v>0.25</v>
      </c>
      <c r="AU259" s="18">
        <v>276.2</v>
      </c>
      <c r="AV259" s="18"/>
      <c r="AW259" s="18">
        <f t="shared" si="64"/>
        <v>276.2</v>
      </c>
      <c r="AX259" s="18">
        <v>0</v>
      </c>
      <c r="AY259" s="18"/>
      <c r="AZ259" s="18">
        <f t="shared" si="65"/>
        <v>0</v>
      </c>
      <c r="BA259" s="18">
        <v>0</v>
      </c>
      <c r="BB259" s="18"/>
      <c r="BC259" s="18">
        <f t="shared" si="66"/>
        <v>0</v>
      </c>
      <c r="BD259" s="18">
        <v>0</v>
      </c>
      <c r="BE259" s="18"/>
      <c r="BF259" s="18">
        <f t="shared" si="67"/>
        <v>0</v>
      </c>
    </row>
    <row r="260" spans="1:58" ht="25.5" x14ac:dyDescent="0.25">
      <c r="A260" s="124" t="s">
        <v>1375</v>
      </c>
      <c r="B260" s="124" t="s">
        <v>1468</v>
      </c>
      <c r="C260" s="18" t="s">
        <v>1093</v>
      </c>
      <c r="D260" s="18" t="s">
        <v>1936</v>
      </c>
      <c r="E260" s="18" t="s">
        <v>1477</v>
      </c>
      <c r="F260" s="18" t="s">
        <v>1111</v>
      </c>
      <c r="G260" s="119">
        <v>42947</v>
      </c>
      <c r="H260" s="18">
        <v>0</v>
      </c>
      <c r="I260" s="18"/>
      <c r="J260" s="18">
        <f t="shared" si="51"/>
        <v>0</v>
      </c>
      <c r="K260" s="18">
        <v>0</v>
      </c>
      <c r="L260" s="18"/>
      <c r="M260" s="18">
        <f t="shared" si="52"/>
        <v>0</v>
      </c>
      <c r="N260" s="18">
        <v>34.299999999999997</v>
      </c>
      <c r="O260" s="18"/>
      <c r="P260" s="18">
        <f t="shared" si="53"/>
        <v>34.299999999999997</v>
      </c>
      <c r="Q260" s="18">
        <v>6</v>
      </c>
      <c r="R260" s="18"/>
      <c r="S260" s="18">
        <f t="shared" si="54"/>
        <v>6</v>
      </c>
      <c r="T260" s="18">
        <v>1</v>
      </c>
      <c r="U260" s="18"/>
      <c r="V260" s="18">
        <f t="shared" si="55"/>
        <v>1</v>
      </c>
      <c r="W260" s="18">
        <v>2488.8000000000002</v>
      </c>
      <c r="X260" s="18"/>
      <c r="Y260" s="18">
        <f t="shared" si="56"/>
        <v>2488.8000000000002</v>
      </c>
      <c r="Z260" s="18">
        <v>156.79400000000001</v>
      </c>
      <c r="AA260" s="18"/>
      <c r="AB260" s="18">
        <f t="shared" si="57"/>
        <v>156.79400000000001</v>
      </c>
      <c r="AC260" s="18">
        <v>251.28</v>
      </c>
      <c r="AD260" s="18"/>
      <c r="AE260" s="18">
        <f t="shared" si="58"/>
        <v>251.28</v>
      </c>
      <c r="AF260" s="18">
        <v>94486</v>
      </c>
      <c r="AG260" s="18"/>
      <c r="AH260" s="18">
        <f t="shared" si="59"/>
        <v>94486</v>
      </c>
      <c r="AI260" s="18">
        <v>169238.39999999999</v>
      </c>
      <c r="AJ260" s="18"/>
      <c r="AK260" s="18">
        <f t="shared" si="60"/>
        <v>169238.39999999999</v>
      </c>
      <c r="AL260" s="18">
        <v>25</v>
      </c>
      <c r="AM260" s="18"/>
      <c r="AN260" s="18">
        <f t="shared" si="61"/>
        <v>25</v>
      </c>
      <c r="AO260" s="18">
        <v>1.3</v>
      </c>
      <c r="AP260" s="18"/>
      <c r="AQ260" s="18">
        <f t="shared" si="62"/>
        <v>1.3</v>
      </c>
      <c r="AR260" s="18">
        <v>0.2</v>
      </c>
      <c r="AS260" s="18"/>
      <c r="AT260" s="18">
        <f t="shared" si="63"/>
        <v>0.2</v>
      </c>
      <c r="AU260" s="18">
        <v>246411</v>
      </c>
      <c r="AV260" s="18"/>
      <c r="AW260" s="18">
        <f t="shared" si="64"/>
        <v>246411</v>
      </c>
      <c r="AX260" s="18">
        <v>0</v>
      </c>
      <c r="AY260" s="18"/>
      <c r="AZ260" s="18">
        <f t="shared" si="65"/>
        <v>0</v>
      </c>
      <c r="BA260" s="18">
        <v>0</v>
      </c>
      <c r="BB260" s="18"/>
      <c r="BC260" s="18">
        <f t="shared" si="66"/>
        <v>0</v>
      </c>
      <c r="BD260" s="18">
        <v>0</v>
      </c>
      <c r="BE260" s="18"/>
      <c r="BF260" s="18">
        <f t="shared" si="67"/>
        <v>0</v>
      </c>
    </row>
    <row r="261" spans="1:58" ht="25.5" x14ac:dyDescent="0.25">
      <c r="A261" s="124" t="s">
        <v>1376</v>
      </c>
      <c r="B261" s="124" t="s">
        <v>1468</v>
      </c>
      <c r="C261" s="18" t="s">
        <v>1093</v>
      </c>
      <c r="D261" s="18" t="s">
        <v>1937</v>
      </c>
      <c r="E261" s="18" t="s">
        <v>1474</v>
      </c>
      <c r="F261" s="18" t="s">
        <v>1111</v>
      </c>
      <c r="G261" s="119">
        <v>43434</v>
      </c>
      <c r="H261" s="18">
        <v>0</v>
      </c>
      <c r="I261" s="18"/>
      <c r="J261" s="18">
        <f t="shared" si="51"/>
        <v>0</v>
      </c>
      <c r="K261" s="18">
        <v>37.58</v>
      </c>
      <c r="L261" s="18"/>
      <c r="M261" s="18">
        <f t="shared" si="52"/>
        <v>37.58</v>
      </c>
      <c r="N261" s="18">
        <v>86.54</v>
      </c>
      <c r="O261" s="18"/>
      <c r="P261" s="18">
        <f t="shared" si="53"/>
        <v>86.54</v>
      </c>
      <c r="Q261" s="18">
        <v>7</v>
      </c>
      <c r="R261" s="18"/>
      <c r="S261" s="18">
        <f t="shared" si="54"/>
        <v>7</v>
      </c>
      <c r="T261" s="18">
        <v>1</v>
      </c>
      <c r="U261" s="18"/>
      <c r="V261" s="18">
        <f t="shared" si="55"/>
        <v>1</v>
      </c>
      <c r="W261" s="18">
        <v>7339</v>
      </c>
      <c r="X261" s="18"/>
      <c r="Y261" s="18">
        <f t="shared" si="56"/>
        <v>7339</v>
      </c>
      <c r="Z261" s="18">
        <v>398.79</v>
      </c>
      <c r="AA261" s="18"/>
      <c r="AB261" s="18">
        <f t="shared" si="57"/>
        <v>398.79</v>
      </c>
      <c r="AC261" s="18">
        <v>1106.08</v>
      </c>
      <c r="AD261" s="18"/>
      <c r="AE261" s="18">
        <f t="shared" si="58"/>
        <v>1106.08</v>
      </c>
      <c r="AF261" s="18">
        <v>707291</v>
      </c>
      <c r="AG261" s="18"/>
      <c r="AH261" s="18">
        <f t="shared" si="59"/>
        <v>707291</v>
      </c>
      <c r="AI261" s="18">
        <v>445981</v>
      </c>
      <c r="AJ261" s="18"/>
      <c r="AK261" s="18">
        <f t="shared" si="60"/>
        <v>445981</v>
      </c>
      <c r="AL261" s="18">
        <v>54</v>
      </c>
      <c r="AM261" s="18"/>
      <c r="AN261" s="18">
        <f t="shared" si="61"/>
        <v>54</v>
      </c>
      <c r="AO261" s="18">
        <v>3</v>
      </c>
      <c r="AP261" s="18"/>
      <c r="AQ261" s="18">
        <f t="shared" si="62"/>
        <v>3</v>
      </c>
      <c r="AR261" s="18">
        <v>0.3</v>
      </c>
      <c r="AS261" s="18"/>
      <c r="AT261" s="18">
        <f t="shared" si="63"/>
        <v>0.3</v>
      </c>
      <c r="AU261" s="18">
        <v>106</v>
      </c>
      <c r="AV261" s="18"/>
      <c r="AW261" s="18">
        <f t="shared" si="64"/>
        <v>106</v>
      </c>
      <c r="AX261" s="18">
        <v>0</v>
      </c>
      <c r="AY261" s="18"/>
      <c r="AZ261" s="18">
        <f t="shared" si="65"/>
        <v>0</v>
      </c>
      <c r="BA261" s="18">
        <v>1.78E-2</v>
      </c>
      <c r="BB261" s="18"/>
      <c r="BC261" s="18">
        <f t="shared" si="66"/>
        <v>1.78E-2</v>
      </c>
      <c r="BD261" s="18">
        <v>1.78E-2</v>
      </c>
      <c r="BE261" s="18"/>
      <c r="BF261" s="18">
        <f t="shared" si="67"/>
        <v>1.78E-2</v>
      </c>
    </row>
    <row r="262" spans="1:58" ht="25.5" x14ac:dyDescent="0.25">
      <c r="A262" s="124" t="s">
        <v>1377</v>
      </c>
      <c r="B262" s="124" t="s">
        <v>1468</v>
      </c>
      <c r="C262" s="18" t="s">
        <v>1093</v>
      </c>
      <c r="D262" s="18" t="s">
        <v>1938</v>
      </c>
      <c r="E262" s="18" t="s">
        <v>1477</v>
      </c>
      <c r="F262" s="18" t="s">
        <v>1111</v>
      </c>
      <c r="G262" s="119">
        <v>43434</v>
      </c>
      <c r="H262" s="18">
        <v>0</v>
      </c>
      <c r="I262" s="18"/>
      <c r="J262" s="18">
        <f t="shared" ref="J262:J298" si="68">IF(H262="","",IF($F262="Projekt riadne ukončený (K)",I262,IF($G262&lt;=J$4,H262,0)))</f>
        <v>0</v>
      </c>
      <c r="K262" s="18">
        <v>0</v>
      </c>
      <c r="L262" s="18"/>
      <c r="M262" s="18">
        <f t="shared" ref="M262:M298" si="69">IF(K262="","",IF($F262="Projekt riadne ukončený (K)",L262,IF($G262&lt;=M$4,K262,0)))</f>
        <v>0</v>
      </c>
      <c r="N262" s="18">
        <v>51.26</v>
      </c>
      <c r="O262" s="18"/>
      <c r="P262" s="18">
        <f t="shared" ref="P262:P298" si="70">IF(N262="","",IF($F262="Projekt riadne ukončený (K)",O262,IF($G262&lt;=P$4,N262,0)))</f>
        <v>51.26</v>
      </c>
      <c r="Q262" s="18">
        <v>6</v>
      </c>
      <c r="R262" s="18"/>
      <c r="S262" s="18">
        <f t="shared" ref="S262:S298" si="71">IF(Q262="","",IF($F262="Projekt riadne ukončený (K)",R262,IF($G262&lt;=S$4,Q262,0)))</f>
        <v>6</v>
      </c>
      <c r="T262" s="18">
        <v>1</v>
      </c>
      <c r="U262" s="18"/>
      <c r="V262" s="18">
        <f t="shared" ref="V262:V298" si="72">IF(T262="","",IF($F262="Projekt riadne ukončený (K)",U262,IF($G262&lt;=V$4,T262,0)))</f>
        <v>1</v>
      </c>
      <c r="W262" s="18">
        <v>6400</v>
      </c>
      <c r="X262" s="18"/>
      <c r="Y262" s="18">
        <f t="shared" ref="Y262:Y298" si="73">IF(W262="","",IF($F262="Projekt riadne ukončený (K)",X262,IF($G262&lt;=Y$4,W262,0)))</f>
        <v>6400</v>
      </c>
      <c r="Z262" s="18">
        <v>364.8</v>
      </c>
      <c r="AA262" s="18"/>
      <c r="AB262" s="18">
        <f t="shared" ref="AB262:AB298" si="74">IF(Z262="","",IF($F262="Projekt riadne ukončený (K)",AA262,IF($G262&lt;=AB$4,Z262,0)))</f>
        <v>364.8</v>
      </c>
      <c r="AC262" s="18">
        <v>847.05</v>
      </c>
      <c r="AD262" s="18"/>
      <c r="AE262" s="18">
        <f t="shared" ref="AE262:AE298" si="75">IF(AC262="","",IF($F262="Projekt riadne ukončený (K)",AD262,IF($G262&lt;=AE$4,AC262,0)))</f>
        <v>847.05</v>
      </c>
      <c r="AF262" s="18">
        <v>486400</v>
      </c>
      <c r="AG262" s="18"/>
      <c r="AH262" s="18">
        <f t="shared" ref="AH262:AH298" si="76">IF(AF262="","",IF($F262="Projekt riadne ukončený (K)",AG262,IF($G262&lt;=AH$4,AF262,0)))</f>
        <v>486400</v>
      </c>
      <c r="AI262" s="18">
        <v>76</v>
      </c>
      <c r="AJ262" s="18"/>
      <c r="AK262" s="18">
        <f t="shared" ref="AK262:AK298" si="77">IF(AI262="","",IF($F262="Projekt riadne ukončený (K)",AJ262,IF($G262&lt;=AK$4,AI262,0)))</f>
        <v>76</v>
      </c>
      <c r="AL262" s="18">
        <v>30</v>
      </c>
      <c r="AM262" s="18"/>
      <c r="AN262" s="18">
        <f t="shared" ref="AN262:AN298" si="78">IF(AL262="","",IF($F262="Projekt riadne ukončený (K)",AM262,IF($G262&lt;=AN$4,AL262,0)))</f>
        <v>30</v>
      </c>
      <c r="AO262" s="18">
        <v>2</v>
      </c>
      <c r="AP262" s="18"/>
      <c r="AQ262" s="18">
        <f t="shared" ref="AQ262:AQ298" si="79">IF(AO262="","",IF($F262="Projekt riadne ukončený (K)",AP262,IF($G262&lt;=AQ$4,AO262,0)))</f>
        <v>2</v>
      </c>
      <c r="AR262" s="18">
        <v>0.1</v>
      </c>
      <c r="AS262" s="18"/>
      <c r="AT262" s="18">
        <f t="shared" ref="AT262:AT298" si="80">IF(AR262="","",IF($F262="Projekt riadne ukončený (K)",AS262,IF($G262&lt;=AT$4,AR262,0)))</f>
        <v>0.1</v>
      </c>
      <c r="AU262" s="18">
        <v>76</v>
      </c>
      <c r="AV262" s="18"/>
      <c r="AW262" s="18">
        <f t="shared" ref="AW262:AW298" si="81">IF(AU262="","",IF($F262="Projekt riadne ukončený (K)",AV262,IF($G262&lt;=AW$4,AU262,0)))</f>
        <v>76</v>
      </c>
      <c r="AX262" s="18">
        <v>0</v>
      </c>
      <c r="AY262" s="18"/>
      <c r="AZ262" s="18">
        <f t="shared" ref="AZ262:AZ298" si="82">IF(AX262="","",IF($F262="Projekt riadne ukončený (K)",AY262,IF($G262&lt;=AZ$4,AX262,0)))</f>
        <v>0</v>
      </c>
      <c r="BA262" s="18">
        <v>0</v>
      </c>
      <c r="BB262" s="18"/>
      <c r="BC262" s="18">
        <f t="shared" ref="BC262:BC298" si="83">IF(BA262="","",IF($F262="Projekt riadne ukončený (K)",BB262,IF($G262&lt;=BC$4,BA262,0)))</f>
        <v>0</v>
      </c>
      <c r="BD262" s="18">
        <v>0</v>
      </c>
      <c r="BE262" s="18"/>
      <c r="BF262" s="18">
        <f t="shared" ref="BF262:BF298" si="84">IF(BD262="","",IF($F262="Projekt riadne ukončený (K)",BE262,IF($G262&lt;=BF$4,BD262,0)))</f>
        <v>0</v>
      </c>
    </row>
    <row r="263" spans="1:58" ht="25.5" x14ac:dyDescent="0.25">
      <c r="A263" s="124" t="s">
        <v>1378</v>
      </c>
      <c r="B263" s="124" t="s">
        <v>1468</v>
      </c>
      <c r="C263" s="18" t="s">
        <v>1093</v>
      </c>
      <c r="D263" s="18" t="s">
        <v>1939</v>
      </c>
      <c r="E263" s="18" t="s">
        <v>1474</v>
      </c>
      <c r="F263" s="18" t="s">
        <v>1111</v>
      </c>
      <c r="G263" s="119">
        <v>43434</v>
      </c>
      <c r="H263" s="18">
        <v>0</v>
      </c>
      <c r="I263" s="18"/>
      <c r="J263" s="18">
        <f t="shared" si="68"/>
        <v>0</v>
      </c>
      <c r="K263" s="18">
        <v>0</v>
      </c>
      <c r="L263" s="18"/>
      <c r="M263" s="18">
        <f t="shared" si="69"/>
        <v>0</v>
      </c>
      <c r="N263" s="18">
        <v>5.9</v>
      </c>
      <c r="O263" s="18"/>
      <c r="P263" s="18">
        <f t="shared" si="70"/>
        <v>5.9</v>
      </c>
      <c r="Q263" s="18">
        <v>6</v>
      </c>
      <c r="R263" s="18"/>
      <c r="S263" s="18">
        <f t="shared" si="71"/>
        <v>6</v>
      </c>
      <c r="T263" s="18">
        <v>1</v>
      </c>
      <c r="U263" s="18"/>
      <c r="V263" s="18">
        <f t="shared" si="72"/>
        <v>1</v>
      </c>
      <c r="W263" s="18">
        <v>2775.06</v>
      </c>
      <c r="X263" s="18"/>
      <c r="Y263" s="18">
        <f t="shared" si="73"/>
        <v>2775.06</v>
      </c>
      <c r="Z263" s="18">
        <v>100.04</v>
      </c>
      <c r="AA263" s="18"/>
      <c r="AB263" s="18">
        <f t="shared" si="74"/>
        <v>100.04</v>
      </c>
      <c r="AC263" s="18">
        <v>331.51</v>
      </c>
      <c r="AD263" s="18"/>
      <c r="AE263" s="18">
        <f t="shared" si="75"/>
        <v>331.51</v>
      </c>
      <c r="AF263" s="18">
        <v>63881.88</v>
      </c>
      <c r="AG263" s="18"/>
      <c r="AH263" s="18">
        <f t="shared" si="76"/>
        <v>63881.88</v>
      </c>
      <c r="AI263" s="18">
        <v>23</v>
      </c>
      <c r="AJ263" s="18"/>
      <c r="AK263" s="18">
        <f t="shared" si="77"/>
        <v>23</v>
      </c>
      <c r="AL263" s="18">
        <v>0.255</v>
      </c>
      <c r="AM263" s="18"/>
      <c r="AN263" s="18">
        <f t="shared" si="78"/>
        <v>0.255</v>
      </c>
      <c r="AO263" s="18">
        <v>0.1275</v>
      </c>
      <c r="AP263" s="18"/>
      <c r="AQ263" s="18">
        <f t="shared" si="79"/>
        <v>0.1275</v>
      </c>
      <c r="AR263" s="18">
        <v>0</v>
      </c>
      <c r="AS263" s="18"/>
      <c r="AT263" s="18">
        <f t="shared" si="80"/>
        <v>0</v>
      </c>
      <c r="AU263" s="18">
        <v>23.02</v>
      </c>
      <c r="AV263" s="18"/>
      <c r="AW263" s="18">
        <f t="shared" si="81"/>
        <v>23.02</v>
      </c>
      <c r="AX263" s="18">
        <v>0</v>
      </c>
      <c r="AY263" s="18"/>
      <c r="AZ263" s="18">
        <f t="shared" si="82"/>
        <v>0</v>
      </c>
      <c r="BA263" s="18">
        <v>0</v>
      </c>
      <c r="BB263" s="18"/>
      <c r="BC263" s="18">
        <f t="shared" si="83"/>
        <v>0</v>
      </c>
      <c r="BD263" s="18">
        <v>0</v>
      </c>
      <c r="BE263" s="18"/>
      <c r="BF263" s="18">
        <f t="shared" si="84"/>
        <v>0</v>
      </c>
    </row>
    <row r="264" spans="1:58" ht="25.5" x14ac:dyDescent="0.25">
      <c r="A264" s="124" t="s">
        <v>1379</v>
      </c>
      <c r="B264" s="124" t="s">
        <v>1468</v>
      </c>
      <c r="C264" s="18" t="s">
        <v>1093</v>
      </c>
      <c r="D264" s="18" t="s">
        <v>1940</v>
      </c>
      <c r="E264" s="18" t="s">
        <v>1489</v>
      </c>
      <c r="F264" s="18" t="s">
        <v>1111</v>
      </c>
      <c r="G264" s="119">
        <v>43434</v>
      </c>
      <c r="H264" s="18">
        <v>0</v>
      </c>
      <c r="I264" s="18"/>
      <c r="J264" s="18">
        <f t="shared" si="68"/>
        <v>0</v>
      </c>
      <c r="K264" s="18">
        <v>0</v>
      </c>
      <c r="L264" s="18"/>
      <c r="M264" s="18">
        <f t="shared" si="69"/>
        <v>0</v>
      </c>
      <c r="N264" s="18">
        <v>15.994</v>
      </c>
      <c r="O264" s="18"/>
      <c r="P264" s="18">
        <f t="shared" si="70"/>
        <v>15.994</v>
      </c>
      <c r="Q264" s="18">
        <v>7</v>
      </c>
      <c r="R264" s="18"/>
      <c r="S264" s="18">
        <f t="shared" si="71"/>
        <v>7</v>
      </c>
      <c r="T264" s="18">
        <v>1</v>
      </c>
      <c r="U264" s="18"/>
      <c r="V264" s="18">
        <f t="shared" si="72"/>
        <v>1</v>
      </c>
      <c r="W264" s="18">
        <v>4151</v>
      </c>
      <c r="X264" s="18"/>
      <c r="Y264" s="18">
        <f t="shared" si="73"/>
        <v>4151</v>
      </c>
      <c r="Z264" s="18">
        <v>305.35000000000002</v>
      </c>
      <c r="AA264" s="18"/>
      <c r="AB264" s="18">
        <f t="shared" si="74"/>
        <v>305.35000000000002</v>
      </c>
      <c r="AC264" s="18">
        <v>603.15</v>
      </c>
      <c r="AD264" s="18"/>
      <c r="AE264" s="18">
        <f t="shared" si="75"/>
        <v>603.15</v>
      </c>
      <c r="AF264" s="18">
        <v>297806</v>
      </c>
      <c r="AG264" s="18"/>
      <c r="AH264" s="18">
        <f t="shared" si="76"/>
        <v>297806</v>
      </c>
      <c r="AI264" s="18">
        <v>415625.13</v>
      </c>
      <c r="AJ264" s="18"/>
      <c r="AK264" s="18">
        <f t="shared" si="77"/>
        <v>415625.13</v>
      </c>
      <c r="AL264" s="18">
        <v>10.561</v>
      </c>
      <c r="AM264" s="18"/>
      <c r="AN264" s="18">
        <f t="shared" si="78"/>
        <v>10.561</v>
      </c>
      <c r="AO264" s="18">
        <v>0.60599999999999998</v>
      </c>
      <c r="AP264" s="18"/>
      <c r="AQ264" s="18">
        <f t="shared" si="79"/>
        <v>0.60599999999999998</v>
      </c>
      <c r="AR264" s="18">
        <v>7.1999999999999995E-2</v>
      </c>
      <c r="AS264" s="18"/>
      <c r="AT264" s="18">
        <f t="shared" si="80"/>
        <v>7.1999999999999995E-2</v>
      </c>
      <c r="AU264" s="18">
        <v>130.78399999999999</v>
      </c>
      <c r="AV264" s="18"/>
      <c r="AW264" s="18">
        <f t="shared" si="81"/>
        <v>130.78399999999999</v>
      </c>
      <c r="AX264" s="18">
        <v>0</v>
      </c>
      <c r="AY264" s="18"/>
      <c r="AZ264" s="18">
        <f t="shared" si="82"/>
        <v>0</v>
      </c>
      <c r="BA264" s="18">
        <v>0</v>
      </c>
      <c r="BB264" s="18"/>
      <c r="BC264" s="18">
        <f t="shared" si="83"/>
        <v>0</v>
      </c>
      <c r="BD264" s="18">
        <v>0</v>
      </c>
      <c r="BE264" s="18"/>
      <c r="BF264" s="18">
        <f t="shared" si="84"/>
        <v>0</v>
      </c>
    </row>
    <row r="265" spans="1:58" ht="25.5" x14ac:dyDescent="0.25">
      <c r="A265" s="124" t="s">
        <v>1380</v>
      </c>
      <c r="B265" s="124" t="s">
        <v>1468</v>
      </c>
      <c r="C265" s="18" t="s">
        <v>1093</v>
      </c>
      <c r="D265" s="18" t="s">
        <v>1941</v>
      </c>
      <c r="E265" s="18" t="s">
        <v>1500</v>
      </c>
      <c r="F265" s="18" t="s">
        <v>1111</v>
      </c>
      <c r="G265" s="119">
        <v>43434</v>
      </c>
      <c r="H265" s="18">
        <v>0</v>
      </c>
      <c r="I265" s="18"/>
      <c r="J265" s="18">
        <f t="shared" si="68"/>
        <v>0</v>
      </c>
      <c r="K265" s="18">
        <v>0</v>
      </c>
      <c r="L265" s="18"/>
      <c r="M265" s="18">
        <f t="shared" si="69"/>
        <v>0</v>
      </c>
      <c r="N265" s="18">
        <v>35.896999999999998</v>
      </c>
      <c r="O265" s="18"/>
      <c r="P265" s="18">
        <f t="shared" si="70"/>
        <v>35.896999999999998</v>
      </c>
      <c r="Q265" s="18">
        <v>6</v>
      </c>
      <c r="R265" s="18"/>
      <c r="S265" s="18">
        <f t="shared" si="71"/>
        <v>6</v>
      </c>
      <c r="T265" s="18">
        <v>1</v>
      </c>
      <c r="U265" s="18"/>
      <c r="V265" s="18">
        <f t="shared" si="72"/>
        <v>1</v>
      </c>
      <c r="W265" s="18">
        <v>2513</v>
      </c>
      <c r="X265" s="18"/>
      <c r="Y265" s="18">
        <f t="shared" si="73"/>
        <v>2513</v>
      </c>
      <c r="Z265" s="18">
        <v>135.97999999999999</v>
      </c>
      <c r="AA265" s="18"/>
      <c r="AB265" s="18">
        <f t="shared" si="74"/>
        <v>135.97999999999999</v>
      </c>
      <c r="AC265" s="18">
        <v>325.66000000000003</v>
      </c>
      <c r="AD265" s="18"/>
      <c r="AE265" s="18">
        <f t="shared" si="75"/>
        <v>325.66000000000003</v>
      </c>
      <c r="AF265" s="18">
        <v>189681</v>
      </c>
      <c r="AG265" s="18"/>
      <c r="AH265" s="18">
        <f t="shared" si="76"/>
        <v>189681</v>
      </c>
      <c r="AI265" s="18">
        <v>297790.5</v>
      </c>
      <c r="AJ265" s="18"/>
      <c r="AK265" s="18">
        <f t="shared" si="77"/>
        <v>297790.5</v>
      </c>
      <c r="AL265" s="18">
        <v>26.547000000000001</v>
      </c>
      <c r="AM265" s="18"/>
      <c r="AN265" s="18">
        <f t="shared" si="78"/>
        <v>26.547000000000001</v>
      </c>
      <c r="AO265" s="18">
        <v>1.3620000000000001</v>
      </c>
      <c r="AP265" s="18"/>
      <c r="AQ265" s="18">
        <f t="shared" si="79"/>
        <v>1.3620000000000001</v>
      </c>
      <c r="AR265" s="18">
        <v>0.16400000000000001</v>
      </c>
      <c r="AS265" s="18"/>
      <c r="AT265" s="18">
        <f t="shared" si="80"/>
        <v>0.16400000000000001</v>
      </c>
      <c r="AU265" s="18">
        <v>132.37</v>
      </c>
      <c r="AV265" s="18"/>
      <c r="AW265" s="18">
        <f t="shared" si="81"/>
        <v>132.37</v>
      </c>
      <c r="AX265" s="18">
        <v>0</v>
      </c>
      <c r="AY265" s="18"/>
      <c r="AZ265" s="18">
        <f t="shared" si="82"/>
        <v>0</v>
      </c>
      <c r="BA265" s="18">
        <v>0</v>
      </c>
      <c r="BB265" s="18"/>
      <c r="BC265" s="18">
        <f t="shared" si="83"/>
        <v>0</v>
      </c>
      <c r="BD265" s="18">
        <v>0</v>
      </c>
      <c r="BE265" s="18"/>
      <c r="BF265" s="18">
        <f t="shared" si="84"/>
        <v>0</v>
      </c>
    </row>
    <row r="266" spans="1:58" ht="38.25" x14ac:dyDescent="0.25">
      <c r="A266" s="124" t="s">
        <v>1381</v>
      </c>
      <c r="B266" s="124" t="s">
        <v>1468</v>
      </c>
      <c r="C266" s="18" t="s">
        <v>680</v>
      </c>
      <c r="D266" s="18" t="s">
        <v>1942</v>
      </c>
      <c r="E266" s="18" t="s">
        <v>1500</v>
      </c>
      <c r="F266" s="18" t="s">
        <v>1111</v>
      </c>
      <c r="G266" s="119">
        <v>43190</v>
      </c>
      <c r="H266" s="18">
        <v>0</v>
      </c>
      <c r="I266" s="18"/>
      <c r="J266" s="18">
        <f t="shared" si="68"/>
        <v>0</v>
      </c>
      <c r="K266" s="18">
        <v>0</v>
      </c>
      <c r="L266" s="18"/>
      <c r="M266" s="18">
        <f t="shared" si="69"/>
        <v>0</v>
      </c>
      <c r="N266" s="18">
        <v>130.31</v>
      </c>
      <c r="O266" s="18"/>
      <c r="P266" s="18">
        <f t="shared" si="70"/>
        <v>130.31</v>
      </c>
      <c r="Q266" s="18">
        <v>3</v>
      </c>
      <c r="R266" s="18"/>
      <c r="S266" s="18">
        <f t="shared" si="71"/>
        <v>3</v>
      </c>
      <c r="T266" s="18">
        <v>1</v>
      </c>
      <c r="U266" s="18"/>
      <c r="V266" s="18">
        <f t="shared" si="72"/>
        <v>1</v>
      </c>
      <c r="W266" s="18">
        <v>3265</v>
      </c>
      <c r="X266" s="18"/>
      <c r="Y266" s="18">
        <f t="shared" si="73"/>
        <v>3265</v>
      </c>
      <c r="Z266" s="18">
        <v>185.94</v>
      </c>
      <c r="AA266" s="18"/>
      <c r="AB266" s="18">
        <f t="shared" si="74"/>
        <v>185.94</v>
      </c>
      <c r="AC266" s="18">
        <v>639.88300000000004</v>
      </c>
      <c r="AD266" s="18"/>
      <c r="AE266" s="18">
        <f t="shared" si="75"/>
        <v>639.88300000000004</v>
      </c>
      <c r="AF266" s="18">
        <v>453943</v>
      </c>
      <c r="AG266" s="18"/>
      <c r="AH266" s="18">
        <f t="shared" si="76"/>
        <v>453943</v>
      </c>
      <c r="AI266" s="18">
        <v>453943</v>
      </c>
      <c r="AJ266" s="18"/>
      <c r="AK266" s="18">
        <f t="shared" si="77"/>
        <v>453943</v>
      </c>
      <c r="AL266" s="18">
        <v>80</v>
      </c>
      <c r="AM266" s="18"/>
      <c r="AN266" s="18">
        <f t="shared" si="78"/>
        <v>80</v>
      </c>
      <c r="AO266" s="18">
        <v>11</v>
      </c>
      <c r="AP266" s="18"/>
      <c r="AQ266" s="18">
        <f t="shared" si="79"/>
        <v>11</v>
      </c>
      <c r="AR266" s="18">
        <v>15</v>
      </c>
      <c r="AS266" s="18"/>
      <c r="AT266" s="18">
        <f t="shared" si="80"/>
        <v>15</v>
      </c>
      <c r="AU266" s="18">
        <v>591670.6</v>
      </c>
      <c r="AV266" s="18"/>
      <c r="AW266" s="18">
        <f t="shared" si="81"/>
        <v>591670.6</v>
      </c>
      <c r="AX266" s="18">
        <v>0</v>
      </c>
      <c r="AY266" s="18"/>
      <c r="AZ266" s="18">
        <f t="shared" si="82"/>
        <v>0</v>
      </c>
      <c r="BA266" s="18">
        <v>0</v>
      </c>
      <c r="BB266" s="18"/>
      <c r="BC266" s="18">
        <f t="shared" si="83"/>
        <v>0</v>
      </c>
      <c r="BD266" s="18">
        <v>0</v>
      </c>
      <c r="BE266" s="18"/>
      <c r="BF266" s="18">
        <f t="shared" si="84"/>
        <v>0</v>
      </c>
    </row>
    <row r="267" spans="1:58" ht="89.25" x14ac:dyDescent="0.25">
      <c r="A267" s="124" t="s">
        <v>1382</v>
      </c>
      <c r="B267" s="124" t="s">
        <v>1468</v>
      </c>
      <c r="C267" s="18" t="s">
        <v>1943</v>
      </c>
      <c r="D267" s="18" t="s">
        <v>1944</v>
      </c>
      <c r="E267" s="18" t="s">
        <v>1483</v>
      </c>
      <c r="F267" s="18" t="s">
        <v>1111</v>
      </c>
      <c r="G267" s="119">
        <v>43434</v>
      </c>
      <c r="H267" s="18">
        <v>0</v>
      </c>
      <c r="I267" s="18"/>
      <c r="J267" s="18">
        <f t="shared" si="68"/>
        <v>0</v>
      </c>
      <c r="K267" s="18">
        <v>8.3889999999999993</v>
      </c>
      <c r="L267" s="18"/>
      <c r="M267" s="18">
        <f t="shared" si="69"/>
        <v>8.3889999999999993</v>
      </c>
      <c r="N267" s="18">
        <v>96.1</v>
      </c>
      <c r="O267" s="18"/>
      <c r="P267" s="18">
        <f t="shared" si="70"/>
        <v>96.1</v>
      </c>
      <c r="Q267" s="18">
        <v>5</v>
      </c>
      <c r="R267" s="18"/>
      <c r="S267" s="18">
        <f t="shared" si="71"/>
        <v>5</v>
      </c>
      <c r="T267" s="18">
        <v>1</v>
      </c>
      <c r="U267" s="18"/>
      <c r="V267" s="18">
        <f t="shared" si="72"/>
        <v>1</v>
      </c>
      <c r="W267" s="18">
        <v>2190.3200000000002</v>
      </c>
      <c r="X267" s="18"/>
      <c r="Y267" s="18">
        <f t="shared" si="73"/>
        <v>2190.3200000000002</v>
      </c>
      <c r="Z267" s="18">
        <v>76.66</v>
      </c>
      <c r="AA267" s="18"/>
      <c r="AB267" s="18">
        <f t="shared" si="74"/>
        <v>76.66</v>
      </c>
      <c r="AC267" s="18">
        <v>346.49</v>
      </c>
      <c r="AD267" s="18"/>
      <c r="AE267" s="18">
        <f t="shared" si="75"/>
        <v>346.49</v>
      </c>
      <c r="AF267" s="18">
        <v>269830</v>
      </c>
      <c r="AG267" s="18"/>
      <c r="AH267" s="18">
        <f t="shared" si="76"/>
        <v>269830</v>
      </c>
      <c r="AI267" s="18">
        <v>326192.88</v>
      </c>
      <c r="AJ267" s="18"/>
      <c r="AK267" s="18">
        <f t="shared" si="77"/>
        <v>326192.88</v>
      </c>
      <c r="AL267" s="18">
        <v>60.82</v>
      </c>
      <c r="AM267" s="18"/>
      <c r="AN267" s="18">
        <f t="shared" si="78"/>
        <v>60.82</v>
      </c>
      <c r="AO267" s="18">
        <v>5.72</v>
      </c>
      <c r="AP267" s="18"/>
      <c r="AQ267" s="18">
        <f t="shared" si="79"/>
        <v>5.72</v>
      </c>
      <c r="AR267" s="18">
        <v>18.41</v>
      </c>
      <c r="AS267" s="18"/>
      <c r="AT267" s="18">
        <f t="shared" si="80"/>
        <v>18.41</v>
      </c>
      <c r="AU267" s="18">
        <v>493105</v>
      </c>
      <c r="AV267" s="18"/>
      <c r="AW267" s="18">
        <f t="shared" si="81"/>
        <v>493105</v>
      </c>
      <c r="AX267" s="18">
        <v>0</v>
      </c>
      <c r="AY267" s="18"/>
      <c r="AZ267" s="18">
        <f t="shared" si="82"/>
        <v>0</v>
      </c>
      <c r="BA267" s="18">
        <v>8.3000000000000001E-3</v>
      </c>
      <c r="BB267" s="18"/>
      <c r="BC267" s="18">
        <f t="shared" si="83"/>
        <v>8.3000000000000001E-3</v>
      </c>
      <c r="BD267" s="18">
        <v>8.3000000000000001E-3</v>
      </c>
      <c r="BE267" s="18"/>
      <c r="BF267" s="18">
        <f t="shared" si="84"/>
        <v>8.3000000000000001E-3</v>
      </c>
    </row>
    <row r="268" spans="1:58" ht="38.25" x14ac:dyDescent="0.25">
      <c r="A268" s="124" t="s">
        <v>1383</v>
      </c>
      <c r="B268" s="124" t="s">
        <v>1468</v>
      </c>
      <c r="C268" s="18" t="s">
        <v>1693</v>
      </c>
      <c r="D268" s="18" t="s">
        <v>1945</v>
      </c>
      <c r="E268" s="18" t="s">
        <v>1474</v>
      </c>
      <c r="F268" s="18" t="s">
        <v>1111</v>
      </c>
      <c r="G268" s="119">
        <v>43159</v>
      </c>
      <c r="H268" s="18">
        <v>0</v>
      </c>
      <c r="I268" s="18"/>
      <c r="J268" s="18">
        <f t="shared" si="68"/>
        <v>0</v>
      </c>
      <c r="K268" s="18">
        <v>1.9</v>
      </c>
      <c r="L268" s="18"/>
      <c r="M268" s="18">
        <f t="shared" si="69"/>
        <v>1.9</v>
      </c>
      <c r="N268" s="18">
        <v>34.588099999999997</v>
      </c>
      <c r="O268" s="18"/>
      <c r="P268" s="18">
        <f t="shared" si="70"/>
        <v>34.588099999999997</v>
      </c>
      <c r="Q268" s="18">
        <v>6</v>
      </c>
      <c r="R268" s="18"/>
      <c r="S268" s="18">
        <f t="shared" si="71"/>
        <v>6</v>
      </c>
      <c r="T268" s="18">
        <v>1</v>
      </c>
      <c r="U268" s="18"/>
      <c r="V268" s="18">
        <f t="shared" si="72"/>
        <v>1</v>
      </c>
      <c r="W268" s="18">
        <v>2093.5700000000002</v>
      </c>
      <c r="X268" s="18"/>
      <c r="Y268" s="18">
        <f t="shared" si="73"/>
        <v>2093.5700000000002</v>
      </c>
      <c r="Z268" s="18">
        <v>88.11</v>
      </c>
      <c r="AA268" s="18"/>
      <c r="AB268" s="18">
        <f t="shared" si="74"/>
        <v>88.11</v>
      </c>
      <c r="AC268" s="18">
        <v>296.08</v>
      </c>
      <c r="AD268" s="18"/>
      <c r="AE268" s="18">
        <f t="shared" si="75"/>
        <v>296.08</v>
      </c>
      <c r="AF268" s="18">
        <v>207973</v>
      </c>
      <c r="AG268" s="18"/>
      <c r="AH268" s="18">
        <f t="shared" si="76"/>
        <v>207973</v>
      </c>
      <c r="AI268" s="18">
        <v>290154</v>
      </c>
      <c r="AJ268" s="18"/>
      <c r="AK268" s="18">
        <f t="shared" si="77"/>
        <v>290154</v>
      </c>
      <c r="AL268" s="18">
        <v>67.5</v>
      </c>
      <c r="AM268" s="18"/>
      <c r="AN268" s="18">
        <f t="shared" si="78"/>
        <v>67.5</v>
      </c>
      <c r="AO268" s="18">
        <v>0</v>
      </c>
      <c r="AP268" s="18"/>
      <c r="AQ268" s="18">
        <f t="shared" si="79"/>
        <v>0</v>
      </c>
      <c r="AR268" s="18">
        <v>4.5</v>
      </c>
      <c r="AS268" s="18"/>
      <c r="AT268" s="18">
        <f t="shared" si="80"/>
        <v>4.5</v>
      </c>
      <c r="AU268" s="18">
        <v>246624</v>
      </c>
      <c r="AV268" s="18"/>
      <c r="AW268" s="18">
        <f t="shared" si="81"/>
        <v>246624</v>
      </c>
      <c r="AX268" s="18">
        <v>0</v>
      </c>
      <c r="AY268" s="18"/>
      <c r="AZ268" s="18">
        <f t="shared" si="82"/>
        <v>0</v>
      </c>
      <c r="BA268" s="18">
        <v>4.7999999999999996E-3</v>
      </c>
      <c r="BB268" s="18"/>
      <c r="BC268" s="18">
        <f t="shared" si="83"/>
        <v>4.7999999999999996E-3</v>
      </c>
      <c r="BD268" s="18">
        <v>4.7999999999999996E-3</v>
      </c>
      <c r="BE268" s="18"/>
      <c r="BF268" s="18">
        <f t="shared" si="84"/>
        <v>4.7999999999999996E-3</v>
      </c>
    </row>
    <row r="269" spans="1:58" ht="25.5" x14ac:dyDescent="0.25">
      <c r="A269" s="124" t="s">
        <v>1384</v>
      </c>
      <c r="B269" s="124" t="s">
        <v>1468</v>
      </c>
      <c r="C269" s="18" t="s">
        <v>1946</v>
      </c>
      <c r="D269" s="18" t="s">
        <v>1947</v>
      </c>
      <c r="E269" s="18" t="s">
        <v>1503</v>
      </c>
      <c r="F269" s="18" t="s">
        <v>1111</v>
      </c>
      <c r="G269" s="119">
        <v>43069</v>
      </c>
      <c r="H269" s="18">
        <v>6.7</v>
      </c>
      <c r="I269" s="18"/>
      <c r="J269" s="18">
        <f t="shared" si="68"/>
        <v>6.7</v>
      </c>
      <c r="K269" s="18">
        <v>18.356999999999999</v>
      </c>
      <c r="L269" s="18"/>
      <c r="M269" s="18">
        <f t="shared" si="69"/>
        <v>18.356999999999999</v>
      </c>
      <c r="N269" s="18">
        <v>33.85</v>
      </c>
      <c r="O269" s="18"/>
      <c r="P269" s="18">
        <f t="shared" si="70"/>
        <v>33.85</v>
      </c>
      <c r="Q269" s="18">
        <v>8</v>
      </c>
      <c r="R269" s="18"/>
      <c r="S269" s="18">
        <f t="shared" si="71"/>
        <v>8</v>
      </c>
      <c r="T269" s="18">
        <v>1</v>
      </c>
      <c r="U269" s="18"/>
      <c r="V269" s="18">
        <f t="shared" si="72"/>
        <v>1</v>
      </c>
      <c r="W269" s="18">
        <v>2350</v>
      </c>
      <c r="X269" s="18"/>
      <c r="Y269" s="18">
        <f t="shared" si="73"/>
        <v>2350</v>
      </c>
      <c r="Z269" s="18">
        <v>7.6999999999999999E-2</v>
      </c>
      <c r="AA269" s="18"/>
      <c r="AB269" s="18">
        <f t="shared" si="74"/>
        <v>7.6999999999999999E-2</v>
      </c>
      <c r="AC269" s="18">
        <v>0.22</v>
      </c>
      <c r="AD269" s="18"/>
      <c r="AE269" s="18">
        <f t="shared" si="75"/>
        <v>0.22</v>
      </c>
      <c r="AF269" s="18">
        <v>147520.20000000001</v>
      </c>
      <c r="AG269" s="18"/>
      <c r="AH269" s="18">
        <f t="shared" si="76"/>
        <v>147520.20000000001</v>
      </c>
      <c r="AI269" s="18">
        <v>159344</v>
      </c>
      <c r="AJ269" s="18"/>
      <c r="AK269" s="18">
        <f t="shared" si="77"/>
        <v>159344</v>
      </c>
      <c r="AL269" s="18">
        <v>42</v>
      </c>
      <c r="AM269" s="18"/>
      <c r="AN269" s="18">
        <f t="shared" si="78"/>
        <v>42</v>
      </c>
      <c r="AO269" s="18">
        <v>1</v>
      </c>
      <c r="AP269" s="18"/>
      <c r="AQ269" s="18">
        <f t="shared" si="79"/>
        <v>1</v>
      </c>
      <c r="AR269" s="18">
        <v>4</v>
      </c>
      <c r="AS269" s="18"/>
      <c r="AT269" s="18">
        <f t="shared" si="80"/>
        <v>4</v>
      </c>
      <c r="AU269" s="18">
        <v>302</v>
      </c>
      <c r="AV269" s="18"/>
      <c r="AW269" s="18">
        <f t="shared" si="81"/>
        <v>302</v>
      </c>
      <c r="AX269" s="18">
        <v>6.7999999999999996E-3</v>
      </c>
      <c r="AY269" s="18"/>
      <c r="AZ269" s="18">
        <f t="shared" si="82"/>
        <v>6.7999999999999996E-3</v>
      </c>
      <c r="BA269" s="18">
        <v>2.5100000000000001E-2</v>
      </c>
      <c r="BB269" s="18"/>
      <c r="BC269" s="18">
        <f t="shared" si="83"/>
        <v>2.5100000000000001E-2</v>
      </c>
      <c r="BD269" s="18">
        <v>1.84E-2</v>
      </c>
      <c r="BE269" s="18"/>
      <c r="BF269" s="18">
        <f t="shared" si="84"/>
        <v>1.84E-2</v>
      </c>
    </row>
    <row r="270" spans="1:58" ht="25.5" x14ac:dyDescent="0.25">
      <c r="A270" s="124" t="s">
        <v>1385</v>
      </c>
      <c r="B270" s="124" t="s">
        <v>1468</v>
      </c>
      <c r="C270" s="18" t="s">
        <v>1948</v>
      </c>
      <c r="D270" s="18" t="s">
        <v>1949</v>
      </c>
      <c r="E270" s="18" t="s">
        <v>1483</v>
      </c>
      <c r="F270" s="18" t="s">
        <v>1111</v>
      </c>
      <c r="G270" s="119">
        <v>43190</v>
      </c>
      <c r="H270" s="18">
        <v>0</v>
      </c>
      <c r="I270" s="18"/>
      <c r="J270" s="18">
        <f t="shared" si="68"/>
        <v>0</v>
      </c>
      <c r="K270" s="18">
        <v>39.164999999999999</v>
      </c>
      <c r="L270" s="18"/>
      <c r="M270" s="18">
        <f t="shared" si="69"/>
        <v>39.164999999999999</v>
      </c>
      <c r="N270" s="18">
        <v>0.52969999999999995</v>
      </c>
      <c r="O270" s="18"/>
      <c r="P270" s="18">
        <f t="shared" si="70"/>
        <v>0.52969999999999995</v>
      </c>
      <c r="Q270" s="18">
        <v>5</v>
      </c>
      <c r="R270" s="18"/>
      <c r="S270" s="18">
        <f t="shared" si="71"/>
        <v>5</v>
      </c>
      <c r="T270" s="18">
        <v>1</v>
      </c>
      <c r="U270" s="18"/>
      <c r="V270" s="18">
        <f t="shared" si="72"/>
        <v>1</v>
      </c>
      <c r="W270" s="18">
        <v>878.9</v>
      </c>
      <c r="X270" s="18"/>
      <c r="Y270" s="18">
        <f t="shared" si="73"/>
        <v>878.9</v>
      </c>
      <c r="Z270" s="18">
        <v>65.917000000000002</v>
      </c>
      <c r="AA270" s="18"/>
      <c r="AB270" s="18">
        <f t="shared" si="74"/>
        <v>65.917000000000002</v>
      </c>
      <c r="AC270" s="18">
        <v>310.25099999999998</v>
      </c>
      <c r="AD270" s="18"/>
      <c r="AE270" s="18">
        <f t="shared" si="75"/>
        <v>310.25099999999998</v>
      </c>
      <c r="AF270" s="18">
        <v>244334</v>
      </c>
      <c r="AG270" s="18"/>
      <c r="AH270" s="18">
        <f t="shared" si="76"/>
        <v>244334</v>
      </c>
      <c r="AI270" s="18">
        <v>240554</v>
      </c>
      <c r="AJ270" s="18"/>
      <c r="AK270" s="18">
        <f t="shared" si="77"/>
        <v>240554</v>
      </c>
      <c r="AL270" s="18">
        <v>0.45910000000000001</v>
      </c>
      <c r="AM270" s="18"/>
      <c r="AN270" s="18">
        <f t="shared" si="78"/>
        <v>0.45910000000000001</v>
      </c>
      <c r="AO270" s="18">
        <v>4.0000000000000002E-4</v>
      </c>
      <c r="AP270" s="18"/>
      <c r="AQ270" s="18">
        <f t="shared" si="79"/>
        <v>4.0000000000000002E-4</v>
      </c>
      <c r="AR270" s="18">
        <v>0.15759999999999999</v>
      </c>
      <c r="AS270" s="18"/>
      <c r="AT270" s="18">
        <f t="shared" si="80"/>
        <v>0.15759999999999999</v>
      </c>
      <c r="AU270" s="18">
        <v>174366</v>
      </c>
      <c r="AV270" s="18"/>
      <c r="AW270" s="18">
        <f t="shared" si="81"/>
        <v>174366</v>
      </c>
      <c r="AX270" s="18">
        <v>0</v>
      </c>
      <c r="AY270" s="18"/>
      <c r="AZ270" s="18">
        <f t="shared" si="82"/>
        <v>0</v>
      </c>
      <c r="BA270" s="18">
        <v>0</v>
      </c>
      <c r="BB270" s="18"/>
      <c r="BC270" s="18">
        <f t="shared" si="83"/>
        <v>0</v>
      </c>
      <c r="BD270" s="18">
        <v>2.5000000000000001E-2</v>
      </c>
      <c r="BE270" s="18"/>
      <c r="BF270" s="18">
        <f t="shared" si="84"/>
        <v>2.5000000000000001E-2</v>
      </c>
    </row>
    <row r="271" spans="1:58" ht="38.25" x14ac:dyDescent="0.25">
      <c r="A271" s="124" t="s">
        <v>1386</v>
      </c>
      <c r="B271" s="124" t="s">
        <v>1468</v>
      </c>
      <c r="C271" s="18" t="s">
        <v>1950</v>
      </c>
      <c r="D271" s="18" t="s">
        <v>1951</v>
      </c>
      <c r="E271" s="18" t="s">
        <v>1489</v>
      </c>
      <c r="F271" s="18" t="s">
        <v>1111</v>
      </c>
      <c r="G271" s="119">
        <v>43190</v>
      </c>
      <c r="H271" s="18">
        <v>0</v>
      </c>
      <c r="I271" s="18"/>
      <c r="J271" s="18">
        <f t="shared" si="68"/>
        <v>0</v>
      </c>
      <c r="K271" s="18">
        <v>5.5437000000000003</v>
      </c>
      <c r="L271" s="18"/>
      <c r="M271" s="18">
        <f t="shared" si="69"/>
        <v>5.5437000000000003</v>
      </c>
      <c r="N271" s="18">
        <v>2.9600000000000001E-2</v>
      </c>
      <c r="O271" s="18"/>
      <c r="P271" s="18">
        <f t="shared" si="70"/>
        <v>2.9600000000000001E-2</v>
      </c>
      <c r="Q271" s="18">
        <v>3</v>
      </c>
      <c r="R271" s="18"/>
      <c r="S271" s="18">
        <f t="shared" si="71"/>
        <v>3</v>
      </c>
      <c r="T271" s="18">
        <v>1</v>
      </c>
      <c r="U271" s="18"/>
      <c r="V271" s="18">
        <f t="shared" si="72"/>
        <v>1</v>
      </c>
      <c r="W271" s="18">
        <v>414.33</v>
      </c>
      <c r="X271" s="18"/>
      <c r="Y271" s="18">
        <f t="shared" si="73"/>
        <v>414.33</v>
      </c>
      <c r="Z271" s="18">
        <v>7.4359999999999999</v>
      </c>
      <c r="AA271" s="18"/>
      <c r="AB271" s="18">
        <f t="shared" si="74"/>
        <v>7.4359999999999999</v>
      </c>
      <c r="AC271" s="18">
        <v>56.764000000000003</v>
      </c>
      <c r="AD271" s="18"/>
      <c r="AE271" s="18">
        <f t="shared" si="75"/>
        <v>56.764000000000003</v>
      </c>
      <c r="AF271" s="18">
        <v>49327.92</v>
      </c>
      <c r="AG271" s="18"/>
      <c r="AH271" s="18">
        <f t="shared" si="76"/>
        <v>49327.92</v>
      </c>
      <c r="AI271" s="18">
        <v>100682.19</v>
      </c>
      <c r="AJ271" s="18"/>
      <c r="AK271" s="18">
        <f t="shared" si="77"/>
        <v>100682.19</v>
      </c>
      <c r="AL271" s="18">
        <v>2.9600000000000001E-2</v>
      </c>
      <c r="AM271" s="18"/>
      <c r="AN271" s="18">
        <f t="shared" si="78"/>
        <v>2.9600000000000001E-2</v>
      </c>
      <c r="AO271" s="18">
        <v>8.9999999999999998E-4</v>
      </c>
      <c r="AP271" s="18"/>
      <c r="AQ271" s="18">
        <f t="shared" si="79"/>
        <v>8.9999999999999998E-4</v>
      </c>
      <c r="AR271" s="18">
        <v>4.5999999999999999E-3</v>
      </c>
      <c r="AS271" s="18"/>
      <c r="AT271" s="18">
        <f t="shared" si="80"/>
        <v>4.5999999999999999E-3</v>
      </c>
      <c r="AU271" s="18">
        <v>156202.41</v>
      </c>
      <c r="AV271" s="18"/>
      <c r="AW271" s="18">
        <f t="shared" si="81"/>
        <v>156202.41</v>
      </c>
      <c r="AX271" s="18">
        <v>0</v>
      </c>
      <c r="AY271" s="18"/>
      <c r="AZ271" s="18">
        <f t="shared" si="82"/>
        <v>0</v>
      </c>
      <c r="BA271" s="18">
        <v>3.2000000000000002E-3</v>
      </c>
      <c r="BB271" s="18"/>
      <c r="BC271" s="18">
        <f t="shared" si="83"/>
        <v>3.2000000000000002E-3</v>
      </c>
      <c r="BD271" s="18">
        <v>3.2000000000000002E-3</v>
      </c>
      <c r="BE271" s="18"/>
      <c r="BF271" s="18">
        <f t="shared" si="84"/>
        <v>3.2000000000000002E-3</v>
      </c>
    </row>
    <row r="272" spans="1:58" ht="38.25" x14ac:dyDescent="0.25">
      <c r="A272" s="124" t="s">
        <v>1387</v>
      </c>
      <c r="B272" s="124" t="s">
        <v>1468</v>
      </c>
      <c r="C272" s="18" t="s">
        <v>1952</v>
      </c>
      <c r="D272" s="18" t="s">
        <v>1953</v>
      </c>
      <c r="E272" s="18" t="s">
        <v>1489</v>
      </c>
      <c r="F272" s="18" t="s">
        <v>1111</v>
      </c>
      <c r="G272" s="119">
        <v>43373</v>
      </c>
      <c r="H272" s="18">
        <v>22.5</v>
      </c>
      <c r="I272" s="18"/>
      <c r="J272" s="18">
        <f t="shared" si="68"/>
        <v>22.5</v>
      </c>
      <c r="K272" s="18">
        <v>2.1671999999999998</v>
      </c>
      <c r="L272" s="18"/>
      <c r="M272" s="18">
        <f t="shared" si="69"/>
        <v>2.1671999999999998</v>
      </c>
      <c r="N272" s="18">
        <v>128.51</v>
      </c>
      <c r="O272" s="18"/>
      <c r="P272" s="18">
        <f t="shared" si="70"/>
        <v>128.51</v>
      </c>
      <c r="Q272" s="18">
        <v>4</v>
      </c>
      <c r="R272" s="18"/>
      <c r="S272" s="18">
        <f t="shared" si="71"/>
        <v>4</v>
      </c>
      <c r="T272" s="18">
        <v>1</v>
      </c>
      <c r="U272" s="18"/>
      <c r="V272" s="18">
        <f t="shared" si="72"/>
        <v>1</v>
      </c>
      <c r="W272" s="18">
        <v>2444.86</v>
      </c>
      <c r="X272" s="18"/>
      <c r="Y272" s="18">
        <f t="shared" si="73"/>
        <v>2444.86</v>
      </c>
      <c r="Z272" s="18">
        <v>76.314999999999998</v>
      </c>
      <c r="AA272" s="18"/>
      <c r="AB272" s="18">
        <f t="shared" si="74"/>
        <v>76.314999999999998</v>
      </c>
      <c r="AC272" s="18">
        <v>566.91700000000003</v>
      </c>
      <c r="AD272" s="18"/>
      <c r="AE272" s="18">
        <f t="shared" si="75"/>
        <v>566.91700000000003</v>
      </c>
      <c r="AF272" s="18">
        <v>490.60199999999998</v>
      </c>
      <c r="AG272" s="18"/>
      <c r="AH272" s="18">
        <f t="shared" si="76"/>
        <v>490.60199999999998</v>
      </c>
      <c r="AI272" s="18">
        <v>490.60199999999998</v>
      </c>
      <c r="AJ272" s="18"/>
      <c r="AK272" s="18">
        <f t="shared" si="77"/>
        <v>490.60199999999998</v>
      </c>
      <c r="AL272" s="18">
        <v>142.06</v>
      </c>
      <c r="AM272" s="18"/>
      <c r="AN272" s="18">
        <f t="shared" si="78"/>
        <v>142.06</v>
      </c>
      <c r="AO272" s="18">
        <v>13.69</v>
      </c>
      <c r="AP272" s="18"/>
      <c r="AQ272" s="18">
        <f t="shared" si="79"/>
        <v>13.69</v>
      </c>
      <c r="AR272" s="18">
        <v>67.239999999999995</v>
      </c>
      <c r="AS272" s="18"/>
      <c r="AT272" s="18">
        <f t="shared" si="80"/>
        <v>67.239999999999995</v>
      </c>
      <c r="AU272" s="18">
        <v>693562.44</v>
      </c>
      <c r="AV272" s="18"/>
      <c r="AW272" s="18">
        <f t="shared" si="81"/>
        <v>693562.44</v>
      </c>
      <c r="AX272" s="18">
        <v>2.2499999999999999E-2</v>
      </c>
      <c r="AY272" s="18"/>
      <c r="AZ272" s="18">
        <f t="shared" si="82"/>
        <v>2.2499999999999999E-2</v>
      </c>
      <c r="BA272" s="18">
        <v>2.4199999999999999E-2</v>
      </c>
      <c r="BB272" s="18"/>
      <c r="BC272" s="18">
        <f t="shared" si="83"/>
        <v>2.4199999999999999E-2</v>
      </c>
      <c r="BD272" s="18">
        <v>1.6999999999999999E-3</v>
      </c>
      <c r="BE272" s="18"/>
      <c r="BF272" s="18">
        <f t="shared" si="84"/>
        <v>1.6999999999999999E-3</v>
      </c>
    </row>
    <row r="273" spans="1:58" ht="25.5" x14ac:dyDescent="0.25">
      <c r="A273" s="124" t="s">
        <v>1388</v>
      </c>
      <c r="B273" s="124" t="s">
        <v>1468</v>
      </c>
      <c r="C273" s="18" t="s">
        <v>1093</v>
      </c>
      <c r="D273" s="18" t="s">
        <v>1954</v>
      </c>
      <c r="E273" s="18" t="s">
        <v>1503</v>
      </c>
      <c r="F273" s="18" t="s">
        <v>1111</v>
      </c>
      <c r="G273" s="119">
        <v>43434</v>
      </c>
      <c r="H273" s="18">
        <v>0</v>
      </c>
      <c r="I273" s="18"/>
      <c r="J273" s="18">
        <f t="shared" si="68"/>
        <v>0</v>
      </c>
      <c r="K273" s="18">
        <v>0</v>
      </c>
      <c r="L273" s="18"/>
      <c r="M273" s="18">
        <f t="shared" si="69"/>
        <v>0</v>
      </c>
      <c r="N273" s="18">
        <v>34.017000000000003</v>
      </c>
      <c r="O273" s="18"/>
      <c r="P273" s="18">
        <f t="shared" si="70"/>
        <v>34.017000000000003</v>
      </c>
      <c r="Q273" s="18">
        <v>7</v>
      </c>
      <c r="R273" s="18"/>
      <c r="S273" s="18">
        <f t="shared" si="71"/>
        <v>7</v>
      </c>
      <c r="T273" s="18">
        <v>1</v>
      </c>
      <c r="U273" s="18"/>
      <c r="V273" s="18">
        <f t="shared" si="72"/>
        <v>1</v>
      </c>
      <c r="W273" s="18">
        <v>5659.57</v>
      </c>
      <c r="X273" s="18"/>
      <c r="Y273" s="18">
        <f t="shared" si="73"/>
        <v>5659.57</v>
      </c>
      <c r="Z273" s="18">
        <v>254.28</v>
      </c>
      <c r="AA273" s="18"/>
      <c r="AB273" s="18">
        <f t="shared" si="74"/>
        <v>254.28</v>
      </c>
      <c r="AC273" s="18">
        <v>950.37</v>
      </c>
      <c r="AD273" s="18"/>
      <c r="AE273" s="18">
        <f t="shared" si="75"/>
        <v>950.37</v>
      </c>
      <c r="AF273" s="18">
        <v>685600.3</v>
      </c>
      <c r="AG273" s="18"/>
      <c r="AH273" s="18">
        <f t="shared" si="76"/>
        <v>685600.3</v>
      </c>
      <c r="AI273" s="18">
        <v>487854.93</v>
      </c>
      <c r="AJ273" s="18"/>
      <c r="AK273" s="18">
        <f t="shared" si="77"/>
        <v>487854.93</v>
      </c>
      <c r="AL273" s="18">
        <v>25.156700000000001</v>
      </c>
      <c r="AM273" s="18"/>
      <c r="AN273" s="18">
        <f t="shared" si="78"/>
        <v>25.156700000000001</v>
      </c>
      <c r="AO273" s="18">
        <v>1.2901</v>
      </c>
      <c r="AP273" s="18"/>
      <c r="AQ273" s="18">
        <f t="shared" si="79"/>
        <v>1.2901</v>
      </c>
      <c r="AR273" s="18">
        <v>0.15479999999999999</v>
      </c>
      <c r="AS273" s="18"/>
      <c r="AT273" s="18">
        <f t="shared" si="80"/>
        <v>0.15479999999999999</v>
      </c>
      <c r="AU273" s="18">
        <v>685572.57</v>
      </c>
      <c r="AV273" s="18"/>
      <c r="AW273" s="18">
        <f t="shared" si="81"/>
        <v>685572.57</v>
      </c>
      <c r="AX273" s="18">
        <v>0</v>
      </c>
      <c r="AY273" s="18"/>
      <c r="AZ273" s="18">
        <f t="shared" si="82"/>
        <v>0</v>
      </c>
      <c r="BA273" s="18">
        <v>0</v>
      </c>
      <c r="BB273" s="18"/>
      <c r="BC273" s="18">
        <f t="shared" si="83"/>
        <v>0</v>
      </c>
      <c r="BD273" s="18">
        <v>0</v>
      </c>
      <c r="BE273" s="18"/>
      <c r="BF273" s="18">
        <f t="shared" si="84"/>
        <v>0</v>
      </c>
    </row>
    <row r="274" spans="1:58" ht="25.5" x14ac:dyDescent="0.25">
      <c r="A274" s="124" t="s">
        <v>1389</v>
      </c>
      <c r="B274" s="124" t="s">
        <v>1468</v>
      </c>
      <c r="C274" s="18" t="s">
        <v>1093</v>
      </c>
      <c r="D274" s="18" t="s">
        <v>1955</v>
      </c>
      <c r="E274" s="18" t="s">
        <v>1503</v>
      </c>
      <c r="F274" s="18" t="s">
        <v>1111</v>
      </c>
      <c r="G274" s="119">
        <v>43434</v>
      </c>
      <c r="H274" s="18">
        <v>1.5287999999999999</v>
      </c>
      <c r="I274" s="18"/>
      <c r="J274" s="18">
        <f t="shared" si="68"/>
        <v>1.5287999999999999</v>
      </c>
      <c r="K274" s="18">
        <v>0</v>
      </c>
      <c r="L274" s="18"/>
      <c r="M274" s="18">
        <f t="shared" si="69"/>
        <v>0</v>
      </c>
      <c r="N274" s="18">
        <v>78.03</v>
      </c>
      <c r="O274" s="18"/>
      <c r="P274" s="18">
        <f t="shared" si="70"/>
        <v>78.03</v>
      </c>
      <c r="Q274" s="18">
        <v>5</v>
      </c>
      <c r="R274" s="18"/>
      <c r="S274" s="18">
        <f t="shared" si="71"/>
        <v>5</v>
      </c>
      <c r="T274" s="18">
        <v>1</v>
      </c>
      <c r="U274" s="18"/>
      <c r="V274" s="18">
        <f t="shared" si="72"/>
        <v>1</v>
      </c>
      <c r="W274" s="18">
        <v>2072.4</v>
      </c>
      <c r="X274" s="18"/>
      <c r="Y274" s="18">
        <f t="shared" si="73"/>
        <v>2072.4</v>
      </c>
      <c r="Z274" s="18">
        <v>139.28</v>
      </c>
      <c r="AA274" s="18"/>
      <c r="AB274" s="18">
        <f t="shared" si="74"/>
        <v>139.28</v>
      </c>
      <c r="AC274" s="18">
        <v>313.93</v>
      </c>
      <c r="AD274" s="18"/>
      <c r="AE274" s="18">
        <f t="shared" si="75"/>
        <v>313.93</v>
      </c>
      <c r="AF274" s="18">
        <v>174647</v>
      </c>
      <c r="AG274" s="18"/>
      <c r="AH274" s="18">
        <f t="shared" si="76"/>
        <v>174647</v>
      </c>
      <c r="AI274" s="18">
        <v>255954.05</v>
      </c>
      <c r="AJ274" s="18"/>
      <c r="AK274" s="18">
        <f t="shared" si="77"/>
        <v>255954.05</v>
      </c>
      <c r="AL274" s="18">
        <v>9.8040000000000003</v>
      </c>
      <c r="AM274" s="18"/>
      <c r="AN274" s="18">
        <f t="shared" si="78"/>
        <v>9.8040000000000003</v>
      </c>
      <c r="AO274" s="18">
        <v>0.89300000000000002</v>
      </c>
      <c r="AP274" s="18"/>
      <c r="AQ274" s="18">
        <f t="shared" si="79"/>
        <v>0.89300000000000002</v>
      </c>
      <c r="AR274" s="18">
        <v>8.5990000000000002</v>
      </c>
      <c r="AS274" s="18"/>
      <c r="AT274" s="18">
        <f t="shared" si="80"/>
        <v>8.5990000000000002</v>
      </c>
      <c r="AU274" s="18">
        <v>158.71</v>
      </c>
      <c r="AV274" s="18"/>
      <c r="AW274" s="18">
        <f t="shared" si="81"/>
        <v>158.71</v>
      </c>
      <c r="AX274" s="18">
        <v>1E-3</v>
      </c>
      <c r="AY274" s="18"/>
      <c r="AZ274" s="18">
        <f t="shared" si="82"/>
        <v>1E-3</v>
      </c>
      <c r="BA274" s="18">
        <v>1E-3</v>
      </c>
      <c r="BB274" s="18"/>
      <c r="BC274" s="18">
        <f t="shared" si="83"/>
        <v>1E-3</v>
      </c>
      <c r="BD274" s="18">
        <v>0</v>
      </c>
      <c r="BE274" s="18"/>
      <c r="BF274" s="18">
        <f t="shared" si="84"/>
        <v>0</v>
      </c>
    </row>
    <row r="275" spans="1:58" ht="89.25" x14ac:dyDescent="0.25">
      <c r="A275" s="124" t="s">
        <v>1390</v>
      </c>
      <c r="B275" s="124" t="s">
        <v>1468</v>
      </c>
      <c r="C275" s="18" t="s">
        <v>1956</v>
      </c>
      <c r="D275" s="18" t="s">
        <v>1957</v>
      </c>
      <c r="E275" s="18" t="s">
        <v>1471</v>
      </c>
      <c r="F275" s="18" t="s">
        <v>1111</v>
      </c>
      <c r="G275" s="119">
        <v>43190</v>
      </c>
      <c r="H275" s="18">
        <v>0</v>
      </c>
      <c r="I275" s="18"/>
      <c r="J275" s="18">
        <f t="shared" si="68"/>
        <v>0</v>
      </c>
      <c r="K275" s="18">
        <v>0</v>
      </c>
      <c r="L275" s="18"/>
      <c r="M275" s="18">
        <f t="shared" si="69"/>
        <v>0</v>
      </c>
      <c r="N275" s="18">
        <v>72.509</v>
      </c>
      <c r="O275" s="18"/>
      <c r="P275" s="18">
        <f t="shared" si="70"/>
        <v>72.509</v>
      </c>
      <c r="Q275" s="18">
        <v>5</v>
      </c>
      <c r="R275" s="18"/>
      <c r="S275" s="18">
        <f t="shared" si="71"/>
        <v>5</v>
      </c>
      <c r="T275" s="18">
        <v>1</v>
      </c>
      <c r="U275" s="18"/>
      <c r="V275" s="18">
        <f t="shared" si="72"/>
        <v>1</v>
      </c>
      <c r="W275" s="18">
        <v>4293</v>
      </c>
      <c r="X275" s="18"/>
      <c r="Y275" s="18">
        <f t="shared" si="73"/>
        <v>4293</v>
      </c>
      <c r="Z275" s="18">
        <v>188.4</v>
      </c>
      <c r="AA275" s="18"/>
      <c r="AB275" s="18">
        <f t="shared" si="74"/>
        <v>188.4</v>
      </c>
      <c r="AC275" s="18">
        <v>347.18</v>
      </c>
      <c r="AD275" s="18"/>
      <c r="AE275" s="18">
        <f t="shared" si="75"/>
        <v>347.18</v>
      </c>
      <c r="AF275" s="18">
        <v>164202</v>
      </c>
      <c r="AG275" s="18"/>
      <c r="AH275" s="18">
        <f t="shared" si="76"/>
        <v>164202</v>
      </c>
      <c r="AI275" s="18">
        <v>240052</v>
      </c>
      <c r="AJ275" s="18"/>
      <c r="AK275" s="18">
        <f t="shared" si="77"/>
        <v>240052</v>
      </c>
      <c r="AL275" s="18">
        <v>4</v>
      </c>
      <c r="AM275" s="18"/>
      <c r="AN275" s="18">
        <f t="shared" si="78"/>
        <v>4</v>
      </c>
      <c r="AO275" s="18">
        <v>1</v>
      </c>
      <c r="AP275" s="18"/>
      <c r="AQ275" s="18">
        <f t="shared" si="79"/>
        <v>1</v>
      </c>
      <c r="AR275" s="18">
        <v>4</v>
      </c>
      <c r="AS275" s="18"/>
      <c r="AT275" s="18">
        <f t="shared" si="80"/>
        <v>4</v>
      </c>
      <c r="AU275" s="18">
        <v>240783</v>
      </c>
      <c r="AV275" s="18"/>
      <c r="AW275" s="18">
        <f t="shared" si="81"/>
        <v>240783</v>
      </c>
      <c r="AX275" s="18">
        <v>0</v>
      </c>
      <c r="AY275" s="18"/>
      <c r="AZ275" s="18">
        <f t="shared" si="82"/>
        <v>0</v>
      </c>
      <c r="BA275" s="18">
        <v>0</v>
      </c>
      <c r="BB275" s="18"/>
      <c r="BC275" s="18">
        <f t="shared" si="83"/>
        <v>0</v>
      </c>
      <c r="BD275" s="18">
        <v>0</v>
      </c>
      <c r="BE275" s="18"/>
      <c r="BF275" s="18">
        <f t="shared" si="84"/>
        <v>0</v>
      </c>
    </row>
    <row r="276" spans="1:58" ht="25.5" x14ac:dyDescent="0.25">
      <c r="A276" s="124" t="s">
        <v>1391</v>
      </c>
      <c r="B276" s="124" t="s">
        <v>1468</v>
      </c>
      <c r="C276" s="18" t="s">
        <v>1093</v>
      </c>
      <c r="D276" s="18" t="s">
        <v>1958</v>
      </c>
      <c r="E276" s="18" t="s">
        <v>1503</v>
      </c>
      <c r="F276" s="18" t="s">
        <v>1111</v>
      </c>
      <c r="G276" s="119">
        <v>43434</v>
      </c>
      <c r="H276" s="18">
        <v>0</v>
      </c>
      <c r="I276" s="18"/>
      <c r="J276" s="18">
        <f t="shared" si="68"/>
        <v>0</v>
      </c>
      <c r="K276" s="18">
        <v>0</v>
      </c>
      <c r="L276" s="18"/>
      <c r="M276" s="18">
        <f t="shared" si="69"/>
        <v>0</v>
      </c>
      <c r="N276" s="18">
        <v>105.26</v>
      </c>
      <c r="O276" s="18"/>
      <c r="P276" s="18">
        <f t="shared" si="70"/>
        <v>105.26</v>
      </c>
      <c r="Q276" s="18">
        <v>5</v>
      </c>
      <c r="R276" s="18"/>
      <c r="S276" s="18">
        <f t="shared" si="71"/>
        <v>5</v>
      </c>
      <c r="T276" s="18">
        <v>1</v>
      </c>
      <c r="U276" s="18"/>
      <c r="V276" s="18">
        <f t="shared" si="72"/>
        <v>1</v>
      </c>
      <c r="W276" s="18">
        <v>9365</v>
      </c>
      <c r="X276" s="18"/>
      <c r="Y276" s="18">
        <f t="shared" si="73"/>
        <v>9365</v>
      </c>
      <c r="Z276" s="18">
        <v>599.36</v>
      </c>
      <c r="AA276" s="18"/>
      <c r="AB276" s="18">
        <f t="shared" si="74"/>
        <v>599.36</v>
      </c>
      <c r="AC276" s="18">
        <v>1198.8599999999999</v>
      </c>
      <c r="AD276" s="18"/>
      <c r="AE276" s="18">
        <f t="shared" si="75"/>
        <v>1198.8599999999999</v>
      </c>
      <c r="AF276" s="18">
        <v>599500</v>
      </c>
      <c r="AG276" s="18"/>
      <c r="AH276" s="18">
        <f t="shared" si="76"/>
        <v>599500</v>
      </c>
      <c r="AI276" s="18">
        <v>543170</v>
      </c>
      <c r="AJ276" s="18"/>
      <c r="AK276" s="18">
        <f t="shared" si="77"/>
        <v>543170</v>
      </c>
      <c r="AL276" s="18">
        <v>76</v>
      </c>
      <c r="AM276" s="18"/>
      <c r="AN276" s="18">
        <f t="shared" si="78"/>
        <v>76</v>
      </c>
      <c r="AO276" s="18">
        <v>3.9</v>
      </c>
      <c r="AP276" s="18"/>
      <c r="AQ276" s="18">
        <f t="shared" si="79"/>
        <v>3.9</v>
      </c>
      <c r="AR276" s="18">
        <v>0.5</v>
      </c>
      <c r="AS276" s="18"/>
      <c r="AT276" s="18">
        <f t="shared" si="80"/>
        <v>0.5</v>
      </c>
      <c r="AU276" s="18">
        <v>955230</v>
      </c>
      <c r="AV276" s="18"/>
      <c r="AW276" s="18">
        <f t="shared" si="81"/>
        <v>955230</v>
      </c>
      <c r="AX276" s="18">
        <v>0</v>
      </c>
      <c r="AY276" s="18"/>
      <c r="AZ276" s="18">
        <f t="shared" si="82"/>
        <v>0</v>
      </c>
      <c r="BA276" s="18">
        <v>0</v>
      </c>
      <c r="BB276" s="18"/>
      <c r="BC276" s="18">
        <f t="shared" si="83"/>
        <v>0</v>
      </c>
      <c r="BD276" s="18">
        <v>0</v>
      </c>
      <c r="BE276" s="18"/>
      <c r="BF276" s="18">
        <f t="shared" si="84"/>
        <v>0</v>
      </c>
    </row>
    <row r="277" spans="1:58" ht="38.25" x14ac:dyDescent="0.25">
      <c r="A277" s="124" t="s">
        <v>1392</v>
      </c>
      <c r="B277" s="124" t="s">
        <v>1468</v>
      </c>
      <c r="C277" s="18" t="s">
        <v>1959</v>
      </c>
      <c r="D277" s="18" t="s">
        <v>1960</v>
      </c>
      <c r="E277" s="18" t="s">
        <v>1474</v>
      </c>
      <c r="F277" s="18" t="s">
        <v>1111</v>
      </c>
      <c r="G277" s="119">
        <v>43281</v>
      </c>
      <c r="H277" s="18">
        <v>0</v>
      </c>
      <c r="I277" s="18"/>
      <c r="J277" s="18">
        <f t="shared" si="68"/>
        <v>0</v>
      </c>
      <c r="K277" s="18">
        <v>0</v>
      </c>
      <c r="L277" s="18"/>
      <c r="M277" s="18">
        <f t="shared" si="69"/>
        <v>0</v>
      </c>
      <c r="N277" s="18">
        <v>8.6999999999999993</v>
      </c>
      <c r="O277" s="18"/>
      <c r="P277" s="18">
        <f t="shared" si="70"/>
        <v>8.6999999999999993</v>
      </c>
      <c r="Q277" s="18">
        <v>4</v>
      </c>
      <c r="R277" s="18"/>
      <c r="S277" s="18">
        <f t="shared" si="71"/>
        <v>4</v>
      </c>
      <c r="T277" s="18">
        <v>1</v>
      </c>
      <c r="U277" s="18"/>
      <c r="V277" s="18">
        <f t="shared" si="72"/>
        <v>1</v>
      </c>
      <c r="W277" s="18">
        <v>361.78</v>
      </c>
      <c r="X277" s="18"/>
      <c r="Y277" s="18">
        <f t="shared" si="73"/>
        <v>361.78</v>
      </c>
      <c r="Z277" s="18">
        <v>25.1</v>
      </c>
      <c r="AA277" s="18"/>
      <c r="AB277" s="18">
        <f t="shared" si="74"/>
        <v>25.1</v>
      </c>
      <c r="AC277" s="18">
        <v>62.7</v>
      </c>
      <c r="AD277" s="18"/>
      <c r="AE277" s="18">
        <f t="shared" si="75"/>
        <v>62.7</v>
      </c>
      <c r="AF277" s="18">
        <v>37600</v>
      </c>
      <c r="AG277" s="18"/>
      <c r="AH277" s="18">
        <f t="shared" si="76"/>
        <v>37600</v>
      </c>
      <c r="AI277" s="18">
        <v>37600</v>
      </c>
      <c r="AJ277" s="18"/>
      <c r="AK277" s="18">
        <f t="shared" si="77"/>
        <v>37600</v>
      </c>
      <c r="AL277" s="18">
        <v>16.100000000000001</v>
      </c>
      <c r="AM277" s="18"/>
      <c r="AN277" s="18">
        <f t="shared" si="78"/>
        <v>16.100000000000001</v>
      </c>
      <c r="AO277" s="18">
        <v>0.3</v>
      </c>
      <c r="AP277" s="18"/>
      <c r="AQ277" s="18">
        <f t="shared" si="79"/>
        <v>0.3</v>
      </c>
      <c r="AR277" s="18">
        <v>1.7</v>
      </c>
      <c r="AS277" s="18"/>
      <c r="AT277" s="18">
        <f t="shared" si="80"/>
        <v>1.7</v>
      </c>
      <c r="AU277" s="18">
        <v>54299.68</v>
      </c>
      <c r="AV277" s="18"/>
      <c r="AW277" s="18">
        <f t="shared" si="81"/>
        <v>54299.68</v>
      </c>
      <c r="AX277" s="18">
        <v>0</v>
      </c>
      <c r="AY277" s="18"/>
      <c r="AZ277" s="18">
        <f t="shared" si="82"/>
        <v>0</v>
      </c>
      <c r="BA277" s="18">
        <v>0</v>
      </c>
      <c r="BB277" s="18"/>
      <c r="BC277" s="18">
        <f t="shared" si="83"/>
        <v>0</v>
      </c>
      <c r="BD277" s="18">
        <v>0</v>
      </c>
      <c r="BE277" s="18"/>
      <c r="BF277" s="18">
        <f t="shared" si="84"/>
        <v>0</v>
      </c>
    </row>
    <row r="278" spans="1:58" ht="25.5" x14ac:dyDescent="0.25">
      <c r="A278" s="124" t="s">
        <v>1393</v>
      </c>
      <c r="B278" s="124" t="s">
        <v>1468</v>
      </c>
      <c r="C278" s="18" t="s">
        <v>1093</v>
      </c>
      <c r="D278" s="18" t="s">
        <v>1961</v>
      </c>
      <c r="E278" s="18" t="s">
        <v>1500</v>
      </c>
      <c r="F278" s="18" t="s">
        <v>1111</v>
      </c>
      <c r="G278" s="119">
        <v>43434</v>
      </c>
      <c r="H278" s="18">
        <v>0</v>
      </c>
      <c r="I278" s="18"/>
      <c r="J278" s="18">
        <f t="shared" si="68"/>
        <v>0</v>
      </c>
      <c r="K278" s="18">
        <v>0</v>
      </c>
      <c r="L278" s="18"/>
      <c r="M278" s="18">
        <f t="shared" si="69"/>
        <v>0</v>
      </c>
      <c r="N278" s="18">
        <v>34.811300000000003</v>
      </c>
      <c r="O278" s="18"/>
      <c r="P278" s="18">
        <f t="shared" si="70"/>
        <v>34.811300000000003</v>
      </c>
      <c r="Q278" s="18">
        <v>7</v>
      </c>
      <c r="R278" s="18"/>
      <c r="S278" s="18">
        <f t="shared" si="71"/>
        <v>7</v>
      </c>
      <c r="T278" s="18">
        <v>1</v>
      </c>
      <c r="U278" s="18"/>
      <c r="V278" s="18">
        <f t="shared" si="72"/>
        <v>1</v>
      </c>
      <c r="W278" s="18">
        <v>1979.25</v>
      </c>
      <c r="X278" s="18"/>
      <c r="Y278" s="18">
        <f t="shared" si="73"/>
        <v>1979.25</v>
      </c>
      <c r="Z278" s="18">
        <v>100.11</v>
      </c>
      <c r="AA278" s="18"/>
      <c r="AB278" s="18">
        <f t="shared" si="74"/>
        <v>100.11</v>
      </c>
      <c r="AC278" s="18">
        <v>398.36</v>
      </c>
      <c r="AD278" s="18"/>
      <c r="AE278" s="18">
        <f t="shared" si="75"/>
        <v>398.36</v>
      </c>
      <c r="AF278" s="18">
        <v>222073.16</v>
      </c>
      <c r="AG278" s="18"/>
      <c r="AH278" s="18">
        <f t="shared" si="76"/>
        <v>222073.16</v>
      </c>
      <c r="AI278" s="18">
        <v>1.0489999999999999</v>
      </c>
      <c r="AJ278" s="18"/>
      <c r="AK278" s="18">
        <f t="shared" si="77"/>
        <v>1.0489999999999999</v>
      </c>
      <c r="AL278" s="18">
        <v>25.744599999999998</v>
      </c>
      <c r="AM278" s="18"/>
      <c r="AN278" s="18">
        <f t="shared" si="78"/>
        <v>25.744599999999998</v>
      </c>
      <c r="AO278" s="18">
        <v>1.3199000000000001</v>
      </c>
      <c r="AP278" s="18"/>
      <c r="AQ278" s="18">
        <f t="shared" si="79"/>
        <v>1.3199000000000001</v>
      </c>
      <c r="AR278" s="18">
        <v>0.15840000000000001</v>
      </c>
      <c r="AS278" s="18"/>
      <c r="AT278" s="18">
        <f t="shared" si="80"/>
        <v>0.15840000000000001</v>
      </c>
      <c r="AU278" s="18">
        <v>160.13999999999999</v>
      </c>
      <c r="AV278" s="18"/>
      <c r="AW278" s="18">
        <f t="shared" si="81"/>
        <v>160.13999999999999</v>
      </c>
      <c r="AX278" s="18">
        <v>0</v>
      </c>
      <c r="AY278" s="18"/>
      <c r="AZ278" s="18">
        <f t="shared" si="82"/>
        <v>0</v>
      </c>
      <c r="BA278" s="18">
        <v>0</v>
      </c>
      <c r="BB278" s="18"/>
      <c r="BC278" s="18">
        <f t="shared" si="83"/>
        <v>0</v>
      </c>
      <c r="BD278" s="18">
        <v>0</v>
      </c>
      <c r="BE278" s="18"/>
      <c r="BF278" s="18">
        <f t="shared" si="84"/>
        <v>0</v>
      </c>
    </row>
    <row r="279" spans="1:58" ht="25.5" x14ac:dyDescent="0.25">
      <c r="A279" s="124" t="s">
        <v>1394</v>
      </c>
      <c r="B279" s="124" t="s">
        <v>1468</v>
      </c>
      <c r="C279" s="18" t="s">
        <v>1093</v>
      </c>
      <c r="D279" s="18" t="s">
        <v>1962</v>
      </c>
      <c r="E279" s="18" t="s">
        <v>1500</v>
      </c>
      <c r="F279" s="18" t="s">
        <v>1111</v>
      </c>
      <c r="G279" s="119">
        <v>43434</v>
      </c>
      <c r="H279" s="18">
        <v>0</v>
      </c>
      <c r="I279" s="18"/>
      <c r="J279" s="18">
        <f t="shared" si="68"/>
        <v>0</v>
      </c>
      <c r="K279" s="18">
        <v>0</v>
      </c>
      <c r="L279" s="18"/>
      <c r="M279" s="18">
        <f t="shared" si="69"/>
        <v>0</v>
      </c>
      <c r="N279" s="18">
        <v>47.817100000000003</v>
      </c>
      <c r="O279" s="18"/>
      <c r="P279" s="18">
        <f t="shared" si="70"/>
        <v>47.817100000000003</v>
      </c>
      <c r="Q279" s="18">
        <v>7</v>
      </c>
      <c r="R279" s="18"/>
      <c r="S279" s="18">
        <f t="shared" si="71"/>
        <v>7</v>
      </c>
      <c r="T279" s="18">
        <v>1</v>
      </c>
      <c r="U279" s="18"/>
      <c r="V279" s="18">
        <f t="shared" si="72"/>
        <v>1</v>
      </c>
      <c r="W279" s="18">
        <v>2800.4</v>
      </c>
      <c r="X279" s="18"/>
      <c r="Y279" s="18">
        <f t="shared" si="73"/>
        <v>2800.4</v>
      </c>
      <c r="Z279" s="18">
        <v>134.76</v>
      </c>
      <c r="AA279" s="18"/>
      <c r="AB279" s="18">
        <f t="shared" si="74"/>
        <v>134.76</v>
      </c>
      <c r="AC279" s="18">
        <v>385.21</v>
      </c>
      <c r="AD279" s="18"/>
      <c r="AE279" s="18">
        <f t="shared" si="75"/>
        <v>385.21</v>
      </c>
      <c r="AF279" s="18">
        <v>285700.51</v>
      </c>
      <c r="AG279" s="18"/>
      <c r="AH279" s="18">
        <f t="shared" si="76"/>
        <v>285700.51</v>
      </c>
      <c r="AI279" s="18">
        <v>145</v>
      </c>
      <c r="AJ279" s="18"/>
      <c r="AK279" s="18">
        <f t="shared" si="77"/>
        <v>145</v>
      </c>
      <c r="AL279" s="18">
        <v>35.363100000000003</v>
      </c>
      <c r="AM279" s="18"/>
      <c r="AN279" s="18">
        <f t="shared" si="78"/>
        <v>35.363100000000003</v>
      </c>
      <c r="AO279" s="18">
        <v>1.8139000000000001</v>
      </c>
      <c r="AP279" s="18"/>
      <c r="AQ279" s="18">
        <f t="shared" si="79"/>
        <v>1.8139000000000001</v>
      </c>
      <c r="AR279" s="18">
        <v>0.2172</v>
      </c>
      <c r="AS279" s="18"/>
      <c r="AT279" s="18">
        <f t="shared" si="80"/>
        <v>0.2172</v>
      </c>
      <c r="AU279" s="18">
        <v>145.02000000000001</v>
      </c>
      <c r="AV279" s="18"/>
      <c r="AW279" s="18">
        <f t="shared" si="81"/>
        <v>145.02000000000001</v>
      </c>
      <c r="AX279" s="18">
        <v>0</v>
      </c>
      <c r="AY279" s="18"/>
      <c r="AZ279" s="18">
        <f t="shared" si="82"/>
        <v>0</v>
      </c>
      <c r="BA279" s="18">
        <v>0</v>
      </c>
      <c r="BB279" s="18"/>
      <c r="BC279" s="18">
        <f t="shared" si="83"/>
        <v>0</v>
      </c>
      <c r="BD279" s="18">
        <v>0</v>
      </c>
      <c r="BE279" s="18"/>
      <c r="BF279" s="18">
        <f t="shared" si="84"/>
        <v>0</v>
      </c>
    </row>
    <row r="280" spans="1:58" ht="38.25" x14ac:dyDescent="0.25">
      <c r="A280" s="124" t="s">
        <v>1395</v>
      </c>
      <c r="B280" s="124" t="s">
        <v>1468</v>
      </c>
      <c r="C280" s="18" t="s">
        <v>1484</v>
      </c>
      <c r="D280" s="18" t="s">
        <v>1963</v>
      </c>
      <c r="E280" s="18" t="s">
        <v>1477</v>
      </c>
      <c r="F280" s="18" t="s">
        <v>1111</v>
      </c>
      <c r="G280" s="119">
        <v>43434</v>
      </c>
      <c r="H280" s="18">
        <v>0</v>
      </c>
      <c r="I280" s="18"/>
      <c r="J280" s="18">
        <f t="shared" si="68"/>
        <v>0</v>
      </c>
      <c r="K280" s="18">
        <v>27.92</v>
      </c>
      <c r="L280" s="18"/>
      <c r="M280" s="18">
        <f t="shared" si="69"/>
        <v>27.92</v>
      </c>
      <c r="N280" s="18">
        <v>328.76799999999997</v>
      </c>
      <c r="O280" s="18"/>
      <c r="P280" s="18">
        <f t="shared" si="70"/>
        <v>328.76799999999997</v>
      </c>
      <c r="Q280" s="18">
        <v>3</v>
      </c>
      <c r="R280" s="18"/>
      <c r="S280" s="18">
        <f t="shared" si="71"/>
        <v>3</v>
      </c>
      <c r="T280" s="18">
        <v>1</v>
      </c>
      <c r="U280" s="18"/>
      <c r="V280" s="18">
        <f t="shared" si="72"/>
        <v>1</v>
      </c>
      <c r="W280" s="18">
        <v>6488.5</v>
      </c>
      <c r="X280" s="18"/>
      <c r="Y280" s="18">
        <f t="shared" si="73"/>
        <v>6488.5</v>
      </c>
      <c r="Z280" s="18">
        <v>158.12</v>
      </c>
      <c r="AA280" s="18"/>
      <c r="AB280" s="18">
        <f t="shared" si="74"/>
        <v>158.12</v>
      </c>
      <c r="AC280" s="18">
        <v>986.92</v>
      </c>
      <c r="AD280" s="18"/>
      <c r="AE280" s="18">
        <f t="shared" si="75"/>
        <v>986.92</v>
      </c>
      <c r="AF280" s="18">
        <v>828806.85</v>
      </c>
      <c r="AG280" s="18"/>
      <c r="AH280" s="18">
        <f t="shared" si="76"/>
        <v>828806.85</v>
      </c>
      <c r="AI280" s="18">
        <v>828806.9</v>
      </c>
      <c r="AJ280" s="18"/>
      <c r="AK280" s="18">
        <f t="shared" si="77"/>
        <v>828806.9</v>
      </c>
      <c r="AL280" s="18">
        <v>931</v>
      </c>
      <c r="AM280" s="18"/>
      <c r="AN280" s="18">
        <f t="shared" si="78"/>
        <v>931</v>
      </c>
      <c r="AO280" s="18">
        <v>67</v>
      </c>
      <c r="AP280" s="18"/>
      <c r="AQ280" s="18">
        <f t="shared" si="79"/>
        <v>67</v>
      </c>
      <c r="AR280" s="18">
        <v>775</v>
      </c>
      <c r="AS280" s="18"/>
      <c r="AT280" s="18">
        <f t="shared" si="80"/>
        <v>775</v>
      </c>
      <c r="AU280" s="18">
        <v>1492355</v>
      </c>
      <c r="AV280" s="18"/>
      <c r="AW280" s="18">
        <f t="shared" si="81"/>
        <v>1492355</v>
      </c>
      <c r="AX280" s="18">
        <v>0</v>
      </c>
      <c r="AY280" s="18"/>
      <c r="AZ280" s="18">
        <f t="shared" si="82"/>
        <v>0</v>
      </c>
      <c r="BA280" s="18">
        <v>3.5000000000000003E-2</v>
      </c>
      <c r="BB280" s="18"/>
      <c r="BC280" s="18">
        <f t="shared" si="83"/>
        <v>3.5000000000000003E-2</v>
      </c>
      <c r="BD280" s="18">
        <v>3.5000000000000003E-2</v>
      </c>
      <c r="BE280" s="18"/>
      <c r="BF280" s="18">
        <f t="shared" si="84"/>
        <v>3.5000000000000003E-2</v>
      </c>
    </row>
    <row r="281" spans="1:58" ht="38.25" x14ac:dyDescent="0.25">
      <c r="A281" s="124" t="s">
        <v>1396</v>
      </c>
      <c r="B281" s="124" t="s">
        <v>1468</v>
      </c>
      <c r="C281" s="18" t="s">
        <v>1484</v>
      </c>
      <c r="D281" s="18" t="s">
        <v>1964</v>
      </c>
      <c r="E281" s="18" t="s">
        <v>1477</v>
      </c>
      <c r="F281" s="18" t="s">
        <v>1111</v>
      </c>
      <c r="G281" s="119">
        <v>43373</v>
      </c>
      <c r="H281" s="18">
        <v>0</v>
      </c>
      <c r="I281" s="18"/>
      <c r="J281" s="18">
        <f t="shared" si="68"/>
        <v>0</v>
      </c>
      <c r="K281" s="18">
        <v>28.61</v>
      </c>
      <c r="L281" s="18"/>
      <c r="M281" s="18">
        <f t="shared" si="69"/>
        <v>28.61</v>
      </c>
      <c r="N281" s="18">
        <v>302.786</v>
      </c>
      <c r="O281" s="18"/>
      <c r="P281" s="18">
        <f t="shared" si="70"/>
        <v>302.786</v>
      </c>
      <c r="Q281" s="18">
        <v>3</v>
      </c>
      <c r="R281" s="18"/>
      <c r="S281" s="18">
        <f t="shared" si="71"/>
        <v>3</v>
      </c>
      <c r="T281" s="18">
        <v>1</v>
      </c>
      <c r="U281" s="18"/>
      <c r="V281" s="18">
        <f t="shared" si="72"/>
        <v>1</v>
      </c>
      <c r="W281" s="18">
        <v>6483.66</v>
      </c>
      <c r="X281" s="18"/>
      <c r="Y281" s="18">
        <f t="shared" si="73"/>
        <v>6483.66</v>
      </c>
      <c r="Z281" s="18">
        <v>155.02000000000001</v>
      </c>
      <c r="AA281" s="18"/>
      <c r="AB281" s="18">
        <f t="shared" si="74"/>
        <v>155.02000000000001</v>
      </c>
      <c r="AC281" s="18">
        <v>920.39</v>
      </c>
      <c r="AD281" s="18"/>
      <c r="AE281" s="18">
        <f t="shared" si="75"/>
        <v>920.39</v>
      </c>
      <c r="AF281" s="18">
        <v>765371.13</v>
      </c>
      <c r="AG281" s="18"/>
      <c r="AH281" s="18">
        <f t="shared" si="76"/>
        <v>765371.13</v>
      </c>
      <c r="AI281" s="18">
        <v>765371.13</v>
      </c>
      <c r="AJ281" s="18"/>
      <c r="AK281" s="18">
        <f t="shared" si="77"/>
        <v>765371.13</v>
      </c>
      <c r="AL281" s="18">
        <v>858</v>
      </c>
      <c r="AM281" s="18"/>
      <c r="AN281" s="18">
        <f t="shared" si="78"/>
        <v>858</v>
      </c>
      <c r="AO281" s="18">
        <v>62</v>
      </c>
      <c r="AP281" s="18"/>
      <c r="AQ281" s="18">
        <f t="shared" si="79"/>
        <v>62</v>
      </c>
      <c r="AR281" s="18">
        <v>716</v>
      </c>
      <c r="AS281" s="18"/>
      <c r="AT281" s="18">
        <f t="shared" si="80"/>
        <v>716</v>
      </c>
      <c r="AU281" s="18">
        <v>1384812</v>
      </c>
      <c r="AV281" s="18"/>
      <c r="AW281" s="18">
        <f t="shared" si="81"/>
        <v>1384812</v>
      </c>
      <c r="AX281" s="18">
        <v>0</v>
      </c>
      <c r="AY281" s="18"/>
      <c r="AZ281" s="18">
        <f t="shared" si="82"/>
        <v>0</v>
      </c>
      <c r="BA281" s="18">
        <v>3.5000000000000003E-2</v>
      </c>
      <c r="BB281" s="18"/>
      <c r="BC281" s="18">
        <f t="shared" si="83"/>
        <v>3.5000000000000003E-2</v>
      </c>
      <c r="BD281" s="18">
        <v>3.5000000000000003E-2</v>
      </c>
      <c r="BE281" s="18"/>
      <c r="BF281" s="18">
        <f t="shared" si="84"/>
        <v>3.5000000000000003E-2</v>
      </c>
    </row>
    <row r="282" spans="1:58" ht="25.5" x14ac:dyDescent="0.25">
      <c r="A282" s="124" t="s">
        <v>1397</v>
      </c>
      <c r="B282" s="124" t="s">
        <v>1468</v>
      </c>
      <c r="C282" s="18" t="s">
        <v>1093</v>
      </c>
      <c r="D282" s="18" t="s">
        <v>1965</v>
      </c>
      <c r="E282" s="18" t="s">
        <v>1474</v>
      </c>
      <c r="F282" s="18" t="s">
        <v>1111</v>
      </c>
      <c r="G282" s="119">
        <v>43434</v>
      </c>
      <c r="H282" s="18">
        <v>0</v>
      </c>
      <c r="I282" s="18"/>
      <c r="J282" s="18">
        <f t="shared" si="68"/>
        <v>0</v>
      </c>
      <c r="K282" s="18">
        <v>0</v>
      </c>
      <c r="L282" s="18"/>
      <c r="M282" s="18">
        <f t="shared" si="69"/>
        <v>0</v>
      </c>
      <c r="N282" s="18">
        <v>64.295100000000005</v>
      </c>
      <c r="O282" s="18"/>
      <c r="P282" s="18">
        <f t="shared" si="70"/>
        <v>64.295100000000005</v>
      </c>
      <c r="Q282" s="18">
        <v>5</v>
      </c>
      <c r="R282" s="18"/>
      <c r="S282" s="18">
        <f t="shared" si="71"/>
        <v>5</v>
      </c>
      <c r="T282" s="18">
        <v>1</v>
      </c>
      <c r="U282" s="18"/>
      <c r="V282" s="18">
        <f t="shared" si="72"/>
        <v>1</v>
      </c>
      <c r="W282" s="18">
        <v>4306</v>
      </c>
      <c r="X282" s="18"/>
      <c r="Y282" s="18">
        <f t="shared" si="73"/>
        <v>4306</v>
      </c>
      <c r="Z282" s="18">
        <v>258.36</v>
      </c>
      <c r="AA282" s="18"/>
      <c r="AB282" s="18">
        <f t="shared" si="74"/>
        <v>258.36</v>
      </c>
      <c r="AC282" s="18">
        <v>632.46</v>
      </c>
      <c r="AD282" s="18"/>
      <c r="AE282" s="18">
        <f t="shared" si="75"/>
        <v>632.46</v>
      </c>
      <c r="AF282" s="18">
        <v>374098</v>
      </c>
      <c r="AG282" s="18"/>
      <c r="AH282" s="18">
        <f t="shared" si="76"/>
        <v>374098</v>
      </c>
      <c r="AI282" s="18">
        <v>340174</v>
      </c>
      <c r="AJ282" s="18"/>
      <c r="AK282" s="18">
        <f t="shared" si="77"/>
        <v>340174</v>
      </c>
      <c r="AL282" s="18">
        <v>44.035600000000002</v>
      </c>
      <c r="AM282" s="18"/>
      <c r="AN282" s="18">
        <f t="shared" si="78"/>
        <v>44.035600000000002</v>
      </c>
      <c r="AO282" s="18">
        <v>2.2582</v>
      </c>
      <c r="AP282" s="18"/>
      <c r="AQ282" s="18">
        <f t="shared" si="79"/>
        <v>2.2582</v>
      </c>
      <c r="AR282" s="18">
        <v>0.27089999999999997</v>
      </c>
      <c r="AS282" s="18"/>
      <c r="AT282" s="18">
        <f t="shared" si="80"/>
        <v>0.27089999999999997</v>
      </c>
      <c r="AU282" s="18">
        <v>119</v>
      </c>
      <c r="AV282" s="18"/>
      <c r="AW282" s="18">
        <f t="shared" si="81"/>
        <v>119</v>
      </c>
      <c r="AX282" s="18">
        <v>0</v>
      </c>
      <c r="AY282" s="18"/>
      <c r="AZ282" s="18">
        <f t="shared" si="82"/>
        <v>0</v>
      </c>
      <c r="BA282" s="18">
        <v>0</v>
      </c>
      <c r="BB282" s="18"/>
      <c r="BC282" s="18">
        <f t="shared" si="83"/>
        <v>0</v>
      </c>
      <c r="BD282" s="18">
        <v>0</v>
      </c>
      <c r="BE282" s="18"/>
      <c r="BF282" s="18">
        <f t="shared" si="84"/>
        <v>0</v>
      </c>
    </row>
    <row r="283" spans="1:58" ht="25.5" x14ac:dyDescent="0.25">
      <c r="A283" s="124" t="s">
        <v>1398</v>
      </c>
      <c r="B283" s="124" t="s">
        <v>1468</v>
      </c>
      <c r="C283" s="18" t="s">
        <v>1093</v>
      </c>
      <c r="D283" s="18" t="s">
        <v>1966</v>
      </c>
      <c r="E283" s="18" t="s">
        <v>1489</v>
      </c>
      <c r="F283" s="18" t="s">
        <v>1111</v>
      </c>
      <c r="G283" s="119">
        <v>43434</v>
      </c>
      <c r="H283" s="18">
        <v>0</v>
      </c>
      <c r="I283" s="18"/>
      <c r="J283" s="18">
        <f t="shared" si="68"/>
        <v>0</v>
      </c>
      <c r="K283" s="18">
        <v>0</v>
      </c>
      <c r="L283" s="18"/>
      <c r="M283" s="18">
        <f t="shared" si="69"/>
        <v>0</v>
      </c>
      <c r="N283" s="18">
        <v>45.316899999999997</v>
      </c>
      <c r="O283" s="18"/>
      <c r="P283" s="18">
        <f t="shared" si="70"/>
        <v>45.316899999999997</v>
      </c>
      <c r="Q283" s="18">
        <v>6</v>
      </c>
      <c r="R283" s="18"/>
      <c r="S283" s="18">
        <f t="shared" si="71"/>
        <v>6</v>
      </c>
      <c r="T283" s="18">
        <v>1</v>
      </c>
      <c r="U283" s="18"/>
      <c r="V283" s="18">
        <f t="shared" si="72"/>
        <v>1</v>
      </c>
      <c r="W283" s="18">
        <v>3206.25</v>
      </c>
      <c r="X283" s="18"/>
      <c r="Y283" s="18">
        <f t="shared" si="73"/>
        <v>3206.25</v>
      </c>
      <c r="Z283" s="18">
        <v>186.16</v>
      </c>
      <c r="AA283" s="18"/>
      <c r="AB283" s="18">
        <f t="shared" si="74"/>
        <v>186.16</v>
      </c>
      <c r="AC283" s="18">
        <v>366.21</v>
      </c>
      <c r="AD283" s="18"/>
      <c r="AE283" s="18">
        <f t="shared" si="75"/>
        <v>366.21</v>
      </c>
      <c r="AF283" s="18">
        <v>180057</v>
      </c>
      <c r="AG283" s="18"/>
      <c r="AH283" s="18">
        <f t="shared" si="76"/>
        <v>180057</v>
      </c>
      <c r="AI283" s="18">
        <v>253668.38</v>
      </c>
      <c r="AJ283" s="18"/>
      <c r="AK283" s="18">
        <f t="shared" si="77"/>
        <v>253668.38</v>
      </c>
      <c r="AL283" s="18">
        <v>33.514000000000003</v>
      </c>
      <c r="AM283" s="18"/>
      <c r="AN283" s="18">
        <f t="shared" si="78"/>
        <v>33.514000000000003</v>
      </c>
      <c r="AO283" s="18">
        <v>1.7107000000000001</v>
      </c>
      <c r="AP283" s="18"/>
      <c r="AQ283" s="18">
        <f t="shared" si="79"/>
        <v>1.7107000000000001</v>
      </c>
      <c r="AR283" s="18">
        <v>0.20530000000000001</v>
      </c>
      <c r="AS283" s="18"/>
      <c r="AT283" s="18">
        <f t="shared" si="80"/>
        <v>0.20530000000000001</v>
      </c>
      <c r="AU283" s="18">
        <v>113.68</v>
      </c>
      <c r="AV283" s="18"/>
      <c r="AW283" s="18">
        <f t="shared" si="81"/>
        <v>113.68</v>
      </c>
      <c r="AX283" s="18">
        <v>0</v>
      </c>
      <c r="AY283" s="18"/>
      <c r="AZ283" s="18">
        <f t="shared" si="82"/>
        <v>0</v>
      </c>
      <c r="BA283" s="18">
        <v>0</v>
      </c>
      <c r="BB283" s="18"/>
      <c r="BC283" s="18">
        <f t="shared" si="83"/>
        <v>0</v>
      </c>
      <c r="BD283" s="18">
        <v>0</v>
      </c>
      <c r="BE283" s="18"/>
      <c r="BF283" s="18">
        <f t="shared" si="84"/>
        <v>0</v>
      </c>
    </row>
    <row r="284" spans="1:58" ht="25.5" x14ac:dyDescent="0.25">
      <c r="A284" s="124" t="s">
        <v>1399</v>
      </c>
      <c r="B284" s="124" t="s">
        <v>1468</v>
      </c>
      <c r="C284" s="18" t="s">
        <v>1093</v>
      </c>
      <c r="D284" s="18" t="s">
        <v>1967</v>
      </c>
      <c r="E284" s="18" t="s">
        <v>1474</v>
      </c>
      <c r="F284" s="18" t="s">
        <v>1111</v>
      </c>
      <c r="G284" s="119">
        <v>43434</v>
      </c>
      <c r="H284" s="18">
        <v>0</v>
      </c>
      <c r="I284" s="18"/>
      <c r="J284" s="18">
        <f t="shared" si="68"/>
        <v>0</v>
      </c>
      <c r="K284" s="18">
        <v>0</v>
      </c>
      <c r="L284" s="18"/>
      <c r="M284" s="18">
        <f t="shared" si="69"/>
        <v>0</v>
      </c>
      <c r="N284" s="18">
        <v>48.22</v>
      </c>
      <c r="O284" s="18"/>
      <c r="P284" s="18">
        <f t="shared" si="70"/>
        <v>48.22</v>
      </c>
      <c r="Q284" s="18">
        <v>7</v>
      </c>
      <c r="R284" s="18"/>
      <c r="S284" s="18">
        <f t="shared" si="71"/>
        <v>7</v>
      </c>
      <c r="T284" s="18">
        <v>1</v>
      </c>
      <c r="U284" s="18"/>
      <c r="V284" s="18">
        <f t="shared" si="72"/>
        <v>1</v>
      </c>
      <c r="W284" s="18">
        <v>2943</v>
      </c>
      <c r="X284" s="18"/>
      <c r="Y284" s="18">
        <f t="shared" si="73"/>
        <v>2943</v>
      </c>
      <c r="Z284" s="18">
        <v>105.6</v>
      </c>
      <c r="AA284" s="18"/>
      <c r="AB284" s="18">
        <f t="shared" si="74"/>
        <v>105.6</v>
      </c>
      <c r="AC284" s="18">
        <v>636.36</v>
      </c>
      <c r="AD284" s="18"/>
      <c r="AE284" s="18">
        <f t="shared" si="75"/>
        <v>636.36</v>
      </c>
      <c r="AF284" s="18">
        <v>530768</v>
      </c>
      <c r="AG284" s="18"/>
      <c r="AH284" s="18">
        <f t="shared" si="76"/>
        <v>530768</v>
      </c>
      <c r="AI284" s="18">
        <v>276883.84000000003</v>
      </c>
      <c r="AJ284" s="18"/>
      <c r="AK284" s="18">
        <f t="shared" si="77"/>
        <v>276883.84000000003</v>
      </c>
      <c r="AL284" s="18">
        <v>35.75</v>
      </c>
      <c r="AM284" s="18"/>
      <c r="AN284" s="18">
        <f t="shared" si="78"/>
        <v>35.75</v>
      </c>
      <c r="AO284" s="18">
        <v>1.83</v>
      </c>
      <c r="AP284" s="18"/>
      <c r="AQ284" s="18">
        <f t="shared" si="79"/>
        <v>1.83</v>
      </c>
      <c r="AR284" s="18">
        <v>0.22</v>
      </c>
      <c r="AS284" s="18"/>
      <c r="AT284" s="18">
        <f t="shared" si="80"/>
        <v>0.22</v>
      </c>
      <c r="AU284" s="18">
        <v>301422.06</v>
      </c>
      <c r="AV284" s="18"/>
      <c r="AW284" s="18">
        <f t="shared" si="81"/>
        <v>301422.06</v>
      </c>
      <c r="AX284" s="18">
        <v>0</v>
      </c>
      <c r="AY284" s="18"/>
      <c r="AZ284" s="18">
        <f t="shared" si="82"/>
        <v>0</v>
      </c>
      <c r="BA284" s="18">
        <v>0</v>
      </c>
      <c r="BB284" s="18"/>
      <c r="BC284" s="18">
        <f t="shared" si="83"/>
        <v>0</v>
      </c>
      <c r="BD284" s="18">
        <v>0</v>
      </c>
      <c r="BE284" s="18"/>
      <c r="BF284" s="18">
        <f t="shared" si="84"/>
        <v>0</v>
      </c>
    </row>
    <row r="285" spans="1:58" ht="25.5" x14ac:dyDescent="0.25">
      <c r="A285" s="124" t="s">
        <v>1400</v>
      </c>
      <c r="B285" s="124" t="s">
        <v>1468</v>
      </c>
      <c r="C285" s="18" t="s">
        <v>1093</v>
      </c>
      <c r="D285" s="18" t="s">
        <v>1968</v>
      </c>
      <c r="E285" s="18" t="s">
        <v>1503</v>
      </c>
      <c r="F285" s="18" t="s">
        <v>1111</v>
      </c>
      <c r="G285" s="119">
        <v>43434</v>
      </c>
      <c r="H285" s="18">
        <v>26.55</v>
      </c>
      <c r="I285" s="18"/>
      <c r="J285" s="18">
        <f t="shared" si="68"/>
        <v>26.55</v>
      </c>
      <c r="K285" s="18">
        <v>0</v>
      </c>
      <c r="L285" s="18"/>
      <c r="M285" s="18">
        <f t="shared" si="69"/>
        <v>0</v>
      </c>
      <c r="N285" s="18">
        <v>89.249499999999998</v>
      </c>
      <c r="O285" s="18"/>
      <c r="P285" s="18">
        <f t="shared" si="70"/>
        <v>89.249499999999998</v>
      </c>
      <c r="Q285" s="18">
        <v>6</v>
      </c>
      <c r="R285" s="18"/>
      <c r="S285" s="18">
        <f t="shared" si="71"/>
        <v>6</v>
      </c>
      <c r="T285" s="18">
        <v>1</v>
      </c>
      <c r="U285" s="18"/>
      <c r="V285" s="18">
        <f t="shared" si="72"/>
        <v>1</v>
      </c>
      <c r="W285" s="18">
        <v>6961</v>
      </c>
      <c r="X285" s="18"/>
      <c r="Y285" s="18">
        <f t="shared" si="73"/>
        <v>6961</v>
      </c>
      <c r="Z285" s="18">
        <v>339.91</v>
      </c>
      <c r="AA285" s="18"/>
      <c r="AB285" s="18">
        <f t="shared" si="74"/>
        <v>339.91</v>
      </c>
      <c r="AC285" s="18">
        <v>824.59</v>
      </c>
      <c r="AD285" s="18"/>
      <c r="AE285" s="18">
        <f t="shared" si="75"/>
        <v>824.59</v>
      </c>
      <c r="AF285" s="18">
        <v>484686</v>
      </c>
      <c r="AG285" s="18"/>
      <c r="AH285" s="18">
        <f t="shared" si="76"/>
        <v>484686</v>
      </c>
      <c r="AI285" s="18">
        <v>606094.27</v>
      </c>
      <c r="AJ285" s="18"/>
      <c r="AK285" s="18">
        <f t="shared" si="77"/>
        <v>606094.27</v>
      </c>
      <c r="AL285" s="18">
        <v>66.004000000000005</v>
      </c>
      <c r="AM285" s="18"/>
      <c r="AN285" s="18">
        <f t="shared" si="78"/>
        <v>66.004000000000005</v>
      </c>
      <c r="AO285" s="18">
        <v>3.3849999999999998</v>
      </c>
      <c r="AP285" s="18"/>
      <c r="AQ285" s="18">
        <f t="shared" si="79"/>
        <v>3.3849999999999998</v>
      </c>
      <c r="AR285" s="18">
        <v>0.40649999999999997</v>
      </c>
      <c r="AS285" s="18"/>
      <c r="AT285" s="18">
        <f t="shared" si="80"/>
        <v>0.40649999999999997</v>
      </c>
      <c r="AU285" s="18">
        <v>824252.01</v>
      </c>
      <c r="AV285" s="18"/>
      <c r="AW285" s="18">
        <f t="shared" si="81"/>
        <v>824252.01</v>
      </c>
      <c r="AX285" s="18">
        <v>0.03</v>
      </c>
      <c r="AY285" s="18"/>
      <c r="AZ285" s="18">
        <f t="shared" si="82"/>
        <v>0.03</v>
      </c>
      <c r="BA285" s="18">
        <v>0.03</v>
      </c>
      <c r="BB285" s="18"/>
      <c r="BC285" s="18">
        <f t="shared" si="83"/>
        <v>0.03</v>
      </c>
      <c r="BD285" s="18">
        <v>0</v>
      </c>
      <c r="BE285" s="18"/>
      <c r="BF285" s="18">
        <f t="shared" si="84"/>
        <v>0</v>
      </c>
    </row>
    <row r="286" spans="1:58" ht="38.25" x14ac:dyDescent="0.25">
      <c r="A286" s="124" t="s">
        <v>1401</v>
      </c>
      <c r="B286" s="124" t="s">
        <v>1468</v>
      </c>
      <c r="C286" s="18" t="s">
        <v>1093</v>
      </c>
      <c r="D286" s="18" t="s">
        <v>1969</v>
      </c>
      <c r="E286" s="18" t="s">
        <v>1474</v>
      </c>
      <c r="F286" s="18" t="s">
        <v>1111</v>
      </c>
      <c r="G286" s="119">
        <v>43434</v>
      </c>
      <c r="H286" s="18">
        <v>0</v>
      </c>
      <c r="I286" s="18"/>
      <c r="J286" s="18">
        <f t="shared" si="68"/>
        <v>0</v>
      </c>
      <c r="K286" s="18">
        <v>0</v>
      </c>
      <c r="L286" s="18"/>
      <c r="M286" s="18">
        <f t="shared" si="69"/>
        <v>0</v>
      </c>
      <c r="N286" s="18">
        <v>51.48</v>
      </c>
      <c r="O286" s="18"/>
      <c r="P286" s="18">
        <f t="shared" si="70"/>
        <v>51.48</v>
      </c>
      <c r="Q286" s="18">
        <v>6</v>
      </c>
      <c r="R286" s="18"/>
      <c r="S286" s="18">
        <f t="shared" si="71"/>
        <v>6</v>
      </c>
      <c r="T286" s="18">
        <v>1</v>
      </c>
      <c r="U286" s="18"/>
      <c r="V286" s="18">
        <f t="shared" si="72"/>
        <v>1</v>
      </c>
      <c r="W286" s="18">
        <v>1810.62</v>
      </c>
      <c r="X286" s="18"/>
      <c r="Y286" s="18">
        <f t="shared" si="73"/>
        <v>1810.62</v>
      </c>
      <c r="Z286" s="18">
        <v>81.48</v>
      </c>
      <c r="AA286" s="18"/>
      <c r="AB286" s="18">
        <f t="shared" si="74"/>
        <v>81.48</v>
      </c>
      <c r="AC286" s="18">
        <v>162.5</v>
      </c>
      <c r="AD286" s="18"/>
      <c r="AE286" s="18">
        <f t="shared" si="75"/>
        <v>162.5</v>
      </c>
      <c r="AF286" s="18">
        <v>201995.4</v>
      </c>
      <c r="AG286" s="18"/>
      <c r="AH286" s="18">
        <f t="shared" si="76"/>
        <v>201995.4</v>
      </c>
      <c r="AI286" s="18">
        <v>324</v>
      </c>
      <c r="AJ286" s="18"/>
      <c r="AK286" s="18">
        <f t="shared" si="77"/>
        <v>324</v>
      </c>
      <c r="AL286" s="18">
        <v>40.75</v>
      </c>
      <c r="AM286" s="18"/>
      <c r="AN286" s="18">
        <f t="shared" si="78"/>
        <v>40.75</v>
      </c>
      <c r="AO286" s="18">
        <v>46.33</v>
      </c>
      <c r="AP286" s="18"/>
      <c r="AQ286" s="18">
        <f t="shared" si="79"/>
        <v>46.33</v>
      </c>
      <c r="AR286" s="18">
        <v>229.03</v>
      </c>
      <c r="AS286" s="18"/>
      <c r="AT286" s="18">
        <f t="shared" si="80"/>
        <v>229.03</v>
      </c>
      <c r="AU286" s="18">
        <v>324</v>
      </c>
      <c r="AV286" s="18"/>
      <c r="AW286" s="18">
        <f t="shared" si="81"/>
        <v>324</v>
      </c>
      <c r="AX286" s="18">
        <v>0</v>
      </c>
      <c r="AY286" s="18"/>
      <c r="AZ286" s="18">
        <f t="shared" si="82"/>
        <v>0</v>
      </c>
      <c r="BA286" s="18">
        <v>0</v>
      </c>
      <c r="BB286" s="18"/>
      <c r="BC286" s="18">
        <f t="shared" si="83"/>
        <v>0</v>
      </c>
      <c r="BD286" s="18">
        <v>0</v>
      </c>
      <c r="BE286" s="18"/>
      <c r="BF286" s="18">
        <f t="shared" si="84"/>
        <v>0</v>
      </c>
    </row>
    <row r="287" spans="1:58" ht="25.5" x14ac:dyDescent="0.25">
      <c r="A287" s="124" t="s">
        <v>1402</v>
      </c>
      <c r="B287" s="124" t="s">
        <v>1468</v>
      </c>
      <c r="C287" s="18" t="s">
        <v>1093</v>
      </c>
      <c r="D287" s="18" t="s">
        <v>1970</v>
      </c>
      <c r="E287" s="18" t="s">
        <v>1474</v>
      </c>
      <c r="F287" s="18" t="s">
        <v>1111</v>
      </c>
      <c r="G287" s="119">
        <v>43434</v>
      </c>
      <c r="H287" s="18">
        <v>0</v>
      </c>
      <c r="I287" s="18"/>
      <c r="J287" s="18">
        <f t="shared" si="68"/>
        <v>0</v>
      </c>
      <c r="K287" s="18">
        <v>5.415</v>
      </c>
      <c r="L287" s="18"/>
      <c r="M287" s="18">
        <f t="shared" si="69"/>
        <v>5.415</v>
      </c>
      <c r="N287" s="18">
        <v>41.471800000000002</v>
      </c>
      <c r="O287" s="18"/>
      <c r="P287" s="18">
        <f t="shared" si="70"/>
        <v>41.471800000000002</v>
      </c>
      <c r="Q287" s="18">
        <v>5</v>
      </c>
      <c r="R287" s="18"/>
      <c r="S287" s="18">
        <f t="shared" si="71"/>
        <v>5</v>
      </c>
      <c r="T287" s="18">
        <v>1</v>
      </c>
      <c r="U287" s="18"/>
      <c r="V287" s="18">
        <f t="shared" si="72"/>
        <v>1</v>
      </c>
      <c r="W287" s="18">
        <v>3139</v>
      </c>
      <c r="X287" s="18"/>
      <c r="Y287" s="18">
        <f t="shared" si="73"/>
        <v>3139</v>
      </c>
      <c r="Z287" s="18">
        <v>172.65</v>
      </c>
      <c r="AA287" s="18"/>
      <c r="AB287" s="18">
        <f t="shared" si="74"/>
        <v>172.65</v>
      </c>
      <c r="AC287" s="18">
        <v>694.07</v>
      </c>
      <c r="AD287" s="18"/>
      <c r="AE287" s="18">
        <f t="shared" si="75"/>
        <v>694.07</v>
      </c>
      <c r="AF287" s="18">
        <v>521429</v>
      </c>
      <c r="AG287" s="18"/>
      <c r="AH287" s="18">
        <f t="shared" si="76"/>
        <v>521429</v>
      </c>
      <c r="AI287" s="18">
        <v>247981</v>
      </c>
      <c r="AJ287" s="18"/>
      <c r="AK287" s="18">
        <f t="shared" si="77"/>
        <v>247981</v>
      </c>
      <c r="AL287" s="18">
        <v>30.247499999999999</v>
      </c>
      <c r="AM287" s="18"/>
      <c r="AN287" s="18">
        <f t="shared" si="78"/>
        <v>30.247499999999999</v>
      </c>
      <c r="AO287" s="18">
        <v>1.5506</v>
      </c>
      <c r="AP287" s="18"/>
      <c r="AQ287" s="18">
        <f t="shared" si="79"/>
        <v>1.5506</v>
      </c>
      <c r="AR287" s="18">
        <v>0.18609999999999999</v>
      </c>
      <c r="AS287" s="18"/>
      <c r="AT287" s="18">
        <f t="shared" si="80"/>
        <v>0.18609999999999999</v>
      </c>
      <c r="AU287" s="18">
        <v>345290</v>
      </c>
      <c r="AV287" s="18"/>
      <c r="AW287" s="18">
        <f t="shared" si="81"/>
        <v>345290</v>
      </c>
      <c r="AX287" s="18">
        <v>0</v>
      </c>
      <c r="AY287" s="18"/>
      <c r="AZ287" s="18">
        <f t="shared" si="82"/>
        <v>0</v>
      </c>
      <c r="BA287" s="18">
        <v>5.7000000000000002E-3</v>
      </c>
      <c r="BB287" s="18"/>
      <c r="BC287" s="18">
        <f t="shared" si="83"/>
        <v>5.7000000000000002E-3</v>
      </c>
      <c r="BD287" s="18">
        <v>5.7000000000000002E-3</v>
      </c>
      <c r="BE287" s="18"/>
      <c r="BF287" s="18">
        <f t="shared" si="84"/>
        <v>5.7000000000000002E-3</v>
      </c>
    </row>
    <row r="288" spans="1:58" ht="38.25" x14ac:dyDescent="0.25">
      <c r="A288" s="124" t="s">
        <v>1403</v>
      </c>
      <c r="B288" s="124" t="s">
        <v>1468</v>
      </c>
      <c r="C288" s="18" t="s">
        <v>1971</v>
      </c>
      <c r="D288" s="18" t="s">
        <v>1972</v>
      </c>
      <c r="E288" s="18" t="s">
        <v>1474</v>
      </c>
      <c r="F288" s="18" t="s">
        <v>1111</v>
      </c>
      <c r="G288" s="119">
        <v>43738</v>
      </c>
      <c r="H288" s="18">
        <v>0</v>
      </c>
      <c r="I288" s="18"/>
      <c r="J288" s="18">
        <f t="shared" si="68"/>
        <v>0</v>
      </c>
      <c r="K288" s="18">
        <v>0</v>
      </c>
      <c r="L288" s="18"/>
      <c r="M288" s="18">
        <f t="shared" si="69"/>
        <v>0</v>
      </c>
      <c r="N288" s="18">
        <v>15.4</v>
      </c>
      <c r="O288" s="18"/>
      <c r="P288" s="18">
        <f t="shared" si="70"/>
        <v>0</v>
      </c>
      <c r="Q288" s="18">
        <v>2</v>
      </c>
      <c r="R288" s="18"/>
      <c r="S288" s="18">
        <f t="shared" si="71"/>
        <v>0</v>
      </c>
      <c r="T288" s="18">
        <v>1</v>
      </c>
      <c r="U288" s="18"/>
      <c r="V288" s="18">
        <f t="shared" si="72"/>
        <v>0</v>
      </c>
      <c r="W288" s="18">
        <v>650.58000000000004</v>
      </c>
      <c r="X288" s="18"/>
      <c r="Y288" s="18">
        <f t="shared" si="73"/>
        <v>0</v>
      </c>
      <c r="Z288" s="18">
        <v>35.716799999999999</v>
      </c>
      <c r="AA288" s="18"/>
      <c r="AB288" s="18">
        <f t="shared" si="74"/>
        <v>0</v>
      </c>
      <c r="AC288" s="18">
        <v>176.50239999999999</v>
      </c>
      <c r="AD288" s="18"/>
      <c r="AE288" s="18">
        <f t="shared" si="75"/>
        <v>0</v>
      </c>
      <c r="AF288" s="18">
        <v>140785.5</v>
      </c>
      <c r="AG288" s="18"/>
      <c r="AH288" s="18">
        <f t="shared" si="76"/>
        <v>0</v>
      </c>
      <c r="AI288" s="18">
        <v>140785.5</v>
      </c>
      <c r="AJ288" s="18"/>
      <c r="AK288" s="18">
        <f t="shared" si="77"/>
        <v>0</v>
      </c>
      <c r="AL288" s="18">
        <v>22.5</v>
      </c>
      <c r="AM288" s="18"/>
      <c r="AN288" s="18">
        <f t="shared" si="78"/>
        <v>0</v>
      </c>
      <c r="AO288" s="18">
        <v>0</v>
      </c>
      <c r="AP288" s="18"/>
      <c r="AQ288" s="18">
        <f t="shared" si="79"/>
        <v>0</v>
      </c>
      <c r="AR288" s="18">
        <v>0</v>
      </c>
      <c r="AS288" s="18"/>
      <c r="AT288" s="18">
        <f t="shared" si="80"/>
        <v>0</v>
      </c>
      <c r="AU288" s="18">
        <v>162319.70000000001</v>
      </c>
      <c r="AV288" s="18"/>
      <c r="AW288" s="18">
        <f t="shared" si="81"/>
        <v>0</v>
      </c>
      <c r="AX288" s="18">
        <v>0</v>
      </c>
      <c r="AY288" s="18"/>
      <c r="AZ288" s="18">
        <f t="shared" si="82"/>
        <v>0</v>
      </c>
      <c r="BA288" s="18">
        <v>0</v>
      </c>
      <c r="BB288" s="18"/>
      <c r="BC288" s="18">
        <f t="shared" si="83"/>
        <v>0</v>
      </c>
      <c r="BD288" s="18">
        <v>0</v>
      </c>
      <c r="BE288" s="18"/>
      <c r="BF288" s="18">
        <f t="shared" si="84"/>
        <v>0</v>
      </c>
    </row>
    <row r="289" spans="1:58" ht="38.25" x14ac:dyDescent="0.25">
      <c r="A289" s="124" t="s">
        <v>1404</v>
      </c>
      <c r="B289" s="124" t="s">
        <v>1468</v>
      </c>
      <c r="C289" s="18" t="s">
        <v>1973</v>
      </c>
      <c r="D289" s="18" t="s">
        <v>1974</v>
      </c>
      <c r="E289" s="18" t="s">
        <v>1471</v>
      </c>
      <c r="F289" s="18" t="s">
        <v>1111</v>
      </c>
      <c r="G289" s="119">
        <v>43190</v>
      </c>
      <c r="H289" s="18">
        <v>0</v>
      </c>
      <c r="I289" s="18"/>
      <c r="J289" s="18">
        <f t="shared" si="68"/>
        <v>0</v>
      </c>
      <c r="K289" s="18">
        <v>0</v>
      </c>
      <c r="L289" s="18"/>
      <c r="M289" s="18">
        <f t="shared" si="69"/>
        <v>0</v>
      </c>
      <c r="N289" s="18">
        <v>6.7400000000000002E-2</v>
      </c>
      <c r="O289" s="18"/>
      <c r="P289" s="18">
        <f t="shared" si="70"/>
        <v>6.7400000000000002E-2</v>
      </c>
      <c r="Q289" s="18">
        <v>3</v>
      </c>
      <c r="R289" s="18"/>
      <c r="S289" s="18">
        <f t="shared" si="71"/>
        <v>3</v>
      </c>
      <c r="T289" s="18">
        <v>1</v>
      </c>
      <c r="U289" s="18"/>
      <c r="V289" s="18">
        <f t="shared" si="72"/>
        <v>1</v>
      </c>
      <c r="W289" s="18">
        <v>1110.18</v>
      </c>
      <c r="X289" s="18"/>
      <c r="Y289" s="18">
        <f t="shared" si="73"/>
        <v>1110.18</v>
      </c>
      <c r="Z289" s="18">
        <v>167.357</v>
      </c>
      <c r="AA289" s="18"/>
      <c r="AB289" s="18">
        <f t="shared" si="74"/>
        <v>167.357</v>
      </c>
      <c r="AC289" s="18">
        <v>516.28</v>
      </c>
      <c r="AD289" s="18"/>
      <c r="AE289" s="18">
        <f t="shared" si="75"/>
        <v>516.28</v>
      </c>
      <c r="AF289" s="18">
        <v>348925</v>
      </c>
      <c r="AG289" s="18"/>
      <c r="AH289" s="18">
        <f t="shared" si="76"/>
        <v>348925</v>
      </c>
      <c r="AI289" s="18">
        <v>348925</v>
      </c>
      <c r="AJ289" s="18"/>
      <c r="AK289" s="18">
        <f t="shared" si="77"/>
        <v>348925</v>
      </c>
      <c r="AL289" s="18">
        <v>61.93</v>
      </c>
      <c r="AM289" s="18"/>
      <c r="AN289" s="18">
        <f t="shared" si="78"/>
        <v>61.93</v>
      </c>
      <c r="AO289" s="18">
        <v>0</v>
      </c>
      <c r="AP289" s="18"/>
      <c r="AQ289" s="18">
        <f t="shared" si="79"/>
        <v>0</v>
      </c>
      <c r="AR289" s="18">
        <v>22.23</v>
      </c>
      <c r="AS289" s="18"/>
      <c r="AT289" s="18">
        <f t="shared" si="80"/>
        <v>22.23</v>
      </c>
      <c r="AU289" s="18">
        <v>0</v>
      </c>
      <c r="AV289" s="18"/>
      <c r="AW289" s="18">
        <f t="shared" si="81"/>
        <v>0</v>
      </c>
      <c r="AX289" s="18">
        <v>0</v>
      </c>
      <c r="AY289" s="18"/>
      <c r="AZ289" s="18">
        <f t="shared" si="82"/>
        <v>0</v>
      </c>
      <c r="BA289" s="18">
        <v>0</v>
      </c>
      <c r="BB289" s="18"/>
      <c r="BC289" s="18">
        <f t="shared" si="83"/>
        <v>0</v>
      </c>
      <c r="BD289" s="18">
        <v>0</v>
      </c>
      <c r="BE289" s="18"/>
      <c r="BF289" s="18">
        <f t="shared" si="84"/>
        <v>0</v>
      </c>
    </row>
    <row r="290" spans="1:58" ht="38.25" x14ac:dyDescent="0.25">
      <c r="A290" s="124" t="s">
        <v>1405</v>
      </c>
      <c r="B290" s="124" t="s">
        <v>1468</v>
      </c>
      <c r="C290" s="18" t="s">
        <v>1975</v>
      </c>
      <c r="D290" s="18" t="s">
        <v>1976</v>
      </c>
      <c r="E290" s="18" t="s">
        <v>1503</v>
      </c>
      <c r="F290" s="18" t="s">
        <v>1111</v>
      </c>
      <c r="G290" s="119">
        <v>43434</v>
      </c>
      <c r="H290" s="18">
        <v>0</v>
      </c>
      <c r="I290" s="18"/>
      <c r="J290" s="18">
        <f t="shared" si="68"/>
        <v>0</v>
      </c>
      <c r="K290" s="18">
        <v>86.555999999999997</v>
      </c>
      <c r="L290" s="18"/>
      <c r="M290" s="18">
        <f t="shared" si="69"/>
        <v>86.555999999999997</v>
      </c>
      <c r="N290" s="18">
        <v>130.21</v>
      </c>
      <c r="O290" s="18"/>
      <c r="P290" s="18">
        <f t="shared" si="70"/>
        <v>130.21</v>
      </c>
      <c r="Q290" s="18">
        <v>3</v>
      </c>
      <c r="R290" s="18"/>
      <c r="S290" s="18">
        <f t="shared" si="71"/>
        <v>3</v>
      </c>
      <c r="T290" s="18">
        <v>1</v>
      </c>
      <c r="U290" s="18"/>
      <c r="V290" s="18">
        <f t="shared" si="72"/>
        <v>1</v>
      </c>
      <c r="W290" s="18">
        <v>2125.65</v>
      </c>
      <c r="X290" s="18"/>
      <c r="Y290" s="18">
        <f t="shared" si="73"/>
        <v>2125.65</v>
      </c>
      <c r="Z290" s="18">
        <v>112.553</v>
      </c>
      <c r="AA290" s="18"/>
      <c r="AB290" s="18">
        <f t="shared" si="74"/>
        <v>112.553</v>
      </c>
      <c r="AC290" s="18">
        <v>451.69619999999998</v>
      </c>
      <c r="AD290" s="18"/>
      <c r="AE290" s="18">
        <f t="shared" si="75"/>
        <v>451.69619999999998</v>
      </c>
      <c r="AF290" s="18">
        <v>127864</v>
      </c>
      <c r="AG290" s="18"/>
      <c r="AH290" s="18">
        <f t="shared" si="76"/>
        <v>127864</v>
      </c>
      <c r="AI290" s="18">
        <v>339143.2</v>
      </c>
      <c r="AJ290" s="18"/>
      <c r="AK290" s="18">
        <f t="shared" si="77"/>
        <v>339143.2</v>
      </c>
      <c r="AL290" s="18">
        <v>14.89</v>
      </c>
      <c r="AM290" s="18"/>
      <c r="AN290" s="18">
        <f t="shared" si="78"/>
        <v>14.89</v>
      </c>
      <c r="AO290" s="18">
        <v>0</v>
      </c>
      <c r="AP290" s="18"/>
      <c r="AQ290" s="18">
        <f t="shared" si="79"/>
        <v>0</v>
      </c>
      <c r="AR290" s="18">
        <v>4.24</v>
      </c>
      <c r="AS290" s="18"/>
      <c r="AT290" s="18">
        <f t="shared" si="80"/>
        <v>4.24</v>
      </c>
      <c r="AU290" s="18">
        <v>650947.30000000005</v>
      </c>
      <c r="AV290" s="18"/>
      <c r="AW290" s="18">
        <f t="shared" si="81"/>
        <v>650947.30000000005</v>
      </c>
      <c r="AX290" s="18">
        <v>0</v>
      </c>
      <c r="AY290" s="18"/>
      <c r="AZ290" s="18">
        <f t="shared" si="82"/>
        <v>0</v>
      </c>
      <c r="BA290" s="18">
        <v>0.12</v>
      </c>
      <c r="BB290" s="18"/>
      <c r="BC290" s="18">
        <f t="shared" si="83"/>
        <v>0.12</v>
      </c>
      <c r="BD290" s="18">
        <v>0.12</v>
      </c>
      <c r="BE290" s="18"/>
      <c r="BF290" s="18">
        <f t="shared" si="84"/>
        <v>0.12</v>
      </c>
    </row>
    <row r="291" spans="1:58" ht="89.25" x14ac:dyDescent="0.25">
      <c r="A291" s="124" t="s">
        <v>1406</v>
      </c>
      <c r="B291" s="124" t="s">
        <v>1468</v>
      </c>
      <c r="C291" s="18" t="s">
        <v>1977</v>
      </c>
      <c r="D291" s="18" t="s">
        <v>1978</v>
      </c>
      <c r="E291" s="18" t="s">
        <v>1474</v>
      </c>
      <c r="F291" s="18" t="s">
        <v>1111</v>
      </c>
      <c r="G291" s="119">
        <v>43465</v>
      </c>
      <c r="H291" s="18">
        <v>12.02</v>
      </c>
      <c r="I291" s="18"/>
      <c r="J291" s="18">
        <f t="shared" si="68"/>
        <v>12.02</v>
      </c>
      <c r="K291" s="18">
        <v>12.914</v>
      </c>
      <c r="L291" s="18"/>
      <c r="M291" s="18">
        <f t="shared" si="69"/>
        <v>12.914</v>
      </c>
      <c r="N291" s="18">
        <v>69.001599999999996</v>
      </c>
      <c r="O291" s="18"/>
      <c r="P291" s="18">
        <f t="shared" si="70"/>
        <v>69.001599999999996</v>
      </c>
      <c r="Q291" s="18">
        <v>6</v>
      </c>
      <c r="R291" s="18"/>
      <c r="S291" s="18">
        <f t="shared" si="71"/>
        <v>6</v>
      </c>
      <c r="T291" s="18">
        <v>1</v>
      </c>
      <c r="U291" s="18"/>
      <c r="V291" s="18">
        <f t="shared" si="72"/>
        <v>1</v>
      </c>
      <c r="W291" s="18">
        <v>3151.84</v>
      </c>
      <c r="X291" s="18"/>
      <c r="Y291" s="18">
        <f t="shared" si="73"/>
        <v>3151.84</v>
      </c>
      <c r="Z291" s="18">
        <v>198.13570000000001</v>
      </c>
      <c r="AA291" s="18"/>
      <c r="AB291" s="18">
        <f t="shared" si="74"/>
        <v>198.13570000000001</v>
      </c>
      <c r="AC291" s="18">
        <v>577.62919999999997</v>
      </c>
      <c r="AD291" s="18"/>
      <c r="AE291" s="18">
        <f t="shared" si="75"/>
        <v>577.62919999999997</v>
      </c>
      <c r="AF291" s="18">
        <v>379494</v>
      </c>
      <c r="AG291" s="18"/>
      <c r="AH291" s="18">
        <f t="shared" si="76"/>
        <v>379494</v>
      </c>
      <c r="AI291" s="18">
        <v>379494</v>
      </c>
      <c r="AJ291" s="18"/>
      <c r="AK291" s="18">
        <f t="shared" si="77"/>
        <v>379494</v>
      </c>
      <c r="AL291" s="18">
        <v>136.19999999999999</v>
      </c>
      <c r="AM291" s="18"/>
      <c r="AN291" s="18">
        <f t="shared" si="78"/>
        <v>136.19999999999999</v>
      </c>
      <c r="AO291" s="18">
        <v>17.3</v>
      </c>
      <c r="AP291" s="18"/>
      <c r="AQ291" s="18">
        <f t="shared" si="79"/>
        <v>17.3</v>
      </c>
      <c r="AR291" s="18">
        <v>86.6</v>
      </c>
      <c r="AS291" s="18"/>
      <c r="AT291" s="18">
        <f t="shared" si="80"/>
        <v>86.6</v>
      </c>
      <c r="AU291" s="18">
        <v>379494</v>
      </c>
      <c r="AV291" s="18"/>
      <c r="AW291" s="18">
        <f t="shared" si="81"/>
        <v>379494</v>
      </c>
      <c r="AX291" s="18">
        <v>1.2999999999999999E-2</v>
      </c>
      <c r="AY291" s="18"/>
      <c r="AZ291" s="18">
        <f t="shared" si="82"/>
        <v>1.2999999999999999E-2</v>
      </c>
      <c r="BA291" s="18">
        <v>2.9000000000000001E-2</v>
      </c>
      <c r="BB291" s="18"/>
      <c r="BC291" s="18">
        <f t="shared" si="83"/>
        <v>2.9000000000000001E-2</v>
      </c>
      <c r="BD291" s="18">
        <v>1.6E-2</v>
      </c>
      <c r="BE291" s="18"/>
      <c r="BF291" s="18">
        <f t="shared" si="84"/>
        <v>1.6E-2</v>
      </c>
    </row>
    <row r="292" spans="1:58" ht="38.25" x14ac:dyDescent="0.25">
      <c r="A292" s="124" t="s">
        <v>1407</v>
      </c>
      <c r="B292" s="124" t="s">
        <v>1468</v>
      </c>
      <c r="C292" s="18" t="s">
        <v>1862</v>
      </c>
      <c r="D292" s="18" t="s">
        <v>1979</v>
      </c>
      <c r="E292" s="18" t="s">
        <v>1483</v>
      </c>
      <c r="F292" s="18" t="s">
        <v>1111</v>
      </c>
      <c r="G292" s="119">
        <v>43524</v>
      </c>
      <c r="H292" s="18">
        <v>0</v>
      </c>
      <c r="I292" s="18"/>
      <c r="J292" s="18">
        <f t="shared" si="68"/>
        <v>0</v>
      </c>
      <c r="K292" s="18">
        <v>28.38</v>
      </c>
      <c r="L292" s="18"/>
      <c r="M292" s="18">
        <f t="shared" si="69"/>
        <v>0</v>
      </c>
      <c r="N292" s="18">
        <v>84.86</v>
      </c>
      <c r="O292" s="18"/>
      <c r="P292" s="18">
        <f t="shared" si="70"/>
        <v>0</v>
      </c>
      <c r="Q292" s="18">
        <v>5</v>
      </c>
      <c r="R292" s="18"/>
      <c r="S292" s="18">
        <f t="shared" si="71"/>
        <v>0</v>
      </c>
      <c r="T292" s="18">
        <v>1</v>
      </c>
      <c r="U292" s="18"/>
      <c r="V292" s="18">
        <f t="shared" si="72"/>
        <v>0</v>
      </c>
      <c r="W292" s="18">
        <v>1599.69</v>
      </c>
      <c r="X292" s="18"/>
      <c r="Y292" s="18">
        <f t="shared" si="73"/>
        <v>0</v>
      </c>
      <c r="Z292" s="18">
        <v>42.89</v>
      </c>
      <c r="AA292" s="18"/>
      <c r="AB292" s="18">
        <f t="shared" si="74"/>
        <v>0</v>
      </c>
      <c r="AC292" s="18">
        <v>254.78</v>
      </c>
      <c r="AD292" s="18"/>
      <c r="AE292" s="18">
        <f t="shared" si="75"/>
        <v>0</v>
      </c>
      <c r="AF292" s="18">
        <v>211890</v>
      </c>
      <c r="AG292" s="18"/>
      <c r="AH292" s="18">
        <f t="shared" si="76"/>
        <v>0</v>
      </c>
      <c r="AI292" s="18">
        <v>446501.7</v>
      </c>
      <c r="AJ292" s="18"/>
      <c r="AK292" s="18">
        <f t="shared" si="77"/>
        <v>0</v>
      </c>
      <c r="AL292" s="18">
        <v>68.31</v>
      </c>
      <c r="AM292" s="18"/>
      <c r="AN292" s="18">
        <f t="shared" si="78"/>
        <v>0</v>
      </c>
      <c r="AO292" s="18">
        <v>6.38</v>
      </c>
      <c r="AP292" s="18"/>
      <c r="AQ292" s="18">
        <f t="shared" si="79"/>
        <v>0</v>
      </c>
      <c r="AR292" s="18">
        <v>20.3</v>
      </c>
      <c r="AS292" s="18"/>
      <c r="AT292" s="18">
        <f t="shared" si="80"/>
        <v>0</v>
      </c>
      <c r="AU292" s="18">
        <v>318076.27</v>
      </c>
      <c r="AV292" s="18"/>
      <c r="AW292" s="18">
        <f t="shared" si="81"/>
        <v>0</v>
      </c>
      <c r="AX292" s="18">
        <v>0</v>
      </c>
      <c r="AY292" s="18"/>
      <c r="AZ292" s="18">
        <f t="shared" si="82"/>
        <v>0</v>
      </c>
      <c r="BA292" s="18">
        <v>5.7000000000000002E-2</v>
      </c>
      <c r="BB292" s="18"/>
      <c r="BC292" s="18">
        <f t="shared" si="83"/>
        <v>0</v>
      </c>
      <c r="BD292" s="18">
        <v>6.7500000000000004E-2</v>
      </c>
      <c r="BE292" s="18"/>
      <c r="BF292" s="18">
        <f t="shared" si="84"/>
        <v>0</v>
      </c>
    </row>
    <row r="293" spans="1:58" ht="38.25" x14ac:dyDescent="0.25">
      <c r="A293" s="124" t="s">
        <v>1408</v>
      </c>
      <c r="B293" s="124" t="s">
        <v>1468</v>
      </c>
      <c r="C293" s="18" t="s">
        <v>1644</v>
      </c>
      <c r="D293" s="18" t="s">
        <v>1980</v>
      </c>
      <c r="E293" s="18" t="s">
        <v>1483</v>
      </c>
      <c r="F293" s="18" t="s">
        <v>1111</v>
      </c>
      <c r="G293" s="119">
        <v>43434</v>
      </c>
      <c r="H293" s="18">
        <v>6.78</v>
      </c>
      <c r="I293" s="18"/>
      <c r="J293" s="18">
        <f t="shared" si="68"/>
        <v>6.78</v>
      </c>
      <c r="K293" s="18">
        <v>45.09</v>
      </c>
      <c r="L293" s="18"/>
      <c r="M293" s="18">
        <f t="shared" si="69"/>
        <v>45.09</v>
      </c>
      <c r="N293" s="18">
        <v>222.75620000000001</v>
      </c>
      <c r="O293" s="18"/>
      <c r="P293" s="18">
        <f t="shared" si="70"/>
        <v>222.75620000000001</v>
      </c>
      <c r="Q293" s="18">
        <v>5</v>
      </c>
      <c r="R293" s="18"/>
      <c r="S293" s="18">
        <f t="shared" si="71"/>
        <v>5</v>
      </c>
      <c r="T293" s="18">
        <v>1</v>
      </c>
      <c r="U293" s="18"/>
      <c r="V293" s="18">
        <f t="shared" si="72"/>
        <v>1</v>
      </c>
      <c r="W293" s="18">
        <v>3943.89</v>
      </c>
      <c r="X293" s="18"/>
      <c r="Y293" s="18">
        <f t="shared" si="73"/>
        <v>3943.89</v>
      </c>
      <c r="Z293" s="18">
        <v>142.38999999999999</v>
      </c>
      <c r="AA293" s="18"/>
      <c r="AB293" s="18">
        <f t="shared" si="74"/>
        <v>142.38999999999999</v>
      </c>
      <c r="AC293" s="18">
        <v>441.59</v>
      </c>
      <c r="AD293" s="18"/>
      <c r="AE293" s="18">
        <f t="shared" si="75"/>
        <v>441.59</v>
      </c>
      <c r="AF293" s="18">
        <v>299202.21000000002</v>
      </c>
      <c r="AG293" s="18"/>
      <c r="AH293" s="18">
        <f t="shared" si="76"/>
        <v>299202.21000000002</v>
      </c>
      <c r="AI293" s="18">
        <v>671289.52</v>
      </c>
      <c r="AJ293" s="18"/>
      <c r="AK293" s="18">
        <f t="shared" si="77"/>
        <v>671289.52</v>
      </c>
      <c r="AL293" s="18">
        <v>140.16</v>
      </c>
      <c r="AM293" s="18"/>
      <c r="AN293" s="18">
        <f t="shared" si="78"/>
        <v>140.16</v>
      </c>
      <c r="AO293" s="18">
        <v>15.15</v>
      </c>
      <c r="AP293" s="18"/>
      <c r="AQ293" s="18">
        <f t="shared" si="79"/>
        <v>15.15</v>
      </c>
      <c r="AR293" s="18">
        <v>55.92</v>
      </c>
      <c r="AS293" s="18"/>
      <c r="AT293" s="18">
        <f t="shared" si="80"/>
        <v>55.92</v>
      </c>
      <c r="AU293" s="18">
        <v>989269.22</v>
      </c>
      <c r="AV293" s="18"/>
      <c r="AW293" s="18">
        <f t="shared" si="81"/>
        <v>989269.22</v>
      </c>
      <c r="AX293" s="18">
        <v>0.01</v>
      </c>
      <c r="AY293" s="18"/>
      <c r="AZ293" s="18">
        <f t="shared" si="82"/>
        <v>0.01</v>
      </c>
      <c r="BA293" s="18">
        <v>0.17</v>
      </c>
      <c r="BB293" s="18"/>
      <c r="BC293" s="18">
        <f t="shared" si="83"/>
        <v>0.17</v>
      </c>
      <c r="BD293" s="18">
        <v>0.16</v>
      </c>
      <c r="BE293" s="18"/>
      <c r="BF293" s="18">
        <f t="shared" si="84"/>
        <v>0.16</v>
      </c>
    </row>
    <row r="294" spans="1:58" ht="25.5" x14ac:dyDescent="0.25">
      <c r="A294" s="124" t="s">
        <v>1409</v>
      </c>
      <c r="B294" s="124" t="s">
        <v>1468</v>
      </c>
      <c r="C294" s="18" t="s">
        <v>1981</v>
      </c>
      <c r="D294" s="18" t="s">
        <v>1982</v>
      </c>
      <c r="E294" s="18" t="s">
        <v>1471</v>
      </c>
      <c r="F294" s="18" t="s">
        <v>1111</v>
      </c>
      <c r="G294" s="119">
        <v>43585</v>
      </c>
      <c r="H294" s="18">
        <v>0</v>
      </c>
      <c r="I294" s="18"/>
      <c r="J294" s="18">
        <f t="shared" si="68"/>
        <v>0</v>
      </c>
      <c r="K294" s="18">
        <v>1.1579999999999999</v>
      </c>
      <c r="L294" s="18"/>
      <c r="M294" s="18">
        <f t="shared" si="69"/>
        <v>0</v>
      </c>
      <c r="N294" s="18">
        <v>80.5</v>
      </c>
      <c r="O294" s="18"/>
      <c r="P294" s="18">
        <f t="shared" si="70"/>
        <v>0</v>
      </c>
      <c r="Q294" s="18">
        <v>5</v>
      </c>
      <c r="R294" s="18"/>
      <c r="S294" s="18">
        <f t="shared" si="71"/>
        <v>0</v>
      </c>
      <c r="T294" s="18">
        <v>1</v>
      </c>
      <c r="U294" s="18"/>
      <c r="V294" s="18">
        <f t="shared" si="72"/>
        <v>0</v>
      </c>
      <c r="W294" s="18">
        <v>2452.38</v>
      </c>
      <c r="X294" s="18"/>
      <c r="Y294" s="18">
        <f t="shared" si="73"/>
        <v>0</v>
      </c>
      <c r="Z294" s="18">
        <v>146.7193</v>
      </c>
      <c r="AA294" s="18"/>
      <c r="AB294" s="18">
        <f t="shared" si="74"/>
        <v>0</v>
      </c>
      <c r="AC294" s="18">
        <v>476.61579999999998</v>
      </c>
      <c r="AD294" s="18"/>
      <c r="AE294" s="18">
        <f t="shared" si="75"/>
        <v>0</v>
      </c>
      <c r="AF294" s="18">
        <v>329896.55</v>
      </c>
      <c r="AG294" s="18"/>
      <c r="AH294" s="18">
        <f t="shared" si="76"/>
        <v>0</v>
      </c>
      <c r="AI294" s="18">
        <v>260494.26</v>
      </c>
      <c r="AJ294" s="18"/>
      <c r="AK294" s="18">
        <f t="shared" si="77"/>
        <v>0</v>
      </c>
      <c r="AL294" s="18">
        <v>39</v>
      </c>
      <c r="AM294" s="18"/>
      <c r="AN294" s="18">
        <f t="shared" si="78"/>
        <v>0</v>
      </c>
      <c r="AO294" s="18">
        <v>0</v>
      </c>
      <c r="AP294" s="18"/>
      <c r="AQ294" s="18">
        <f t="shared" si="79"/>
        <v>0</v>
      </c>
      <c r="AR294" s="18">
        <v>0</v>
      </c>
      <c r="AS294" s="18"/>
      <c r="AT294" s="18">
        <f t="shared" si="80"/>
        <v>0</v>
      </c>
      <c r="AU294" s="18">
        <v>411048.32</v>
      </c>
      <c r="AV294" s="18"/>
      <c r="AW294" s="18">
        <f t="shared" si="81"/>
        <v>0</v>
      </c>
      <c r="AX294" s="18">
        <v>0</v>
      </c>
      <c r="AY294" s="18"/>
      <c r="AZ294" s="18">
        <f t="shared" si="82"/>
        <v>0</v>
      </c>
      <c r="BA294" s="18">
        <v>6.8999999999999999E-3</v>
      </c>
      <c r="BB294" s="18"/>
      <c r="BC294" s="18">
        <f t="shared" si="83"/>
        <v>0</v>
      </c>
      <c r="BD294" s="18">
        <v>6.8999999999999999E-3</v>
      </c>
      <c r="BE294" s="18"/>
      <c r="BF294" s="18">
        <f t="shared" si="84"/>
        <v>0</v>
      </c>
    </row>
    <row r="295" spans="1:58" ht="76.5" x14ac:dyDescent="0.25">
      <c r="A295" s="124" t="s">
        <v>1410</v>
      </c>
      <c r="B295" s="124" t="s">
        <v>1468</v>
      </c>
      <c r="C295" s="18" t="s">
        <v>1983</v>
      </c>
      <c r="D295" s="18" t="s">
        <v>1984</v>
      </c>
      <c r="E295" s="18" t="s">
        <v>1471</v>
      </c>
      <c r="F295" s="18" t="s">
        <v>1111</v>
      </c>
      <c r="G295" s="119">
        <v>43434</v>
      </c>
      <c r="H295" s="18">
        <v>0</v>
      </c>
      <c r="I295" s="18"/>
      <c r="J295" s="18">
        <f t="shared" si="68"/>
        <v>0</v>
      </c>
      <c r="K295" s="18">
        <v>13.62</v>
      </c>
      <c r="L295" s="18"/>
      <c r="M295" s="18">
        <f t="shared" si="69"/>
        <v>13.62</v>
      </c>
      <c r="N295" s="18">
        <v>50.52</v>
      </c>
      <c r="O295" s="18"/>
      <c r="P295" s="18">
        <f t="shared" si="70"/>
        <v>50.52</v>
      </c>
      <c r="Q295" s="18">
        <v>15</v>
      </c>
      <c r="R295" s="18"/>
      <c r="S295" s="18">
        <f t="shared" si="71"/>
        <v>15</v>
      </c>
      <c r="T295" s="18">
        <v>5</v>
      </c>
      <c r="U295" s="18"/>
      <c r="V295" s="18">
        <f t="shared" si="72"/>
        <v>5</v>
      </c>
      <c r="W295" s="18">
        <v>3273.38</v>
      </c>
      <c r="X295" s="18"/>
      <c r="Y295" s="18">
        <f t="shared" si="73"/>
        <v>3273.38</v>
      </c>
      <c r="Z295" s="18">
        <v>194.65029999999999</v>
      </c>
      <c r="AA295" s="18"/>
      <c r="AB295" s="18">
        <f t="shared" si="74"/>
        <v>194.65029999999999</v>
      </c>
      <c r="AC295" s="18">
        <v>518.11680000000001</v>
      </c>
      <c r="AD295" s="18"/>
      <c r="AE295" s="18">
        <f t="shared" si="75"/>
        <v>518.11680000000001</v>
      </c>
      <c r="AF295" s="18">
        <v>323466.53000000003</v>
      </c>
      <c r="AG295" s="18"/>
      <c r="AH295" s="18">
        <f t="shared" si="76"/>
        <v>323466.53000000003</v>
      </c>
      <c r="AI295" s="18">
        <v>323466.53000000003</v>
      </c>
      <c r="AJ295" s="18"/>
      <c r="AK295" s="18">
        <f t="shared" si="77"/>
        <v>323466.53000000003</v>
      </c>
      <c r="AL295" s="18">
        <v>21.9</v>
      </c>
      <c r="AM295" s="18"/>
      <c r="AN295" s="18">
        <f t="shared" si="78"/>
        <v>21.9</v>
      </c>
      <c r="AO295" s="18">
        <v>0</v>
      </c>
      <c r="AP295" s="18"/>
      <c r="AQ295" s="18">
        <f t="shared" si="79"/>
        <v>0</v>
      </c>
      <c r="AR295" s="18">
        <v>0</v>
      </c>
      <c r="AS295" s="18"/>
      <c r="AT295" s="18">
        <f t="shared" si="80"/>
        <v>0</v>
      </c>
      <c r="AU295" s="18">
        <v>418050.76</v>
      </c>
      <c r="AV295" s="18"/>
      <c r="AW295" s="18">
        <f t="shared" si="81"/>
        <v>418050.76</v>
      </c>
      <c r="AX295" s="18">
        <v>0</v>
      </c>
      <c r="AY295" s="18"/>
      <c r="AZ295" s="18">
        <f t="shared" si="82"/>
        <v>0</v>
      </c>
      <c r="BA295" s="18">
        <v>2.8000000000000001E-2</v>
      </c>
      <c r="BB295" s="18"/>
      <c r="BC295" s="18">
        <f t="shared" si="83"/>
        <v>2.8000000000000001E-2</v>
      </c>
      <c r="BD295" s="18">
        <v>2.8000000000000001E-2</v>
      </c>
      <c r="BE295" s="18"/>
      <c r="BF295" s="18">
        <f t="shared" si="84"/>
        <v>2.8000000000000001E-2</v>
      </c>
    </row>
    <row r="296" spans="1:58" ht="25.5" x14ac:dyDescent="0.25">
      <c r="A296" s="124" t="s">
        <v>1411</v>
      </c>
      <c r="B296" s="124" t="s">
        <v>1468</v>
      </c>
      <c r="C296" s="18" t="s">
        <v>1985</v>
      </c>
      <c r="D296" s="18" t="s">
        <v>1986</v>
      </c>
      <c r="E296" s="18" t="s">
        <v>1489</v>
      </c>
      <c r="F296" s="18" t="s">
        <v>1111</v>
      </c>
      <c r="G296" s="119">
        <v>43404</v>
      </c>
      <c r="H296" s="18">
        <v>0</v>
      </c>
      <c r="I296" s="18"/>
      <c r="J296" s="18">
        <f t="shared" si="68"/>
        <v>0</v>
      </c>
      <c r="K296" s="18">
        <v>1.3859999999999999</v>
      </c>
      <c r="L296" s="18"/>
      <c r="M296" s="18">
        <f t="shared" si="69"/>
        <v>1.3859999999999999</v>
      </c>
      <c r="N296" s="18">
        <v>3.6799999999999999E-2</v>
      </c>
      <c r="O296" s="18"/>
      <c r="P296" s="18">
        <f t="shared" si="70"/>
        <v>3.6799999999999999E-2</v>
      </c>
      <c r="Q296" s="18">
        <v>3</v>
      </c>
      <c r="R296" s="18"/>
      <c r="S296" s="18">
        <f t="shared" si="71"/>
        <v>3</v>
      </c>
      <c r="T296" s="18">
        <v>1</v>
      </c>
      <c r="U296" s="18"/>
      <c r="V296" s="18">
        <f t="shared" si="72"/>
        <v>1</v>
      </c>
      <c r="W296" s="18">
        <v>560.22</v>
      </c>
      <c r="X296" s="18"/>
      <c r="Y296" s="18">
        <f t="shared" si="73"/>
        <v>560.22</v>
      </c>
      <c r="Z296" s="18">
        <v>17.867100000000001</v>
      </c>
      <c r="AA296" s="18"/>
      <c r="AB296" s="18">
        <f t="shared" si="74"/>
        <v>17.867100000000001</v>
      </c>
      <c r="AC296" s="18">
        <v>124.94499999999999</v>
      </c>
      <c r="AD296" s="18"/>
      <c r="AE296" s="18">
        <f t="shared" si="75"/>
        <v>124.94499999999999</v>
      </c>
      <c r="AF296" s="18">
        <v>107077.87</v>
      </c>
      <c r="AG296" s="18"/>
      <c r="AH296" s="18">
        <f t="shared" si="76"/>
        <v>107077.87</v>
      </c>
      <c r="AI296" s="18">
        <v>126049.5</v>
      </c>
      <c r="AJ296" s="18"/>
      <c r="AK296" s="18">
        <f t="shared" si="77"/>
        <v>126049.5</v>
      </c>
      <c r="AL296" s="18">
        <v>32.64</v>
      </c>
      <c r="AM296" s="18"/>
      <c r="AN296" s="18">
        <f t="shared" si="78"/>
        <v>32.64</v>
      </c>
      <c r="AO296" s="18">
        <v>2.21</v>
      </c>
      <c r="AP296" s="18"/>
      <c r="AQ296" s="18">
        <f t="shared" si="79"/>
        <v>2.21</v>
      </c>
      <c r="AR296" s="18">
        <v>10.63</v>
      </c>
      <c r="AS296" s="18"/>
      <c r="AT296" s="18">
        <f t="shared" si="80"/>
        <v>10.63</v>
      </c>
      <c r="AU296" s="18">
        <v>188794.14</v>
      </c>
      <c r="AV296" s="18"/>
      <c r="AW296" s="18">
        <f t="shared" si="81"/>
        <v>188794.14</v>
      </c>
      <c r="AX296" s="18">
        <v>0</v>
      </c>
      <c r="AY296" s="18"/>
      <c r="AZ296" s="18">
        <f t="shared" si="82"/>
        <v>0</v>
      </c>
      <c r="BA296" s="18">
        <v>6.9298999999999999</v>
      </c>
      <c r="BB296" s="18"/>
      <c r="BC296" s="18">
        <f t="shared" si="83"/>
        <v>6.9298999999999999</v>
      </c>
      <c r="BD296" s="18">
        <v>0</v>
      </c>
      <c r="BE296" s="18"/>
      <c r="BF296" s="18">
        <f t="shared" si="84"/>
        <v>0</v>
      </c>
    </row>
    <row r="297" spans="1:58" ht="51" x14ac:dyDescent="0.25">
      <c r="A297" s="124" t="s">
        <v>1412</v>
      </c>
      <c r="B297" s="124" t="s">
        <v>1468</v>
      </c>
      <c r="C297" s="18" t="s">
        <v>1987</v>
      </c>
      <c r="D297" s="18" t="s">
        <v>1988</v>
      </c>
      <c r="E297" s="18" t="s">
        <v>1474</v>
      </c>
      <c r="F297" s="18" t="s">
        <v>1111</v>
      </c>
      <c r="G297" s="119">
        <v>43404</v>
      </c>
      <c r="H297" s="18">
        <v>0</v>
      </c>
      <c r="I297" s="18"/>
      <c r="J297" s="18">
        <f t="shared" si="68"/>
        <v>0</v>
      </c>
      <c r="K297" s="18">
        <v>0</v>
      </c>
      <c r="L297" s="18"/>
      <c r="M297" s="18">
        <f t="shared" si="69"/>
        <v>0</v>
      </c>
      <c r="N297" s="18">
        <v>99.54</v>
      </c>
      <c r="O297" s="18"/>
      <c r="P297" s="18">
        <f t="shared" si="70"/>
        <v>99.54</v>
      </c>
      <c r="Q297" s="18">
        <v>3</v>
      </c>
      <c r="R297" s="18"/>
      <c r="S297" s="18">
        <f t="shared" si="71"/>
        <v>3</v>
      </c>
      <c r="T297" s="18">
        <v>1</v>
      </c>
      <c r="U297" s="18"/>
      <c r="V297" s="18">
        <f t="shared" si="72"/>
        <v>1</v>
      </c>
      <c r="W297" s="18">
        <v>5649</v>
      </c>
      <c r="X297" s="18"/>
      <c r="Y297" s="18">
        <f t="shared" si="73"/>
        <v>5649</v>
      </c>
      <c r="Z297" s="18">
        <v>391.97399999999999</v>
      </c>
      <c r="AA297" s="18"/>
      <c r="AB297" s="18">
        <f t="shared" si="74"/>
        <v>391.97399999999999</v>
      </c>
      <c r="AC297" s="18">
        <v>769.62699999999995</v>
      </c>
      <c r="AD297" s="18"/>
      <c r="AE297" s="18">
        <f t="shared" si="75"/>
        <v>769.62699999999995</v>
      </c>
      <c r="AF297" s="18">
        <v>377653</v>
      </c>
      <c r="AG297" s="18"/>
      <c r="AH297" s="18">
        <f t="shared" si="76"/>
        <v>377653</v>
      </c>
      <c r="AI297" s="18">
        <v>388606</v>
      </c>
      <c r="AJ297" s="18"/>
      <c r="AK297" s="18">
        <f t="shared" si="77"/>
        <v>388606</v>
      </c>
      <c r="AL297" s="18">
        <v>54</v>
      </c>
      <c r="AM297" s="18"/>
      <c r="AN297" s="18">
        <f t="shared" si="78"/>
        <v>54</v>
      </c>
      <c r="AO297" s="18">
        <v>3</v>
      </c>
      <c r="AP297" s="18"/>
      <c r="AQ297" s="18">
        <f t="shared" si="79"/>
        <v>3</v>
      </c>
      <c r="AR297" s="18">
        <v>37</v>
      </c>
      <c r="AS297" s="18"/>
      <c r="AT297" s="18">
        <f t="shared" si="80"/>
        <v>37</v>
      </c>
      <c r="AU297" s="18">
        <v>768834</v>
      </c>
      <c r="AV297" s="18"/>
      <c r="AW297" s="18">
        <f t="shared" si="81"/>
        <v>768834</v>
      </c>
      <c r="AX297" s="18">
        <v>0</v>
      </c>
      <c r="AY297" s="18"/>
      <c r="AZ297" s="18">
        <f t="shared" si="82"/>
        <v>0</v>
      </c>
      <c r="BA297" s="18">
        <v>0</v>
      </c>
      <c r="BB297" s="18"/>
      <c r="BC297" s="18">
        <f t="shared" si="83"/>
        <v>0</v>
      </c>
      <c r="BD297" s="18">
        <v>0</v>
      </c>
      <c r="BE297" s="18"/>
      <c r="BF297" s="18">
        <f t="shared" si="84"/>
        <v>0</v>
      </c>
    </row>
    <row r="298" spans="1:58" ht="51" x14ac:dyDescent="0.25">
      <c r="A298" s="124" t="s">
        <v>1413</v>
      </c>
      <c r="B298" s="124" t="s">
        <v>1468</v>
      </c>
      <c r="C298" s="18" t="s">
        <v>1987</v>
      </c>
      <c r="D298" s="18" t="s">
        <v>1989</v>
      </c>
      <c r="E298" s="18" t="s">
        <v>1474</v>
      </c>
      <c r="F298" s="18" t="s">
        <v>1111</v>
      </c>
      <c r="G298" s="119">
        <v>43769</v>
      </c>
      <c r="H298" s="18">
        <v>0</v>
      </c>
      <c r="I298" s="18"/>
      <c r="J298" s="18">
        <f t="shared" si="68"/>
        <v>0</v>
      </c>
      <c r="K298" s="18">
        <v>15.75</v>
      </c>
      <c r="L298" s="18"/>
      <c r="M298" s="18">
        <f t="shared" si="69"/>
        <v>0</v>
      </c>
      <c r="N298" s="18">
        <v>12.51</v>
      </c>
      <c r="O298" s="18"/>
      <c r="P298" s="18">
        <f t="shared" si="70"/>
        <v>0</v>
      </c>
      <c r="Q298" s="18">
        <v>7</v>
      </c>
      <c r="R298" s="18"/>
      <c r="S298" s="18">
        <f t="shared" si="71"/>
        <v>0</v>
      </c>
      <c r="T298" s="18">
        <v>1</v>
      </c>
      <c r="U298" s="18"/>
      <c r="V298" s="18">
        <f t="shared" si="72"/>
        <v>0</v>
      </c>
      <c r="W298" s="18">
        <v>777</v>
      </c>
      <c r="X298" s="18"/>
      <c r="Y298" s="18">
        <f t="shared" si="73"/>
        <v>0</v>
      </c>
      <c r="Z298" s="18">
        <v>36.912999999999997</v>
      </c>
      <c r="AA298" s="18"/>
      <c r="AB298" s="18">
        <f t="shared" si="74"/>
        <v>0</v>
      </c>
      <c r="AC298" s="18">
        <v>79.539000000000001</v>
      </c>
      <c r="AD298" s="18"/>
      <c r="AE298" s="18">
        <f t="shared" si="75"/>
        <v>0</v>
      </c>
      <c r="AF298" s="18">
        <v>42626</v>
      </c>
      <c r="AG298" s="18"/>
      <c r="AH298" s="18">
        <f t="shared" si="76"/>
        <v>0</v>
      </c>
      <c r="AI298" s="18">
        <v>55163</v>
      </c>
      <c r="AJ298" s="18"/>
      <c r="AK298" s="18">
        <f t="shared" si="77"/>
        <v>0</v>
      </c>
      <c r="AL298" s="18">
        <v>11</v>
      </c>
      <c r="AM298" s="18"/>
      <c r="AN298" s="18">
        <f t="shared" si="78"/>
        <v>0</v>
      </c>
      <c r="AO298" s="18">
        <v>1</v>
      </c>
      <c r="AP298" s="18"/>
      <c r="AQ298" s="18">
        <f t="shared" si="79"/>
        <v>0</v>
      </c>
      <c r="AR298" s="18">
        <v>129</v>
      </c>
      <c r="AS298" s="18"/>
      <c r="AT298" s="18">
        <f t="shared" si="80"/>
        <v>0</v>
      </c>
      <c r="AU298" s="18">
        <v>180034</v>
      </c>
      <c r="AV298" s="18"/>
      <c r="AW298" s="18">
        <f t="shared" si="81"/>
        <v>0</v>
      </c>
      <c r="AX298" s="18">
        <v>0</v>
      </c>
      <c r="AY298" s="18"/>
      <c r="AZ298" s="18">
        <f t="shared" si="82"/>
        <v>0</v>
      </c>
      <c r="BA298" s="18">
        <v>1.4999999999999999E-2</v>
      </c>
      <c r="BB298" s="18"/>
      <c r="BC298" s="18">
        <f t="shared" si="83"/>
        <v>0</v>
      </c>
      <c r="BD298" s="18">
        <v>1.4999999999999999E-2</v>
      </c>
      <c r="BE298" s="18"/>
      <c r="BF298" s="18">
        <f t="shared" si="84"/>
        <v>0</v>
      </c>
    </row>
    <row r="299" spans="1:58" x14ac:dyDescent="0.25">
      <c r="A299" s="122"/>
      <c r="B299" s="122"/>
      <c r="C299" s="19"/>
      <c r="D299" s="19"/>
      <c r="E299" s="19"/>
      <c r="F299" s="19"/>
      <c r="G299" s="123"/>
      <c r="H299" s="18">
        <f t="shared" ref="H299:BE299" si="85">SUM(H5:H298)</f>
        <v>432.56169999999997</v>
      </c>
      <c r="I299" s="18">
        <f t="shared" si="85"/>
        <v>0</v>
      </c>
      <c r="J299" s="18">
        <f t="shared" si="85"/>
        <v>295.09039999999999</v>
      </c>
      <c r="K299" s="18">
        <f t="shared" si="85"/>
        <v>29315.538600000007</v>
      </c>
      <c r="L299" s="18">
        <f t="shared" si="85"/>
        <v>3.57</v>
      </c>
      <c r="M299" s="18">
        <f t="shared" si="85"/>
        <v>28919.608200000006</v>
      </c>
      <c r="N299" s="18">
        <f t="shared" si="85"/>
        <v>108603.19899999994</v>
      </c>
      <c r="O299" s="18">
        <f t="shared" si="85"/>
        <v>973.43690000000026</v>
      </c>
      <c r="P299" s="18">
        <f t="shared" si="85"/>
        <v>12276.8189</v>
      </c>
      <c r="Q299" s="18">
        <f t="shared" si="85"/>
        <v>1235</v>
      </c>
      <c r="R299" s="18">
        <f t="shared" si="85"/>
        <v>103</v>
      </c>
      <c r="S299" s="18">
        <f t="shared" si="85"/>
        <v>1081</v>
      </c>
      <c r="T299" s="18">
        <f t="shared" si="85"/>
        <v>322</v>
      </c>
      <c r="U299" s="18">
        <f t="shared" si="85"/>
        <v>26</v>
      </c>
      <c r="V299" s="18">
        <f t="shared" si="85"/>
        <v>277</v>
      </c>
      <c r="W299" s="18">
        <f t="shared" si="85"/>
        <v>508122.97139999998</v>
      </c>
      <c r="X299" s="18">
        <f t="shared" si="85"/>
        <v>33464.870000000003</v>
      </c>
      <c r="Y299" s="18">
        <f t="shared" si="85"/>
        <v>429689.78140000004</v>
      </c>
      <c r="Z299" s="18">
        <f t="shared" si="85"/>
        <v>87436.957400000014</v>
      </c>
      <c r="AA299" s="18">
        <f t="shared" si="85"/>
        <v>0</v>
      </c>
      <c r="AB299" s="18">
        <f t="shared" si="85"/>
        <v>81565.495400000029</v>
      </c>
      <c r="AC299" s="18">
        <f t="shared" si="85"/>
        <v>305375.77279999986</v>
      </c>
      <c r="AD299" s="18">
        <f t="shared" si="85"/>
        <v>357874.22569999995</v>
      </c>
      <c r="AE299" s="18">
        <f t="shared" si="85"/>
        <v>292940.23700000002</v>
      </c>
      <c r="AF299" s="18">
        <f t="shared" si="85"/>
        <v>53206003.8103</v>
      </c>
      <c r="AG299" s="18">
        <f t="shared" si="85"/>
        <v>52.237000000000002</v>
      </c>
      <c r="AH299" s="18">
        <f t="shared" si="85"/>
        <v>39365200.357000001</v>
      </c>
      <c r="AI299" s="18">
        <f t="shared" si="85"/>
        <v>57489716.201000035</v>
      </c>
      <c r="AJ299" s="18">
        <f t="shared" si="85"/>
        <v>2973781.8615999999</v>
      </c>
      <c r="AK299" s="18">
        <f t="shared" si="85"/>
        <v>46034063.53800004</v>
      </c>
      <c r="AL299" s="18">
        <f t="shared" si="85"/>
        <v>412833.93070000003</v>
      </c>
      <c r="AM299" s="18">
        <f t="shared" si="85"/>
        <v>0</v>
      </c>
      <c r="AN299" s="18">
        <f t="shared" si="85"/>
        <v>330537.26420000003</v>
      </c>
      <c r="AO299" s="18">
        <f t="shared" si="85"/>
        <v>137503.57169999997</v>
      </c>
      <c r="AP299" s="18">
        <f t="shared" si="85"/>
        <v>0</v>
      </c>
      <c r="AQ299" s="18">
        <f t="shared" si="85"/>
        <v>128565.62429999998</v>
      </c>
      <c r="AR299" s="18">
        <f t="shared" si="85"/>
        <v>78537.34450000005</v>
      </c>
      <c r="AS299" s="18">
        <f t="shared" si="85"/>
        <v>0</v>
      </c>
      <c r="AT299" s="18">
        <f t="shared" si="85"/>
        <v>53894.493199999983</v>
      </c>
      <c r="AU299" s="18">
        <f t="shared" si="85"/>
        <v>81203302.442999989</v>
      </c>
      <c r="AV299" s="18">
        <f t="shared" si="85"/>
        <v>51921.436999999998</v>
      </c>
      <c r="AW299" s="18">
        <f t="shared" si="85"/>
        <v>56671783.012999982</v>
      </c>
      <c r="AX299" s="18">
        <f t="shared" si="85"/>
        <v>13.107899999999999</v>
      </c>
      <c r="AY299" s="18">
        <f t="shared" si="85"/>
        <v>4.8000000000000001E-2</v>
      </c>
      <c r="AZ299" s="18">
        <f t="shared" si="85"/>
        <v>7.0108999999999995</v>
      </c>
      <c r="BA299" s="18">
        <f t="shared" si="85"/>
        <v>175.44729999999996</v>
      </c>
      <c r="BB299" s="18">
        <f t="shared" si="85"/>
        <v>1.7876999999999998</v>
      </c>
      <c r="BC299" s="18">
        <f t="shared" si="85"/>
        <v>141.19859999999994</v>
      </c>
      <c r="BD299" s="18">
        <f t="shared" si="85"/>
        <v>91.814000000000021</v>
      </c>
      <c r="BE299" s="18">
        <f t="shared" si="85"/>
        <v>1.7396999999999998</v>
      </c>
      <c r="BF299" s="18">
        <f t="shared" ref="BF299" si="86">SUM(BF5:BF298)</f>
        <v>91.512800000000027</v>
      </c>
    </row>
    <row r="300" spans="1:58" x14ac:dyDescent="0.25">
      <c r="A300" s="122"/>
      <c r="B300" s="122"/>
      <c r="C300" s="19"/>
      <c r="D300" s="19"/>
      <c r="E300" s="19"/>
      <c r="F300" s="19"/>
      <c r="G300" s="123"/>
      <c r="H300" s="18">
        <f t="shared" ref="H300:BE300" si="87">COUNT(H5:H298)</f>
        <v>293</v>
      </c>
      <c r="I300" s="18">
        <f t="shared" si="87"/>
        <v>58</v>
      </c>
      <c r="J300" s="18">
        <f t="shared" si="87"/>
        <v>293</v>
      </c>
      <c r="K300" s="18">
        <f t="shared" si="87"/>
        <v>293</v>
      </c>
      <c r="L300" s="18">
        <f t="shared" si="87"/>
        <v>58</v>
      </c>
      <c r="M300" s="18">
        <f t="shared" si="87"/>
        <v>293</v>
      </c>
      <c r="N300" s="18">
        <f t="shared" si="87"/>
        <v>294</v>
      </c>
      <c r="O300" s="18">
        <f t="shared" si="87"/>
        <v>58</v>
      </c>
      <c r="P300" s="18">
        <f t="shared" si="87"/>
        <v>294</v>
      </c>
      <c r="Q300" s="18">
        <f t="shared" si="87"/>
        <v>293</v>
      </c>
      <c r="R300" s="18">
        <f t="shared" si="87"/>
        <v>58</v>
      </c>
      <c r="S300" s="18">
        <f t="shared" si="87"/>
        <v>293</v>
      </c>
      <c r="T300" s="18">
        <f t="shared" si="87"/>
        <v>293</v>
      </c>
      <c r="U300" s="18">
        <f t="shared" si="87"/>
        <v>58</v>
      </c>
      <c r="V300" s="18">
        <f t="shared" si="87"/>
        <v>293</v>
      </c>
      <c r="W300" s="18">
        <f t="shared" si="87"/>
        <v>293</v>
      </c>
      <c r="X300" s="18">
        <f t="shared" si="87"/>
        <v>58</v>
      </c>
      <c r="Y300" s="18">
        <f t="shared" si="87"/>
        <v>293</v>
      </c>
      <c r="Z300" s="18">
        <f t="shared" si="87"/>
        <v>293</v>
      </c>
      <c r="AA300" s="18">
        <f t="shared" si="87"/>
        <v>58</v>
      </c>
      <c r="AB300" s="18">
        <f t="shared" si="87"/>
        <v>293</v>
      </c>
      <c r="AC300" s="18">
        <f t="shared" si="87"/>
        <v>293</v>
      </c>
      <c r="AD300" s="18">
        <f t="shared" si="87"/>
        <v>58</v>
      </c>
      <c r="AE300" s="18">
        <f t="shared" si="87"/>
        <v>293</v>
      </c>
      <c r="AF300" s="18">
        <f t="shared" si="87"/>
        <v>294</v>
      </c>
      <c r="AG300" s="18">
        <f t="shared" si="87"/>
        <v>58</v>
      </c>
      <c r="AH300" s="18">
        <f t="shared" si="87"/>
        <v>294</v>
      </c>
      <c r="AI300" s="18">
        <f t="shared" si="87"/>
        <v>293</v>
      </c>
      <c r="AJ300" s="18">
        <f t="shared" si="87"/>
        <v>58</v>
      </c>
      <c r="AK300" s="18">
        <f t="shared" si="87"/>
        <v>293</v>
      </c>
      <c r="AL300" s="18">
        <f t="shared" si="87"/>
        <v>293</v>
      </c>
      <c r="AM300" s="18">
        <f t="shared" si="87"/>
        <v>58</v>
      </c>
      <c r="AN300" s="18">
        <f t="shared" si="87"/>
        <v>293</v>
      </c>
      <c r="AO300" s="18">
        <f t="shared" si="87"/>
        <v>293</v>
      </c>
      <c r="AP300" s="18">
        <f t="shared" si="87"/>
        <v>58</v>
      </c>
      <c r="AQ300" s="18">
        <f t="shared" si="87"/>
        <v>293</v>
      </c>
      <c r="AR300" s="18">
        <f t="shared" si="87"/>
        <v>293</v>
      </c>
      <c r="AS300" s="18">
        <f t="shared" si="87"/>
        <v>58</v>
      </c>
      <c r="AT300" s="18">
        <f t="shared" si="87"/>
        <v>293</v>
      </c>
      <c r="AU300" s="18">
        <f t="shared" si="87"/>
        <v>294</v>
      </c>
      <c r="AV300" s="18">
        <f t="shared" si="87"/>
        <v>58</v>
      </c>
      <c r="AW300" s="18">
        <f t="shared" si="87"/>
        <v>294</v>
      </c>
      <c r="AX300" s="18">
        <f t="shared" si="87"/>
        <v>293</v>
      </c>
      <c r="AY300" s="18">
        <f t="shared" si="87"/>
        <v>58</v>
      </c>
      <c r="AZ300" s="18">
        <f t="shared" si="87"/>
        <v>293</v>
      </c>
      <c r="BA300" s="18">
        <f t="shared" si="87"/>
        <v>293</v>
      </c>
      <c r="BB300" s="18">
        <f t="shared" si="87"/>
        <v>58</v>
      </c>
      <c r="BC300" s="18">
        <f t="shared" si="87"/>
        <v>293</v>
      </c>
      <c r="BD300" s="18">
        <f t="shared" si="87"/>
        <v>293</v>
      </c>
      <c r="BE300" s="18">
        <f t="shared" si="87"/>
        <v>58</v>
      </c>
      <c r="BF300" s="18">
        <f t="shared" ref="BF300" si="88">COUNT(BF5:BF298)</f>
        <v>293</v>
      </c>
    </row>
    <row r="301" spans="1:58" x14ac:dyDescent="0.25">
      <c r="A301" s="122"/>
      <c r="B301" s="122"/>
      <c r="C301" s="19"/>
      <c r="D301" s="19"/>
      <c r="E301" s="19"/>
      <c r="F301" s="19"/>
      <c r="G301" s="123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</row>
    <row r="302" spans="1:58" x14ac:dyDescent="0.25">
      <c r="A302" s="125" t="s">
        <v>1414</v>
      </c>
      <c r="B302" s="122"/>
      <c r="C302" s="19"/>
      <c r="D302" s="19"/>
      <c r="E302" s="19"/>
      <c r="F302" s="19"/>
      <c r="G302" s="123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</row>
    <row r="303" spans="1:58" ht="51" x14ac:dyDescent="0.25">
      <c r="A303" s="124" t="s">
        <v>1118</v>
      </c>
      <c r="B303" s="124" t="s">
        <v>1468</v>
      </c>
      <c r="C303" s="18" t="s">
        <v>1469</v>
      </c>
      <c r="D303" s="18" t="s">
        <v>1470</v>
      </c>
      <c r="E303" s="18" t="s">
        <v>1471</v>
      </c>
      <c r="F303" s="18" t="s">
        <v>1414</v>
      </c>
      <c r="G303" s="119">
        <v>42887</v>
      </c>
      <c r="H303" s="18">
        <v>0</v>
      </c>
      <c r="I303" s="18"/>
      <c r="J303" s="18">
        <f>IF(H303="","",IF($F303="Projekt riadne ukončený (K)",I303,IF($G303&lt;=J$4,H303,0)))</f>
        <v>0</v>
      </c>
      <c r="K303" s="18">
        <v>0</v>
      </c>
      <c r="L303" s="18"/>
      <c r="M303" s="18">
        <f>IF(K303="","",IF($F303="Projekt riadne ukončený (K)",L303,IF($G303&lt;=M$4,K303,0)))</f>
        <v>0</v>
      </c>
      <c r="N303" s="18">
        <v>53.6</v>
      </c>
      <c r="O303" s="18"/>
      <c r="P303" s="18">
        <f>IF(N303="","",IF($F303="Projekt riadne ukončený (K)",O303,IF($G303&lt;=P$4,N303,0)))</f>
        <v>53.6</v>
      </c>
      <c r="Q303" s="18">
        <v>5</v>
      </c>
      <c r="R303" s="18"/>
      <c r="S303" s="18">
        <f>IF(Q303="","",IF($F303="Projekt riadne ukončený (K)",R303,IF($G303&lt;=S$4,Q303,0)))</f>
        <v>5</v>
      </c>
      <c r="T303" s="18">
        <v>5</v>
      </c>
      <c r="U303" s="18"/>
      <c r="V303" s="18">
        <f>IF(T303="","",IF($F303="Projekt riadne ukončený (K)",U303,IF($G303&lt;=V$4,T303,0)))</f>
        <v>5</v>
      </c>
      <c r="W303" s="18">
        <v>3404.16</v>
      </c>
      <c r="X303" s="18"/>
      <c r="Y303" s="18">
        <f>IF(W303="","",IF($F303="Projekt riadne ukončený (K)",X303,IF($G303&lt;=Y$4,W303,0)))</f>
        <v>3404.16</v>
      </c>
      <c r="Z303" s="18">
        <v>181.02699999999999</v>
      </c>
      <c r="AA303" s="18"/>
      <c r="AB303" s="18">
        <f>IF(Z303="","",IF($F303="Projekt riadne ukončený (K)",AA303,IF($G303&lt;=AB$4,Z303,0)))</f>
        <v>181.02699999999999</v>
      </c>
      <c r="AC303" s="18">
        <v>374.51</v>
      </c>
      <c r="AD303" s="18"/>
      <c r="AE303" s="18">
        <f>IF(AC303="","",IF($F303="Projekt riadne ukončený (K)",AD303,IF($G303&lt;=AE$4,AC303,0)))</f>
        <v>374.51</v>
      </c>
      <c r="AF303" s="18">
        <v>193483</v>
      </c>
      <c r="AG303" s="18"/>
      <c r="AH303" s="18">
        <f>IF(AF303="","",IF($F303="Projekt riadne ukončený (K)",AG303,IF($G303&lt;=AH$4,AF303,0)))</f>
        <v>193483</v>
      </c>
      <c r="AI303" s="18">
        <v>149721</v>
      </c>
      <c r="AJ303" s="18"/>
      <c r="AK303" s="18">
        <f>IF(AI303="","",IF($F303="Projekt riadne ukončený (K)",AJ303,IF($G303&lt;=AK$4,AI303,0)))</f>
        <v>149721</v>
      </c>
      <c r="AL303" s="18">
        <v>27.8</v>
      </c>
      <c r="AM303" s="18"/>
      <c r="AN303" s="18">
        <f>IF(AL303="","",IF($F303="Projekt riadne ukončený (K)",AM303,IF($G303&lt;=AN$4,AL303,0)))</f>
        <v>27.8</v>
      </c>
      <c r="AO303" s="18">
        <v>3.9</v>
      </c>
      <c r="AP303" s="18"/>
      <c r="AQ303" s="18">
        <f>IF(AO303="","",IF($F303="Projekt riadne ukončený (K)",AP303,IF($G303&lt;=AQ$4,AO303,0)))</f>
        <v>3.9</v>
      </c>
      <c r="AR303" s="18">
        <v>0</v>
      </c>
      <c r="AS303" s="18"/>
      <c r="AT303" s="18">
        <f>IF(AR303="","",IF($F303="Projekt riadne ukončený (K)",AS303,IF($G303&lt;=AT$4,AR303,0)))</f>
        <v>0</v>
      </c>
      <c r="AU303" s="18">
        <v>247225</v>
      </c>
      <c r="AV303" s="18"/>
      <c r="AW303" s="18">
        <f>IF(AU303="","",IF($F303="Projekt riadne ukončený (K)",AV303,IF($G303&lt;=AW$4,AU303,0)))</f>
        <v>247225</v>
      </c>
      <c r="AX303" s="18">
        <v>0</v>
      </c>
      <c r="AY303" s="18"/>
      <c r="AZ303" s="18">
        <f>IF(AX303="","",IF($F303="Projekt riadne ukončený (K)",AY303,IF($G303&lt;=AZ$4,AX303,0)))</f>
        <v>0</v>
      </c>
      <c r="BA303" s="18">
        <v>0</v>
      </c>
      <c r="BB303" s="18"/>
      <c r="BC303" s="18">
        <f>IF(BA303="","",IF($F303="Projekt riadne ukončený (K)",BB303,IF($G303&lt;=BC$4,BA303,0)))</f>
        <v>0</v>
      </c>
      <c r="BD303" s="18">
        <v>0</v>
      </c>
      <c r="BE303" s="18"/>
      <c r="BF303" s="18">
        <f>IF(BD303="","",IF($F303="Projekt riadne ukončený (K)",BE303,IF($G303&lt;=BF$4,BD303,0)))</f>
        <v>0</v>
      </c>
    </row>
    <row r="304" spans="1:58" ht="63.75" x14ac:dyDescent="0.25">
      <c r="A304" s="124" t="s">
        <v>1119</v>
      </c>
      <c r="B304" s="124" t="s">
        <v>1468</v>
      </c>
      <c r="C304" s="18" t="s">
        <v>1472</v>
      </c>
      <c r="D304" s="18" t="s">
        <v>1473</v>
      </c>
      <c r="E304" s="18" t="s">
        <v>1474</v>
      </c>
      <c r="F304" s="18" t="s">
        <v>1414</v>
      </c>
      <c r="G304" s="119">
        <v>43405</v>
      </c>
      <c r="H304" s="18">
        <v>0</v>
      </c>
      <c r="I304" s="18"/>
      <c r="J304" s="18">
        <f>IF(H304="","",IF($F304="Projekt riadne ukončený (K)",I304,IF($G304&lt;=J$4,H304,0)))</f>
        <v>0</v>
      </c>
      <c r="K304" s="18">
        <v>0</v>
      </c>
      <c r="L304" s="18"/>
      <c r="M304" s="18">
        <f>IF(K304="","",IF($F304="Projekt riadne ukončený (K)",L304,IF($G304&lt;=M$4,K304,0)))</f>
        <v>0</v>
      </c>
      <c r="N304" s="18">
        <v>152</v>
      </c>
      <c r="O304" s="18"/>
      <c r="P304" s="18">
        <f>IF(N304="","",IF($F304="Projekt riadne ukončený (K)",O304,IF($G304&lt;=P$4,N304,0)))</f>
        <v>152</v>
      </c>
      <c r="Q304" s="18">
        <v>6</v>
      </c>
      <c r="R304" s="18"/>
      <c r="S304" s="18">
        <f>IF(Q304="","",IF($F304="Projekt riadne ukončený (K)",R304,IF($G304&lt;=S$4,Q304,0)))</f>
        <v>6</v>
      </c>
      <c r="T304" s="18">
        <v>1</v>
      </c>
      <c r="U304" s="18"/>
      <c r="V304" s="18">
        <f>IF(T304="","",IF($F304="Projekt riadne ukončený (K)",U304,IF($G304&lt;=V$4,T304,0)))</f>
        <v>1</v>
      </c>
      <c r="W304" s="18">
        <v>8722</v>
      </c>
      <c r="X304" s="18"/>
      <c r="Y304" s="18">
        <f>IF(W304="","",IF($F304="Projekt riadne ukončený (K)",X304,IF($G304&lt;=Y$4,W304,0)))</f>
        <v>8722</v>
      </c>
      <c r="Z304" s="18">
        <v>345.75299999999999</v>
      </c>
      <c r="AA304" s="18"/>
      <c r="AB304" s="18">
        <f>IF(Z304="","",IF($F304="Projekt riadne ukončený (K)",AA304,IF($G304&lt;=AB$4,Z304,0)))</f>
        <v>345.75299999999999</v>
      </c>
      <c r="AC304" s="18">
        <v>820.75199999999995</v>
      </c>
      <c r="AD304" s="18"/>
      <c r="AE304" s="18">
        <f>IF(AC304="","",IF($F304="Projekt riadne ukončený (K)",AD304,IF($G304&lt;=AE$4,AC304,0)))</f>
        <v>820.75199999999995</v>
      </c>
      <c r="AF304" s="18">
        <v>474999</v>
      </c>
      <c r="AG304" s="18"/>
      <c r="AH304" s="18">
        <f>IF(AF304="","",IF($F304="Projekt riadne ukončený (K)",AG304,IF($G304&lt;=AH$4,AF304,0)))</f>
        <v>474999</v>
      </c>
      <c r="AI304" s="18">
        <v>393207.03</v>
      </c>
      <c r="AJ304" s="18"/>
      <c r="AK304" s="18">
        <f>IF(AI304="","",IF($F304="Projekt riadne ukončený (K)",AJ304,IF($G304&lt;=AK$4,AI304,0)))</f>
        <v>393207.03</v>
      </c>
      <c r="AL304" s="18">
        <v>114</v>
      </c>
      <c r="AM304" s="18"/>
      <c r="AN304" s="18">
        <f>IF(AL304="","",IF($F304="Projekt riadne ukončený (K)",AM304,IF($G304&lt;=AN$4,AL304,0)))</f>
        <v>114</v>
      </c>
      <c r="AO304" s="18">
        <v>3</v>
      </c>
      <c r="AP304" s="18"/>
      <c r="AQ304" s="18">
        <f>IF(AO304="","",IF($F304="Projekt riadne ukončený (K)",AP304,IF($G304&lt;=AQ$4,AO304,0)))</f>
        <v>3</v>
      </c>
      <c r="AR304" s="18">
        <v>16</v>
      </c>
      <c r="AS304" s="18"/>
      <c r="AT304" s="18">
        <f>IF(AR304="","",IF($F304="Projekt riadne ukončený (K)",AS304,IF($G304&lt;=AT$4,AR304,0)))</f>
        <v>16</v>
      </c>
      <c r="AU304" s="18">
        <v>601294.68000000005</v>
      </c>
      <c r="AV304" s="18"/>
      <c r="AW304" s="18">
        <f>IF(AU304="","",IF($F304="Projekt riadne ukončený (K)",AV304,IF($G304&lt;=AW$4,AU304,0)))</f>
        <v>601294.68000000005</v>
      </c>
      <c r="AX304" s="18">
        <v>0</v>
      </c>
      <c r="AY304" s="18"/>
      <c r="AZ304" s="18">
        <f>IF(AX304="","",IF($F304="Projekt riadne ukončený (K)",AY304,IF($G304&lt;=AZ$4,AX304,0)))</f>
        <v>0</v>
      </c>
      <c r="BA304" s="18">
        <v>0</v>
      </c>
      <c r="BB304" s="18"/>
      <c r="BC304" s="18">
        <f>IF(BA304="","",IF($F304="Projekt riadne ukončený (K)",BB304,IF($G304&lt;=BC$4,BA304,0)))</f>
        <v>0</v>
      </c>
      <c r="BD304" s="18">
        <v>0</v>
      </c>
      <c r="BE304" s="18"/>
      <c r="BF304" s="18">
        <f>IF(BD304="","",IF($F304="Projekt riadne ukončený (K)",BE304,IF($G304&lt;=BF$4,BD304,0)))</f>
        <v>0</v>
      </c>
    </row>
    <row r="305" spans="1:58" x14ac:dyDescent="0.25">
      <c r="H305" s="18">
        <f>SUM(H303:H304)</f>
        <v>0</v>
      </c>
      <c r="I305" s="18">
        <f t="shared" ref="I305:BF305" si="89">SUM(I303:I304)</f>
        <v>0</v>
      </c>
      <c r="J305" s="18">
        <f t="shared" si="89"/>
        <v>0</v>
      </c>
      <c r="K305" s="18">
        <f t="shared" si="89"/>
        <v>0</v>
      </c>
      <c r="L305" s="18">
        <f t="shared" si="89"/>
        <v>0</v>
      </c>
      <c r="M305" s="18">
        <f t="shared" si="89"/>
        <v>0</v>
      </c>
      <c r="N305" s="18">
        <f t="shared" si="89"/>
        <v>205.6</v>
      </c>
      <c r="O305" s="18">
        <f t="shared" si="89"/>
        <v>0</v>
      </c>
      <c r="P305" s="18">
        <f t="shared" si="89"/>
        <v>205.6</v>
      </c>
      <c r="Q305" s="18">
        <f t="shared" si="89"/>
        <v>11</v>
      </c>
      <c r="R305" s="18">
        <f t="shared" si="89"/>
        <v>0</v>
      </c>
      <c r="S305" s="18">
        <f t="shared" si="89"/>
        <v>11</v>
      </c>
      <c r="T305" s="18">
        <f t="shared" si="89"/>
        <v>6</v>
      </c>
      <c r="U305" s="18">
        <f t="shared" si="89"/>
        <v>0</v>
      </c>
      <c r="V305" s="18">
        <f t="shared" si="89"/>
        <v>6</v>
      </c>
      <c r="W305" s="18">
        <f t="shared" si="89"/>
        <v>12126.16</v>
      </c>
      <c r="X305" s="18">
        <f t="shared" si="89"/>
        <v>0</v>
      </c>
      <c r="Y305" s="18">
        <f t="shared" si="89"/>
        <v>12126.16</v>
      </c>
      <c r="Z305" s="18">
        <f t="shared" si="89"/>
        <v>526.78</v>
      </c>
      <c r="AA305" s="18">
        <f t="shared" si="89"/>
        <v>0</v>
      </c>
      <c r="AB305" s="18">
        <f t="shared" si="89"/>
        <v>526.78</v>
      </c>
      <c r="AC305" s="18">
        <f t="shared" si="89"/>
        <v>1195.2619999999999</v>
      </c>
      <c r="AD305" s="18">
        <f t="shared" si="89"/>
        <v>0</v>
      </c>
      <c r="AE305" s="18">
        <f t="shared" si="89"/>
        <v>1195.2619999999999</v>
      </c>
      <c r="AF305" s="18">
        <f t="shared" si="89"/>
        <v>668482</v>
      </c>
      <c r="AG305" s="18">
        <f t="shared" si="89"/>
        <v>0</v>
      </c>
      <c r="AH305" s="18">
        <f t="shared" si="89"/>
        <v>668482</v>
      </c>
      <c r="AI305" s="18">
        <f t="shared" si="89"/>
        <v>542928.03</v>
      </c>
      <c r="AJ305" s="18">
        <f t="shared" si="89"/>
        <v>0</v>
      </c>
      <c r="AK305" s="18">
        <f t="shared" si="89"/>
        <v>542928.03</v>
      </c>
      <c r="AL305" s="18">
        <f t="shared" si="89"/>
        <v>141.80000000000001</v>
      </c>
      <c r="AM305" s="18">
        <f t="shared" si="89"/>
        <v>0</v>
      </c>
      <c r="AN305" s="18">
        <f t="shared" si="89"/>
        <v>141.80000000000001</v>
      </c>
      <c r="AO305" s="18">
        <f t="shared" si="89"/>
        <v>6.9</v>
      </c>
      <c r="AP305" s="18">
        <f t="shared" si="89"/>
        <v>0</v>
      </c>
      <c r="AQ305" s="18">
        <f t="shared" si="89"/>
        <v>6.9</v>
      </c>
      <c r="AR305" s="18">
        <f t="shared" si="89"/>
        <v>16</v>
      </c>
      <c r="AS305" s="18">
        <f t="shared" si="89"/>
        <v>0</v>
      </c>
      <c r="AT305" s="18">
        <f t="shared" si="89"/>
        <v>16</v>
      </c>
      <c r="AU305" s="18">
        <f t="shared" si="89"/>
        <v>848519.68000000005</v>
      </c>
      <c r="AV305" s="18">
        <f t="shared" si="89"/>
        <v>0</v>
      </c>
      <c r="AW305" s="18">
        <f t="shared" si="89"/>
        <v>848519.68000000005</v>
      </c>
      <c r="AX305" s="18">
        <f t="shared" si="89"/>
        <v>0</v>
      </c>
      <c r="AY305" s="18">
        <f t="shared" si="89"/>
        <v>0</v>
      </c>
      <c r="AZ305" s="18">
        <f t="shared" si="89"/>
        <v>0</v>
      </c>
      <c r="BA305" s="18">
        <f t="shared" si="89"/>
        <v>0</v>
      </c>
      <c r="BB305" s="18">
        <f t="shared" si="89"/>
        <v>0</v>
      </c>
      <c r="BC305" s="18">
        <f t="shared" si="89"/>
        <v>0</v>
      </c>
      <c r="BD305" s="18">
        <f t="shared" si="89"/>
        <v>0</v>
      </c>
      <c r="BE305" s="18">
        <f t="shared" si="89"/>
        <v>0</v>
      </c>
      <c r="BF305" s="18">
        <f t="shared" si="89"/>
        <v>0</v>
      </c>
    </row>
    <row r="306" spans="1:58" x14ac:dyDescent="0.25">
      <c r="H306" s="18">
        <f>COUNT(H303:H304)</f>
        <v>2</v>
      </c>
      <c r="I306" s="18">
        <f t="shared" ref="I306:BF306" si="90">COUNT(I303:I304)</f>
        <v>0</v>
      </c>
      <c r="J306" s="18">
        <f t="shared" si="90"/>
        <v>2</v>
      </c>
      <c r="K306" s="18">
        <f t="shared" si="90"/>
        <v>2</v>
      </c>
      <c r="L306" s="18">
        <f t="shared" si="90"/>
        <v>0</v>
      </c>
      <c r="M306" s="18">
        <f t="shared" si="90"/>
        <v>2</v>
      </c>
      <c r="N306" s="18">
        <f t="shared" si="90"/>
        <v>2</v>
      </c>
      <c r="O306" s="18">
        <f t="shared" si="90"/>
        <v>0</v>
      </c>
      <c r="P306" s="18">
        <f t="shared" si="90"/>
        <v>2</v>
      </c>
      <c r="Q306" s="18">
        <f t="shared" si="90"/>
        <v>2</v>
      </c>
      <c r="R306" s="18">
        <f t="shared" si="90"/>
        <v>0</v>
      </c>
      <c r="S306" s="18">
        <f t="shared" si="90"/>
        <v>2</v>
      </c>
      <c r="T306" s="18">
        <f t="shared" si="90"/>
        <v>2</v>
      </c>
      <c r="U306" s="18">
        <f t="shared" si="90"/>
        <v>0</v>
      </c>
      <c r="V306" s="18">
        <f t="shared" si="90"/>
        <v>2</v>
      </c>
      <c r="W306" s="18">
        <f t="shared" si="90"/>
        <v>2</v>
      </c>
      <c r="X306" s="18">
        <f t="shared" si="90"/>
        <v>0</v>
      </c>
      <c r="Y306" s="18">
        <f t="shared" si="90"/>
        <v>2</v>
      </c>
      <c r="Z306" s="18">
        <f t="shared" si="90"/>
        <v>2</v>
      </c>
      <c r="AA306" s="18">
        <f t="shared" si="90"/>
        <v>0</v>
      </c>
      <c r="AB306" s="18">
        <f t="shared" si="90"/>
        <v>2</v>
      </c>
      <c r="AC306" s="18">
        <f t="shared" si="90"/>
        <v>2</v>
      </c>
      <c r="AD306" s="18">
        <f t="shared" si="90"/>
        <v>0</v>
      </c>
      <c r="AE306" s="18">
        <f t="shared" si="90"/>
        <v>2</v>
      </c>
      <c r="AF306" s="18">
        <f t="shared" si="90"/>
        <v>2</v>
      </c>
      <c r="AG306" s="18">
        <f t="shared" si="90"/>
        <v>0</v>
      </c>
      <c r="AH306" s="18">
        <f t="shared" si="90"/>
        <v>2</v>
      </c>
      <c r="AI306" s="18">
        <f t="shared" si="90"/>
        <v>2</v>
      </c>
      <c r="AJ306" s="18">
        <f t="shared" si="90"/>
        <v>0</v>
      </c>
      <c r="AK306" s="18">
        <f t="shared" si="90"/>
        <v>2</v>
      </c>
      <c r="AL306" s="18">
        <f t="shared" si="90"/>
        <v>2</v>
      </c>
      <c r="AM306" s="18">
        <f t="shared" si="90"/>
        <v>0</v>
      </c>
      <c r="AN306" s="18">
        <f t="shared" si="90"/>
        <v>2</v>
      </c>
      <c r="AO306" s="18">
        <f t="shared" si="90"/>
        <v>2</v>
      </c>
      <c r="AP306" s="18">
        <f t="shared" si="90"/>
        <v>0</v>
      </c>
      <c r="AQ306" s="18">
        <f t="shared" si="90"/>
        <v>2</v>
      </c>
      <c r="AR306" s="18">
        <f t="shared" si="90"/>
        <v>2</v>
      </c>
      <c r="AS306" s="18">
        <f t="shared" si="90"/>
        <v>0</v>
      </c>
      <c r="AT306" s="18">
        <f t="shared" si="90"/>
        <v>2</v>
      </c>
      <c r="AU306" s="18">
        <f t="shared" si="90"/>
        <v>2</v>
      </c>
      <c r="AV306" s="18">
        <f t="shared" si="90"/>
        <v>0</v>
      </c>
      <c r="AW306" s="18">
        <f t="shared" si="90"/>
        <v>2</v>
      </c>
      <c r="AX306" s="18">
        <f t="shared" si="90"/>
        <v>2</v>
      </c>
      <c r="AY306" s="18">
        <f t="shared" si="90"/>
        <v>0</v>
      </c>
      <c r="AZ306" s="18">
        <f t="shared" si="90"/>
        <v>2</v>
      </c>
      <c r="BA306" s="18">
        <f t="shared" si="90"/>
        <v>2</v>
      </c>
      <c r="BB306" s="18">
        <f t="shared" si="90"/>
        <v>0</v>
      </c>
      <c r="BC306" s="18">
        <f t="shared" si="90"/>
        <v>2</v>
      </c>
      <c r="BD306" s="18">
        <f t="shared" si="90"/>
        <v>2</v>
      </c>
      <c r="BE306" s="18">
        <f t="shared" si="90"/>
        <v>0</v>
      </c>
      <c r="BF306" s="18">
        <f t="shared" si="90"/>
        <v>2</v>
      </c>
    </row>
    <row r="309" spans="1:58" x14ac:dyDescent="0.25">
      <c r="A309" s="121"/>
      <c r="B309" s="121"/>
    </row>
    <row r="310" spans="1:58" x14ac:dyDescent="0.25">
      <c r="A310" s="121"/>
      <c r="B310" s="121"/>
    </row>
  </sheetData>
  <mergeCells count="58">
    <mergeCell ref="BA1:BB1"/>
    <mergeCell ref="BD1:BE1"/>
    <mergeCell ref="AI1:AJ1"/>
    <mergeCell ref="AL1:AM1"/>
    <mergeCell ref="AO1:AP1"/>
    <mergeCell ref="AR1:AS1"/>
    <mergeCell ref="AU1:AV1"/>
    <mergeCell ref="AX1:AY1"/>
    <mergeCell ref="BA3:BB3"/>
    <mergeCell ref="BD3:BE3"/>
    <mergeCell ref="K1:L1"/>
    <mergeCell ref="N1:O1"/>
    <mergeCell ref="Q1:R1"/>
    <mergeCell ref="T1:U1"/>
    <mergeCell ref="W1:X1"/>
    <mergeCell ref="Z1:AA1"/>
    <mergeCell ref="AC1:AD1"/>
    <mergeCell ref="AF1:AG1"/>
    <mergeCell ref="AI3:AJ3"/>
    <mergeCell ref="AL3:AM3"/>
    <mergeCell ref="AO3:AP3"/>
    <mergeCell ref="AR3:AS3"/>
    <mergeCell ref="AU3:AV3"/>
    <mergeCell ref="AX3:AY3"/>
    <mergeCell ref="BA2:BB2"/>
    <mergeCell ref="BD2:BE2"/>
    <mergeCell ref="K3:L3"/>
    <mergeCell ref="N3:O3"/>
    <mergeCell ref="Q3:R3"/>
    <mergeCell ref="T3:U3"/>
    <mergeCell ref="W3:X3"/>
    <mergeCell ref="Z3:AA3"/>
    <mergeCell ref="AC3:AD3"/>
    <mergeCell ref="AF3:AG3"/>
    <mergeCell ref="AI2:AJ2"/>
    <mergeCell ref="AL2:AM2"/>
    <mergeCell ref="AO2:AP2"/>
    <mergeCell ref="AR2:AS2"/>
    <mergeCell ref="AU2:AV2"/>
    <mergeCell ref="AX2:AY2"/>
    <mergeCell ref="AF2:AG2"/>
    <mergeCell ref="G1:G4"/>
    <mergeCell ref="H1:I1"/>
    <mergeCell ref="H2:I2"/>
    <mergeCell ref="H3:I3"/>
    <mergeCell ref="K2:L2"/>
    <mergeCell ref="N2:O2"/>
    <mergeCell ref="Q2:R2"/>
    <mergeCell ref="T2:U2"/>
    <mergeCell ref="W2:X2"/>
    <mergeCell ref="Z2:AA2"/>
    <mergeCell ref="AC2:AD2"/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"/>
  <sheetViews>
    <sheetView workbookViewId="0">
      <selection activeCell="J4" sqref="J4"/>
    </sheetView>
  </sheetViews>
  <sheetFormatPr defaultRowHeight="15" x14ac:dyDescent="0.25"/>
  <cols>
    <col min="8" max="57" width="10" customWidth="1"/>
  </cols>
  <sheetData>
    <row r="1" spans="1:58" ht="34.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431</v>
      </c>
      <c r="I1" s="1207"/>
      <c r="J1" s="129"/>
      <c r="K1" s="1207" t="s">
        <v>433</v>
      </c>
      <c r="L1" s="1207"/>
      <c r="M1" s="129"/>
      <c r="N1" s="1207" t="s">
        <v>439</v>
      </c>
      <c r="O1" s="1207"/>
      <c r="P1" s="129"/>
      <c r="Q1" s="1207" t="s">
        <v>180</v>
      </c>
      <c r="R1" s="1207"/>
      <c r="S1" s="129"/>
      <c r="T1" s="1207" t="s">
        <v>407</v>
      </c>
      <c r="U1" s="1207"/>
      <c r="V1" s="129"/>
      <c r="W1" s="1207" t="s">
        <v>176</v>
      </c>
      <c r="X1" s="1207"/>
      <c r="Y1" s="129"/>
      <c r="Z1" s="1207" t="s">
        <v>444</v>
      </c>
      <c r="AA1" s="1207"/>
      <c r="AB1" s="129"/>
      <c r="AC1" s="1207" t="s">
        <v>156</v>
      </c>
      <c r="AD1" s="1207"/>
      <c r="AE1" s="129"/>
      <c r="AF1" s="1207" t="s">
        <v>441</v>
      </c>
      <c r="AG1" s="1207"/>
      <c r="AH1" s="129"/>
      <c r="AI1" s="1207" t="s">
        <v>210</v>
      </c>
      <c r="AJ1" s="1207"/>
      <c r="AK1" s="129"/>
      <c r="AL1" s="1207" t="s">
        <v>216</v>
      </c>
      <c r="AM1" s="1207"/>
      <c r="AN1" s="129"/>
      <c r="AO1" s="1207" t="s">
        <v>156</v>
      </c>
      <c r="AP1" s="1207"/>
      <c r="AQ1" s="129"/>
      <c r="AR1" s="1207" t="s">
        <v>435</v>
      </c>
      <c r="AS1" s="1207"/>
      <c r="AT1" s="129"/>
      <c r="AU1" s="1207" t="s">
        <v>174</v>
      </c>
      <c r="AV1" s="1207"/>
      <c r="AW1" s="129"/>
      <c r="AX1" s="1207" t="s">
        <v>437</v>
      </c>
      <c r="AY1" s="1207"/>
      <c r="AZ1" s="129"/>
      <c r="BA1" s="1207" t="s">
        <v>447</v>
      </c>
      <c r="BB1" s="1207"/>
      <c r="BC1" s="129"/>
      <c r="BD1" s="1207" t="s">
        <v>1416</v>
      </c>
      <c r="BE1" s="1207"/>
    </row>
    <row r="2" spans="1:58" x14ac:dyDescent="0.25">
      <c r="A2" s="1201"/>
      <c r="B2" s="1201"/>
      <c r="C2" s="1201"/>
      <c r="D2" s="1201"/>
      <c r="E2" s="1201"/>
      <c r="F2" s="1201"/>
      <c r="G2" s="1201"/>
      <c r="H2" s="1208" t="s">
        <v>430</v>
      </c>
      <c r="I2" s="1208"/>
      <c r="J2" s="128"/>
      <c r="K2" s="1208" t="s">
        <v>432</v>
      </c>
      <c r="L2" s="1208"/>
      <c r="M2" s="128"/>
      <c r="N2" s="1208" t="s">
        <v>438</v>
      </c>
      <c r="O2" s="1208"/>
      <c r="P2" s="128"/>
      <c r="Q2" s="1208" t="s">
        <v>442</v>
      </c>
      <c r="R2" s="1208"/>
      <c r="S2" s="128"/>
      <c r="T2" s="1208" t="s">
        <v>406</v>
      </c>
      <c r="U2" s="1208"/>
      <c r="V2" s="128"/>
      <c r="W2" s="1208" t="s">
        <v>408</v>
      </c>
      <c r="X2" s="1208"/>
      <c r="Y2" s="128"/>
      <c r="Z2" s="1208" t="s">
        <v>443</v>
      </c>
      <c r="AA2" s="1208"/>
      <c r="AB2" s="128"/>
      <c r="AC2" s="1208" t="s">
        <v>403</v>
      </c>
      <c r="AD2" s="1208"/>
      <c r="AE2" s="128"/>
      <c r="AF2" s="1208" t="s">
        <v>440</v>
      </c>
      <c r="AG2" s="1208"/>
      <c r="AH2" s="128"/>
      <c r="AI2" s="1208" t="s">
        <v>209</v>
      </c>
      <c r="AJ2" s="1208"/>
      <c r="AK2" s="128"/>
      <c r="AL2" s="1208" t="s">
        <v>215</v>
      </c>
      <c r="AM2" s="1208"/>
      <c r="AN2" s="128"/>
      <c r="AO2" s="1208" t="s">
        <v>403</v>
      </c>
      <c r="AP2" s="1208"/>
      <c r="AQ2" s="128"/>
      <c r="AR2" s="1208" t="s">
        <v>434</v>
      </c>
      <c r="AS2" s="1208"/>
      <c r="AT2" s="128"/>
      <c r="AU2" s="1208" t="s">
        <v>445</v>
      </c>
      <c r="AV2" s="1208"/>
      <c r="AW2" s="128"/>
      <c r="AX2" s="1208" t="s">
        <v>436</v>
      </c>
      <c r="AY2" s="1208"/>
      <c r="AZ2" s="128"/>
      <c r="BA2" s="1208" t="s">
        <v>446</v>
      </c>
      <c r="BB2" s="1208"/>
      <c r="BC2" s="128"/>
      <c r="BD2" s="1208" t="s">
        <v>1415</v>
      </c>
      <c r="BE2" s="1208"/>
    </row>
    <row r="3" spans="1:58" x14ac:dyDescent="0.25">
      <c r="A3" s="1201"/>
      <c r="B3" s="1201"/>
      <c r="C3" s="1201"/>
      <c r="D3" s="1201"/>
      <c r="E3" s="1201"/>
      <c r="F3" s="1201"/>
      <c r="G3" s="1201"/>
      <c r="H3" s="1208" t="s">
        <v>587</v>
      </c>
      <c r="I3" s="1208"/>
      <c r="J3" s="128"/>
      <c r="K3" s="1208" t="s">
        <v>587</v>
      </c>
      <c r="L3" s="1208"/>
      <c r="M3" s="128"/>
      <c r="N3" s="1208" t="s">
        <v>587</v>
      </c>
      <c r="O3" s="1208"/>
      <c r="P3" s="128"/>
      <c r="Q3" s="1208" t="s">
        <v>587</v>
      </c>
      <c r="R3" s="1208"/>
      <c r="S3" s="128"/>
      <c r="T3" s="1208" t="s">
        <v>589</v>
      </c>
      <c r="U3" s="1208"/>
      <c r="V3" s="128"/>
      <c r="W3" s="1208" t="s">
        <v>589</v>
      </c>
      <c r="X3" s="1208"/>
      <c r="Y3" s="128"/>
      <c r="Z3" s="1208" t="s">
        <v>589</v>
      </c>
      <c r="AA3" s="1208"/>
      <c r="AB3" s="128"/>
      <c r="AC3" s="1208" t="s">
        <v>586</v>
      </c>
      <c r="AD3" s="1208"/>
      <c r="AE3" s="128"/>
      <c r="AF3" s="1208" t="s">
        <v>586</v>
      </c>
      <c r="AG3" s="1208"/>
      <c r="AH3" s="128"/>
      <c r="AI3" s="1208" t="s">
        <v>546</v>
      </c>
      <c r="AJ3" s="1208"/>
      <c r="AK3" s="128"/>
      <c r="AL3" s="1208" t="s">
        <v>546</v>
      </c>
      <c r="AM3" s="1208"/>
      <c r="AN3" s="128"/>
      <c r="AO3" s="1208" t="s">
        <v>588</v>
      </c>
      <c r="AP3" s="1208"/>
      <c r="AQ3" s="128"/>
      <c r="AR3" s="1208" t="s">
        <v>588</v>
      </c>
      <c r="AS3" s="1208"/>
      <c r="AT3" s="128"/>
      <c r="AU3" s="1208" t="s">
        <v>588</v>
      </c>
      <c r="AV3" s="1208"/>
      <c r="AW3" s="128"/>
      <c r="AX3" s="1208" t="s">
        <v>591</v>
      </c>
      <c r="AY3" s="1208"/>
      <c r="AZ3" s="128"/>
      <c r="BA3" s="1208" t="s">
        <v>591</v>
      </c>
      <c r="BB3" s="1208"/>
      <c r="BC3" s="128"/>
      <c r="BD3" s="1208" t="s">
        <v>591</v>
      </c>
      <c r="BE3" s="1208"/>
    </row>
    <row r="4" spans="1:58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</row>
    <row r="5" spans="1:58" ht="51" x14ac:dyDescent="0.25">
      <c r="A5" s="124" t="s">
        <v>1417</v>
      </c>
      <c r="B5" s="124" t="s">
        <v>1418</v>
      </c>
      <c r="C5" s="18" t="s">
        <v>1419</v>
      </c>
      <c r="D5" s="18" t="s">
        <v>1420</v>
      </c>
      <c r="E5" s="18" t="s">
        <v>1095</v>
      </c>
      <c r="F5" s="18" t="s">
        <v>1111</v>
      </c>
      <c r="G5" s="119">
        <v>45291</v>
      </c>
      <c r="H5" s="18"/>
      <c r="I5" s="18"/>
      <c r="J5" s="18" t="str">
        <f>IF(H5="","",IF($F5="Projekt riadne ukončený (K)",I5,IF($G5&lt;=J$4,H5,0)))</f>
        <v/>
      </c>
      <c r="K5" s="18"/>
      <c r="L5" s="18"/>
      <c r="M5" s="18" t="str">
        <f>IF(K5="","",IF($F5="Projekt riadne ukončený (K)",L5,IF($G5&lt;=M$4,K5,0)))</f>
        <v/>
      </c>
      <c r="N5" s="18"/>
      <c r="O5" s="18"/>
      <c r="P5" s="18" t="str">
        <f>IF(N5="","",IF($F5="Projekt riadne ukončený (K)",O5,IF($G5&lt;=P$4,N5,0)))</f>
        <v/>
      </c>
      <c r="Q5" s="18"/>
      <c r="R5" s="18"/>
      <c r="S5" s="18" t="str">
        <f>IF(Q5="","",IF($F5="Projekt riadne ukončený (K)",R5,IF($G5&lt;=S$4,Q5,0)))</f>
        <v/>
      </c>
      <c r="T5" s="18"/>
      <c r="U5" s="18"/>
      <c r="V5" s="18" t="str">
        <f>IF(T5="","",IF($F5="Projekt riadne ukončený (K)",U5,IF($G5&lt;=V$4,T5,0)))</f>
        <v/>
      </c>
      <c r="W5" s="18"/>
      <c r="X5" s="18"/>
      <c r="Y5" s="18" t="str">
        <f>IF(W5="","",IF($F5="Projekt riadne ukončený (K)",X5,IF($G5&lt;=Y$4,W5,0)))</f>
        <v/>
      </c>
      <c r="Z5" s="18"/>
      <c r="AA5" s="18"/>
      <c r="AB5" s="18" t="str">
        <f>IF(Z5="","",IF($F5="Projekt riadne ukončený (K)",AA5,IF($G5&lt;=AB$4,Z5,0)))</f>
        <v/>
      </c>
      <c r="AC5" s="18"/>
      <c r="AD5" s="18"/>
      <c r="AE5" s="18" t="str">
        <f>IF(AC5="","",IF($F5="Projekt riadne ukončený (K)",AD5,IF($G5&lt;=AE$4,AC5,0)))</f>
        <v/>
      </c>
      <c r="AF5" s="18"/>
      <c r="AG5" s="18"/>
      <c r="AH5" s="18" t="str">
        <f>IF(AF5="","",IF($F5="Projekt riadne ukončený (K)",AG5,IF($G5&lt;=AH$4,AF5,0)))</f>
        <v/>
      </c>
      <c r="AI5" s="18">
        <v>6500</v>
      </c>
      <c r="AJ5" s="18">
        <v>39690</v>
      </c>
      <c r="AK5" s="18">
        <f>IF(AI5="","",IF($F5="Projekt riadne ukončený (K)",AJ5,IF($G5&lt;=AK$4,AI5,0)))</f>
        <v>0</v>
      </c>
      <c r="AL5" s="18">
        <v>2500</v>
      </c>
      <c r="AM5" s="18">
        <v>18</v>
      </c>
      <c r="AN5" s="18">
        <f>IF(AL5="","",IF($F5="Projekt riadne ukončený (K)",AM5,IF($G5&lt;=AN$4,AL5,0)))</f>
        <v>0</v>
      </c>
      <c r="AO5" s="18"/>
      <c r="AP5" s="18"/>
      <c r="AQ5" s="18" t="str">
        <f>IF(AO5="","",IF($F5="Projekt riadne ukončený (K)",AP5,IF($G5&lt;=AQ$4,AO5,0)))</f>
        <v/>
      </c>
      <c r="AR5" s="18"/>
      <c r="AS5" s="18"/>
      <c r="AT5" s="18" t="str">
        <f>IF(AR5="","",IF($F5="Projekt riadne ukončený (K)",AS5,IF($G5&lt;=AT$4,AR5,0)))</f>
        <v/>
      </c>
      <c r="AU5" s="18"/>
      <c r="AV5" s="18"/>
      <c r="AW5" s="18" t="str">
        <f>IF(AU5="","",IF($F5="Projekt riadne ukončený (K)",AV5,IF($G5&lt;=AW$4,AU5,0)))</f>
        <v/>
      </c>
      <c r="AX5" s="18"/>
      <c r="AY5" s="18"/>
      <c r="AZ5" s="18" t="str">
        <f>IF(AX5="","",IF($F5="Projekt riadne ukončený (K)",AY5,IF($G5&lt;=AZ$4,AX5,0)))</f>
        <v/>
      </c>
      <c r="BA5" s="18"/>
      <c r="BB5" s="18"/>
      <c r="BC5" s="18" t="str">
        <f>IF(BA5="","",IF($F5="Projekt riadne ukončený (K)",BB5,IF($G5&lt;=BC$4,BA5,0)))</f>
        <v/>
      </c>
      <c r="BD5" s="18"/>
      <c r="BE5" s="18"/>
      <c r="BF5" s="18" t="str">
        <f>IF(BD5="","",IF($F5="Projekt riadne ukončený (K)",BE5,IF($G5&lt;=BF$4,BD5,0)))</f>
        <v/>
      </c>
    </row>
    <row r="6" spans="1:58" x14ac:dyDescent="0.25">
      <c r="H6" s="18">
        <f t="shared" ref="H6:BE6" si="0">SUM(H5:H5)</f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0</v>
      </c>
      <c r="AG6" s="18">
        <f t="shared" si="0"/>
        <v>0</v>
      </c>
      <c r="AH6" s="18">
        <f t="shared" si="0"/>
        <v>0</v>
      </c>
      <c r="AI6" s="18">
        <f t="shared" si="0"/>
        <v>6500</v>
      </c>
      <c r="AJ6" s="18">
        <f t="shared" si="0"/>
        <v>39690</v>
      </c>
      <c r="AK6" s="18">
        <f t="shared" si="0"/>
        <v>0</v>
      </c>
      <c r="AL6" s="18">
        <f t="shared" si="0"/>
        <v>2500</v>
      </c>
      <c r="AM6" s="18">
        <f t="shared" si="0"/>
        <v>18</v>
      </c>
      <c r="AN6" s="18">
        <f t="shared" si="0"/>
        <v>0</v>
      </c>
      <c r="AO6" s="18">
        <f t="shared" si="0"/>
        <v>0</v>
      </c>
      <c r="AP6" s="18">
        <f t="shared" si="0"/>
        <v>0</v>
      </c>
      <c r="AQ6" s="18">
        <f t="shared" si="0"/>
        <v>0</v>
      </c>
      <c r="AR6" s="18">
        <f t="shared" si="0"/>
        <v>0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0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0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0</v>
      </c>
      <c r="BF6" s="18">
        <f t="shared" ref="BF6" si="1">SUM(BF5:BF5)</f>
        <v>0</v>
      </c>
    </row>
    <row r="7" spans="1:58" x14ac:dyDescent="0.25">
      <c r="H7" s="18">
        <f t="shared" ref="H7:BE7" si="2">COUNT(H5:H5)</f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1</v>
      </c>
      <c r="AJ7" s="18">
        <f t="shared" si="2"/>
        <v>1</v>
      </c>
      <c r="AK7" s="18">
        <f t="shared" si="2"/>
        <v>1</v>
      </c>
      <c r="AL7" s="18">
        <f t="shared" si="2"/>
        <v>1</v>
      </c>
      <c r="AM7" s="18">
        <f t="shared" si="2"/>
        <v>1</v>
      </c>
      <c r="AN7" s="18">
        <f t="shared" si="2"/>
        <v>1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2"/>
        <v>0</v>
      </c>
      <c r="AY7" s="18">
        <f t="shared" si="2"/>
        <v>0</v>
      </c>
      <c r="AZ7" s="18">
        <f t="shared" si="2"/>
        <v>0</v>
      </c>
      <c r="BA7" s="18">
        <f t="shared" si="2"/>
        <v>0</v>
      </c>
      <c r="BB7" s="18">
        <f t="shared" si="2"/>
        <v>0</v>
      </c>
      <c r="BC7" s="18">
        <f t="shared" si="2"/>
        <v>0</v>
      </c>
      <c r="BD7" s="18">
        <f t="shared" si="2"/>
        <v>0</v>
      </c>
      <c r="BE7" s="18">
        <f t="shared" si="2"/>
        <v>0</v>
      </c>
      <c r="BF7" s="18">
        <f t="shared" ref="BF7" si="3">COUNT(BF5:BF5)</f>
        <v>0</v>
      </c>
    </row>
  </sheetData>
  <mergeCells count="58">
    <mergeCell ref="F1:F4"/>
    <mergeCell ref="A1:A4"/>
    <mergeCell ref="B1:B4"/>
    <mergeCell ref="C1:C4"/>
    <mergeCell ref="D1:D4"/>
    <mergeCell ref="E1:E4"/>
    <mergeCell ref="T1:U1"/>
    <mergeCell ref="H2:I2"/>
    <mergeCell ref="K2:L2"/>
    <mergeCell ref="N2:O2"/>
    <mergeCell ref="Q2:R2"/>
    <mergeCell ref="T2:U2"/>
    <mergeCell ref="G1:G4"/>
    <mergeCell ref="H1:I1"/>
    <mergeCell ref="K1:L1"/>
    <mergeCell ref="N1:O1"/>
    <mergeCell ref="Q1:R1"/>
    <mergeCell ref="H3:I3"/>
    <mergeCell ref="K3:L3"/>
    <mergeCell ref="N3:O3"/>
    <mergeCell ref="Q3:R3"/>
    <mergeCell ref="BD1:BE1"/>
    <mergeCell ref="W1:X1"/>
    <mergeCell ref="Z1:AA1"/>
    <mergeCell ref="AC1:AD1"/>
    <mergeCell ref="AF1:AG1"/>
    <mergeCell ref="AI1:AJ1"/>
    <mergeCell ref="AL1:AM1"/>
    <mergeCell ref="AO1:AP1"/>
    <mergeCell ref="AR1:AS1"/>
    <mergeCell ref="AU1:AV1"/>
    <mergeCell ref="AX1:AY1"/>
    <mergeCell ref="BA1:BB1"/>
    <mergeCell ref="W2:X2"/>
    <mergeCell ref="Z2:AA2"/>
    <mergeCell ref="AC2:AD2"/>
    <mergeCell ref="AF2:AG2"/>
    <mergeCell ref="BD2:BE2"/>
    <mergeCell ref="AL2:AM2"/>
    <mergeCell ref="AO2:AP2"/>
    <mergeCell ref="AR2:AS2"/>
    <mergeCell ref="AU2:AV2"/>
    <mergeCell ref="AX2:AY2"/>
    <mergeCell ref="BA2:BB2"/>
    <mergeCell ref="AI2:AJ2"/>
    <mergeCell ref="T3:U3"/>
    <mergeCell ref="W3:X3"/>
    <mergeCell ref="Z3:AA3"/>
    <mergeCell ref="AC3:AD3"/>
    <mergeCell ref="AF3:AG3"/>
    <mergeCell ref="BA3:BB3"/>
    <mergeCell ref="BD3:BE3"/>
    <mergeCell ref="AI3:AJ3"/>
    <mergeCell ref="AL3:AM3"/>
    <mergeCell ref="AO3:AP3"/>
    <mergeCell ref="AR3:AS3"/>
    <mergeCell ref="AU3:AV3"/>
    <mergeCell ref="AX3:AY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zoomScaleNormal="100" workbookViewId="0">
      <selection activeCell="M4" sqref="M4"/>
    </sheetView>
  </sheetViews>
  <sheetFormatPr defaultRowHeight="15" x14ac:dyDescent="0.25"/>
  <cols>
    <col min="1" max="1" width="12.5703125" bestFit="1" customWidth="1"/>
    <col min="4" max="4" width="45.28515625" customWidth="1"/>
    <col min="8" max="27" width="9.85546875" customWidth="1"/>
    <col min="41" max="41" width="9.140625" customWidth="1"/>
  </cols>
  <sheetData>
    <row r="1" spans="1:28" ht="45.7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146</v>
      </c>
      <c r="I1" s="1207"/>
      <c r="J1" s="132"/>
      <c r="K1" s="1211" t="s">
        <v>182</v>
      </c>
      <c r="L1" s="1212"/>
      <c r="M1" s="134"/>
      <c r="N1" s="1211" t="s">
        <v>184</v>
      </c>
      <c r="O1" s="1212"/>
      <c r="P1" s="134"/>
      <c r="Q1" s="1211" t="s">
        <v>186</v>
      </c>
      <c r="R1" s="1212"/>
      <c r="S1" s="134"/>
      <c r="T1" s="1211" t="s">
        <v>146</v>
      </c>
      <c r="U1" s="1212"/>
      <c r="V1" s="134"/>
      <c r="W1" s="1211" t="s">
        <v>452</v>
      </c>
      <c r="X1" s="1212"/>
      <c r="Y1" s="134"/>
      <c r="Z1" s="1211" t="s">
        <v>188</v>
      </c>
      <c r="AA1" s="1212"/>
    </row>
    <row r="2" spans="1:28" x14ac:dyDescent="0.25">
      <c r="A2" s="1201"/>
      <c r="B2" s="1201"/>
      <c r="C2" s="1201"/>
      <c r="D2" s="1201"/>
      <c r="E2" s="1201"/>
      <c r="F2" s="1201"/>
      <c r="G2" s="1201"/>
      <c r="H2" s="1208" t="s">
        <v>396</v>
      </c>
      <c r="I2" s="1208"/>
      <c r="J2" s="130"/>
      <c r="K2" s="1209" t="s">
        <v>449</v>
      </c>
      <c r="L2" s="1210"/>
      <c r="M2" s="135"/>
      <c r="N2" s="1209" t="s">
        <v>450</v>
      </c>
      <c r="O2" s="1210"/>
      <c r="P2" s="135"/>
      <c r="Q2" s="1209" t="s">
        <v>448</v>
      </c>
      <c r="R2" s="1210"/>
      <c r="S2" s="135"/>
      <c r="T2" s="1209" t="s">
        <v>396</v>
      </c>
      <c r="U2" s="1210"/>
      <c r="V2" s="135"/>
      <c r="W2" s="1209" t="s">
        <v>451</v>
      </c>
      <c r="X2" s="1210"/>
      <c r="Y2" s="135"/>
      <c r="Z2" s="1209" t="s">
        <v>453</v>
      </c>
      <c r="AA2" s="1210"/>
    </row>
    <row r="3" spans="1:28" x14ac:dyDescent="0.25">
      <c r="A3" s="1201"/>
      <c r="B3" s="1201"/>
      <c r="C3" s="1201"/>
      <c r="D3" s="1201"/>
      <c r="E3" s="1201"/>
      <c r="F3" s="1201"/>
      <c r="G3" s="1201"/>
      <c r="H3" s="1208" t="s">
        <v>583</v>
      </c>
      <c r="I3" s="1208"/>
      <c r="J3" s="130"/>
      <c r="K3" s="1209" t="s">
        <v>583</v>
      </c>
      <c r="L3" s="1210"/>
      <c r="M3" s="135"/>
      <c r="N3" s="1209" t="s">
        <v>583</v>
      </c>
      <c r="O3" s="1210"/>
      <c r="P3" s="135"/>
      <c r="Q3" s="1209" t="s">
        <v>584</v>
      </c>
      <c r="R3" s="1210"/>
      <c r="S3" s="135"/>
      <c r="T3" s="1209" t="s">
        <v>584</v>
      </c>
      <c r="U3" s="1210"/>
      <c r="V3" s="135"/>
      <c r="W3" s="1209" t="s">
        <v>584</v>
      </c>
      <c r="X3" s="1210"/>
      <c r="Y3" s="135"/>
      <c r="Z3" s="1209" t="s">
        <v>584</v>
      </c>
      <c r="AA3" s="1210"/>
    </row>
    <row r="4" spans="1:28" ht="25.5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</row>
    <row r="5" spans="1:28" ht="51" x14ac:dyDescent="0.25">
      <c r="A5" s="124" t="s">
        <v>1421</v>
      </c>
      <c r="B5" s="124" t="s">
        <v>1425</v>
      </c>
      <c r="C5" s="124" t="s">
        <v>1426</v>
      </c>
      <c r="D5" s="124" t="s">
        <v>1430</v>
      </c>
      <c r="E5" s="124" t="s">
        <v>1063</v>
      </c>
      <c r="F5" s="124" t="s">
        <v>1097</v>
      </c>
      <c r="G5" s="61">
        <v>43646</v>
      </c>
      <c r="H5" s="18">
        <v>1007</v>
      </c>
      <c r="I5" s="18"/>
      <c r="J5" s="18">
        <f>IF(H5="","",IF($F5="Projekt riadne ukončený (K)",I5,IF($G5&lt;=J$4,H5,0)))</f>
        <v>0</v>
      </c>
      <c r="K5" s="18">
        <v>1</v>
      </c>
      <c r="L5" s="18"/>
      <c r="M5" s="18">
        <f>IF(K5="","",IF($F5="Projekt riadne ukončený (K)",L5,IF($G5&lt;=M$4,K5,0)))</f>
        <v>0</v>
      </c>
      <c r="N5" s="18">
        <v>3131</v>
      </c>
      <c r="O5" s="18"/>
      <c r="P5" s="18">
        <f>IF(N5="","",IF($F5="Projekt riadne ukončený (K)",O5,IF($G5&lt;=P$4,N5,0)))</f>
        <v>0</v>
      </c>
      <c r="Q5" s="18"/>
      <c r="R5" s="18"/>
      <c r="S5" s="18" t="str">
        <f>IF(Q5="","",IF($F5="Projekt riadne ukončený (K)",R5,IF($G5&lt;=S$4,Q5,0)))</f>
        <v/>
      </c>
      <c r="T5" s="18"/>
      <c r="U5" s="18"/>
      <c r="V5" s="18" t="str">
        <f>IF(T5="","",IF($F5="Projekt riadne ukončený (K)",U5,IF($G5&lt;=V$4,T5,0)))</f>
        <v/>
      </c>
      <c r="W5" s="18"/>
      <c r="X5" s="18"/>
      <c r="Y5" s="18" t="str">
        <f>IF(W5="","",IF($F5="Projekt riadne ukončený (K)",X5,IF($G5&lt;=Y$4,W5,0)))</f>
        <v/>
      </c>
      <c r="Z5" s="18"/>
      <c r="AA5" s="18"/>
      <c r="AB5" s="18" t="str">
        <f>IF(Z5="","",IF($F5="Projekt riadne ukončený (K)",AA5,IF($G5&lt;=AB$4,Z5,0)))</f>
        <v/>
      </c>
    </row>
    <row r="6" spans="1:28" ht="51" x14ac:dyDescent="0.25">
      <c r="A6" s="124" t="s">
        <v>1422</v>
      </c>
      <c r="B6" s="124" t="s">
        <v>1425</v>
      </c>
      <c r="C6" s="124" t="s">
        <v>1427</v>
      </c>
      <c r="D6" s="124" t="s">
        <v>1431</v>
      </c>
      <c r="E6" s="124" t="s">
        <v>1059</v>
      </c>
      <c r="F6" s="124" t="s">
        <v>1097</v>
      </c>
      <c r="G6" s="61">
        <v>43738</v>
      </c>
      <c r="H6" s="18">
        <v>5.39</v>
      </c>
      <c r="I6" s="18"/>
      <c r="J6" s="18">
        <f>IF(H6="","",IF($F6="Projekt riadne ukončený (K)",I6,IF($G6&lt;=J$4,H6,0)))</f>
        <v>0</v>
      </c>
      <c r="K6" s="18">
        <v>1</v>
      </c>
      <c r="L6" s="18"/>
      <c r="M6" s="18">
        <f>IF(K6="","",IF($F6="Projekt riadne ukončený (K)",L6,IF($G6&lt;=M$4,K6,0)))</f>
        <v>0</v>
      </c>
      <c r="N6" s="18">
        <v>1196</v>
      </c>
      <c r="O6" s="18"/>
      <c r="P6" s="18">
        <f>IF(N6="","",IF($F6="Projekt riadne ukončený (K)",O6,IF($G6&lt;=P$4,N6,0)))</f>
        <v>0</v>
      </c>
      <c r="Q6" s="18"/>
      <c r="R6" s="18"/>
      <c r="S6" s="18" t="str">
        <f>IF(Q6="","",IF($F6="Projekt riadne ukončený (K)",R6,IF($G6&lt;=S$4,Q6,0)))</f>
        <v/>
      </c>
      <c r="T6" s="18"/>
      <c r="U6" s="18"/>
      <c r="V6" s="18" t="str">
        <f>IF(T6="","",IF($F6="Projekt riadne ukončený (K)",U6,IF($G6&lt;=V$4,T6,0)))</f>
        <v/>
      </c>
      <c r="W6" s="18"/>
      <c r="X6" s="18"/>
      <c r="Y6" s="18" t="str">
        <f>IF(W6="","",IF($F6="Projekt riadne ukončený (K)",X6,IF($G6&lt;=Y$4,W6,0)))</f>
        <v/>
      </c>
      <c r="Z6" s="18"/>
      <c r="AA6" s="18"/>
      <c r="AB6" s="18" t="str">
        <f>IF(Z6="","",IF($F6="Projekt riadne ukončený (K)",AA6,IF($G6&lt;=AB$4,Z6,0)))</f>
        <v/>
      </c>
    </row>
    <row r="7" spans="1:28" ht="63.75" x14ac:dyDescent="0.25">
      <c r="A7" s="124" t="s">
        <v>1423</v>
      </c>
      <c r="B7" s="124" t="s">
        <v>1425</v>
      </c>
      <c r="C7" s="124" t="s">
        <v>1428</v>
      </c>
      <c r="D7" s="124" t="s">
        <v>1432</v>
      </c>
      <c r="E7" s="124" t="s">
        <v>1059</v>
      </c>
      <c r="F7" s="124" t="s">
        <v>1097</v>
      </c>
      <c r="G7" s="61">
        <v>43708</v>
      </c>
      <c r="H7" s="18">
        <v>1365.77</v>
      </c>
      <c r="I7" s="18"/>
      <c r="J7" s="18">
        <f>IF(H7="","",IF($F7="Projekt riadne ukončený (K)",I7,IF($G7&lt;=J$4,H7,0)))</f>
        <v>0</v>
      </c>
      <c r="K7" s="18">
        <v>1</v>
      </c>
      <c r="L7" s="18"/>
      <c r="M7" s="18">
        <f>IF(K7="","",IF($F7="Projekt riadne ukončený (K)",L7,IF($G7&lt;=M$4,K7,0)))</f>
        <v>0</v>
      </c>
      <c r="N7" s="18">
        <v>1407.56</v>
      </c>
      <c r="O7" s="18"/>
      <c r="P7" s="18">
        <f>IF(N7="","",IF($F7="Projekt riadne ukončený (K)",O7,IF($G7&lt;=P$4,N7,0)))</f>
        <v>0</v>
      </c>
      <c r="Q7" s="18"/>
      <c r="R7" s="18"/>
      <c r="S7" s="18" t="str">
        <f>IF(Q7="","",IF($F7="Projekt riadne ukončený (K)",R7,IF($G7&lt;=S$4,Q7,0)))</f>
        <v/>
      </c>
      <c r="T7" s="18"/>
      <c r="U7" s="18"/>
      <c r="V7" s="18" t="str">
        <f>IF(T7="","",IF($F7="Projekt riadne ukončený (K)",U7,IF($G7&lt;=V$4,T7,0)))</f>
        <v/>
      </c>
      <c r="W7" s="18"/>
      <c r="X7" s="18"/>
      <c r="Y7" s="18" t="str">
        <f>IF(W7="","",IF($F7="Projekt riadne ukončený (K)",X7,IF($G7&lt;=Y$4,W7,0)))</f>
        <v/>
      </c>
      <c r="Z7" s="18"/>
      <c r="AA7" s="18"/>
      <c r="AB7" s="18" t="str">
        <f>IF(Z7="","",IF($F7="Projekt riadne ukončený (K)",AA7,IF($G7&lt;=AB$4,Z7,0)))</f>
        <v/>
      </c>
    </row>
    <row r="8" spans="1:28" ht="89.25" x14ac:dyDescent="0.25">
      <c r="A8" s="124" t="s">
        <v>1424</v>
      </c>
      <c r="B8" s="124" t="s">
        <v>1425</v>
      </c>
      <c r="C8" s="124" t="s">
        <v>1429</v>
      </c>
      <c r="D8" s="124" t="s">
        <v>1433</v>
      </c>
      <c r="E8" s="124" t="s">
        <v>1063</v>
      </c>
      <c r="F8" s="124" t="s">
        <v>1097</v>
      </c>
      <c r="G8" s="61">
        <v>43646</v>
      </c>
      <c r="H8" s="18">
        <v>307</v>
      </c>
      <c r="I8" s="18"/>
      <c r="J8" s="18">
        <f>IF(H8="","",IF($F8="Projekt riadne ukončený (K)",I8,IF($G8&lt;=J$4,H8,0)))</f>
        <v>0</v>
      </c>
      <c r="K8" s="18">
        <v>1</v>
      </c>
      <c r="L8" s="18"/>
      <c r="M8" s="18">
        <f>IF(K8="","",IF($F8="Projekt riadne ukončený (K)",L8,IF($G8&lt;=M$4,K8,0)))</f>
        <v>0</v>
      </c>
      <c r="N8" s="18">
        <v>831</v>
      </c>
      <c r="O8" s="18"/>
      <c r="P8" s="18">
        <f>IF(N8="","",IF($F8="Projekt riadne ukončený (K)",O8,IF($G8&lt;=P$4,N8,0)))</f>
        <v>0</v>
      </c>
      <c r="Q8" s="18"/>
      <c r="R8" s="18"/>
      <c r="S8" s="18" t="str">
        <f>IF(Q8="","",IF($F8="Projekt riadne ukončený (K)",R8,IF($G8&lt;=S$4,Q8,0)))</f>
        <v/>
      </c>
      <c r="T8" s="18"/>
      <c r="U8" s="18"/>
      <c r="V8" s="18" t="str">
        <f>IF(T8="","",IF($F8="Projekt riadne ukončený (K)",U8,IF($G8&lt;=V$4,T8,0)))</f>
        <v/>
      </c>
      <c r="W8" s="18"/>
      <c r="X8" s="18"/>
      <c r="Y8" s="18" t="str">
        <f>IF(W8="","",IF($F8="Projekt riadne ukončený (K)",X8,IF($G8&lt;=Y$4,W8,0)))</f>
        <v/>
      </c>
      <c r="Z8" s="18"/>
      <c r="AA8" s="18"/>
      <c r="AB8" s="18" t="str">
        <f>IF(Z8="","",IF($F8="Projekt riadne ukončený (K)",AA8,IF($G8&lt;=AB$4,Z8,0)))</f>
        <v/>
      </c>
    </row>
    <row r="9" spans="1:28" x14ac:dyDescent="0.25">
      <c r="H9" s="18">
        <f t="shared" ref="H9:AA9" si="0">SUM(H5:H8)</f>
        <v>2685.16</v>
      </c>
      <c r="I9" s="18">
        <f t="shared" si="0"/>
        <v>0</v>
      </c>
      <c r="J9" s="18">
        <f t="shared" si="0"/>
        <v>0</v>
      </c>
      <c r="K9" s="18">
        <f t="shared" si="0"/>
        <v>4</v>
      </c>
      <c r="L9" s="18">
        <f t="shared" si="0"/>
        <v>0</v>
      </c>
      <c r="M9" s="18">
        <f t="shared" si="0"/>
        <v>0</v>
      </c>
      <c r="N9" s="18">
        <f t="shared" si="0"/>
        <v>6565.5599999999995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ref="AB9" si="1">SUM(AB5:AB8)</f>
        <v>0</v>
      </c>
    </row>
    <row r="10" spans="1:28" x14ac:dyDescent="0.25">
      <c r="H10" s="18">
        <f t="shared" ref="H10:AA10" si="2">COUNT(H5:H8)</f>
        <v>4</v>
      </c>
      <c r="I10" s="18">
        <f t="shared" si="2"/>
        <v>0</v>
      </c>
      <c r="J10" s="18">
        <f t="shared" si="2"/>
        <v>4</v>
      </c>
      <c r="K10" s="18">
        <f t="shared" si="2"/>
        <v>4</v>
      </c>
      <c r="L10" s="18">
        <f t="shared" si="2"/>
        <v>0</v>
      </c>
      <c r="M10" s="18">
        <f t="shared" si="2"/>
        <v>4</v>
      </c>
      <c r="N10" s="18">
        <f t="shared" si="2"/>
        <v>4</v>
      </c>
      <c r="O10" s="18">
        <f t="shared" si="2"/>
        <v>0</v>
      </c>
      <c r="P10" s="18">
        <f t="shared" si="2"/>
        <v>4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ref="AB10" si="3">COUNT(AB5:AB8)</f>
        <v>0</v>
      </c>
    </row>
  </sheetData>
  <mergeCells count="28">
    <mergeCell ref="F1:F4"/>
    <mergeCell ref="A1:A4"/>
    <mergeCell ref="B1:B4"/>
    <mergeCell ref="C1:C4"/>
    <mergeCell ref="D1:D4"/>
    <mergeCell ref="E1:E4"/>
    <mergeCell ref="W1:X1"/>
    <mergeCell ref="Z1:AA1"/>
    <mergeCell ref="G1:G4"/>
    <mergeCell ref="H1:I1"/>
    <mergeCell ref="K1:L1"/>
    <mergeCell ref="N1:O1"/>
    <mergeCell ref="Q1:R1"/>
    <mergeCell ref="T1:U1"/>
    <mergeCell ref="H2:I2"/>
    <mergeCell ref="K2:L2"/>
    <mergeCell ref="N2:O2"/>
    <mergeCell ref="Q2:R2"/>
    <mergeCell ref="W3:X3"/>
    <mergeCell ref="Z3:AA3"/>
    <mergeCell ref="T2:U2"/>
    <mergeCell ref="W2:X2"/>
    <mergeCell ref="Z2:AA2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 filterMode="1"/>
  <dimension ref="A1:N86"/>
  <sheetViews>
    <sheetView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E70" sqref="E70"/>
    </sheetView>
  </sheetViews>
  <sheetFormatPr defaultRowHeight="15" x14ac:dyDescent="0.25"/>
  <cols>
    <col min="1" max="1" width="3.140625" bestFit="1" customWidth="1"/>
    <col min="3" max="3" width="10" bestFit="1" customWidth="1"/>
    <col min="4" max="4" width="13.5703125" style="63" customWidth="1"/>
    <col min="5" max="5" width="57.7109375" bestFit="1" customWidth="1"/>
    <col min="6" max="6" width="7.5703125" style="11" bestFit="1" customWidth="1"/>
    <col min="7" max="7" width="9.5703125" bestFit="1" customWidth="1"/>
    <col min="8" max="8" width="10.42578125" customWidth="1"/>
    <col min="9" max="9" width="8.5703125" style="63" customWidth="1"/>
    <col min="10" max="10" width="27.28515625" customWidth="1"/>
    <col min="14" max="14" width="10" bestFit="1" customWidth="1"/>
  </cols>
  <sheetData>
    <row r="1" spans="1:14" ht="38.25" x14ac:dyDescent="0.25">
      <c r="A1" s="1" t="s">
        <v>0</v>
      </c>
      <c r="B1" s="1" t="s">
        <v>1</v>
      </c>
      <c r="C1" s="1" t="s">
        <v>6</v>
      </c>
      <c r="D1" s="64" t="s">
        <v>1002</v>
      </c>
      <c r="E1" s="1" t="s">
        <v>465</v>
      </c>
      <c r="F1" s="1" t="s">
        <v>462</v>
      </c>
      <c r="G1" s="1" t="s">
        <v>492</v>
      </c>
      <c r="H1" s="64" t="s">
        <v>557</v>
      </c>
      <c r="I1" s="64" t="s">
        <v>582</v>
      </c>
      <c r="J1" s="1" t="s">
        <v>474</v>
      </c>
      <c r="K1" s="1" t="s">
        <v>475</v>
      </c>
      <c r="L1" s="1" t="s">
        <v>514</v>
      </c>
    </row>
    <row r="2" spans="1:14" x14ac:dyDescent="0.25">
      <c r="A2" s="2">
        <v>1</v>
      </c>
      <c r="B2" s="13" t="s">
        <v>3</v>
      </c>
      <c r="C2" s="3" t="s">
        <v>76</v>
      </c>
      <c r="D2" s="65" t="s">
        <v>220</v>
      </c>
      <c r="E2" s="8" t="s">
        <v>77</v>
      </c>
      <c r="F2" s="9" t="s">
        <v>467</v>
      </c>
      <c r="G2" s="5">
        <v>197466</v>
      </c>
      <c r="H2" s="7">
        <f>'1.1.1'!BJ177+'1.1.1'!BM177</f>
        <v>119565</v>
      </c>
      <c r="I2" s="5">
        <f>'1.1.1'!BK177+'1.1.1'!BN177</f>
        <v>0</v>
      </c>
      <c r="J2" s="8" t="s">
        <v>481</v>
      </c>
      <c r="K2" s="9" t="s">
        <v>479</v>
      </c>
      <c r="L2" s="9" t="s">
        <v>517</v>
      </c>
    </row>
    <row r="3" spans="1:14" x14ac:dyDescent="0.25">
      <c r="A3" s="2">
        <v>1</v>
      </c>
      <c r="B3" s="13" t="s">
        <v>3</v>
      </c>
      <c r="C3" s="13" t="s">
        <v>78</v>
      </c>
      <c r="D3" s="65" t="s">
        <v>218</v>
      </c>
      <c r="E3" s="8" t="s">
        <v>79</v>
      </c>
      <c r="F3" s="9" t="s">
        <v>467</v>
      </c>
      <c r="G3" s="5">
        <v>21579</v>
      </c>
      <c r="H3" s="14">
        <f>'1.1.1'!BA177</f>
        <v>56934.209000000003</v>
      </c>
      <c r="I3" s="5">
        <f>'1.1.1'!BB177</f>
        <v>400.59000000000003</v>
      </c>
      <c r="J3" s="8" t="s">
        <v>481</v>
      </c>
      <c r="K3" s="9" t="s">
        <v>479</v>
      </c>
      <c r="L3" s="9" t="s">
        <v>517</v>
      </c>
      <c r="N3" s="72">
        <f>H3+9086.48</f>
        <v>66020.688999999998</v>
      </c>
    </row>
    <row r="4" spans="1:14" x14ac:dyDescent="0.25">
      <c r="A4" s="2">
        <v>1</v>
      </c>
      <c r="B4" s="13" t="s">
        <v>3</v>
      </c>
      <c r="C4" s="13" t="s">
        <v>80</v>
      </c>
      <c r="D4" s="65" t="s">
        <v>219</v>
      </c>
      <c r="E4" s="8" t="s">
        <v>81</v>
      </c>
      <c r="F4" s="9" t="s">
        <v>467</v>
      </c>
      <c r="G4" s="5">
        <v>329676</v>
      </c>
      <c r="H4" s="7">
        <f>'1.1.1'!BD177+'1.1.1'!BG177</f>
        <v>186265.5</v>
      </c>
      <c r="I4" s="5">
        <f>'1.1.1'!BE177+'1.1.1'!BH177</f>
        <v>120</v>
      </c>
      <c r="J4" s="8" t="s">
        <v>481</v>
      </c>
      <c r="K4" s="9" t="s">
        <v>479</v>
      </c>
      <c r="L4" s="9" t="s">
        <v>517</v>
      </c>
      <c r="N4" s="73">
        <f>H4-16634.5</f>
        <v>169631</v>
      </c>
    </row>
    <row r="5" spans="1:14" ht="25.5" x14ac:dyDescent="0.25">
      <c r="A5" s="2">
        <v>1</v>
      </c>
      <c r="B5" s="13" t="s">
        <v>3</v>
      </c>
      <c r="C5" s="3" t="s">
        <v>82</v>
      </c>
      <c r="D5" s="65" t="s">
        <v>217</v>
      </c>
      <c r="E5" s="8" t="s">
        <v>83</v>
      </c>
      <c r="F5" s="9" t="s">
        <v>464</v>
      </c>
      <c r="G5" s="5">
        <v>1</v>
      </c>
      <c r="H5" s="5">
        <f>'1.1.1'!AX177</f>
        <v>1</v>
      </c>
      <c r="I5" s="5">
        <f>'1.1.1'!AY177</f>
        <v>0</v>
      </c>
      <c r="J5" s="8" t="s">
        <v>481</v>
      </c>
      <c r="K5" s="9" t="s">
        <v>479</v>
      </c>
      <c r="L5" s="9" t="s">
        <v>517</v>
      </c>
    </row>
    <row r="6" spans="1:14" ht="25.5" x14ac:dyDescent="0.25">
      <c r="A6" s="2">
        <v>1</v>
      </c>
      <c r="B6" s="13" t="s">
        <v>3</v>
      </c>
      <c r="C6" s="3" t="s">
        <v>84</v>
      </c>
      <c r="D6" s="65" t="s">
        <v>215</v>
      </c>
      <c r="E6" s="8" t="s">
        <v>473</v>
      </c>
      <c r="F6" s="9" t="s">
        <v>464</v>
      </c>
      <c r="G6" s="5">
        <v>322</v>
      </c>
      <c r="H6" s="5">
        <f>'1.1.1'!AO177+'1.1.1'!AR177+'1.1.1'!AU177</f>
        <v>207</v>
      </c>
      <c r="I6" s="5">
        <f>'1.1.1'!AP177+'1.1.1'!AS177+'1.1.1'!AV177</f>
        <v>7</v>
      </c>
      <c r="J6" s="8" t="s">
        <v>481</v>
      </c>
      <c r="K6" s="9" t="s">
        <v>479</v>
      </c>
      <c r="L6" s="9" t="s">
        <v>517</v>
      </c>
    </row>
    <row r="7" spans="1:14" x14ac:dyDescent="0.25">
      <c r="A7" s="2">
        <v>1</v>
      </c>
      <c r="B7" s="13" t="s">
        <v>2</v>
      </c>
      <c r="C7" s="13" t="s">
        <v>86</v>
      </c>
      <c r="D7" s="65" t="s">
        <v>227</v>
      </c>
      <c r="E7" s="8" t="s">
        <v>87</v>
      </c>
      <c r="F7" s="9" t="s">
        <v>470</v>
      </c>
      <c r="G7" s="5">
        <v>205046</v>
      </c>
      <c r="H7" s="5">
        <f>'1.2.1+1.2.2'!T41+'1.2.1+1.2.2'!W41</f>
        <v>258357</v>
      </c>
      <c r="I7" s="5">
        <f>'1.2.1+1.2.2'!U41+'1.2.1+1.2.2'!X41</f>
        <v>118171</v>
      </c>
      <c r="J7" s="8" t="s">
        <v>481</v>
      </c>
      <c r="K7" s="9" t="s">
        <v>479</v>
      </c>
      <c r="L7" s="9" t="s">
        <v>517</v>
      </c>
    </row>
    <row r="8" spans="1:14" ht="25.5" x14ac:dyDescent="0.25">
      <c r="A8" s="2">
        <v>1</v>
      </c>
      <c r="B8" s="13" t="s">
        <v>10</v>
      </c>
      <c r="C8" s="3" t="s">
        <v>88</v>
      </c>
      <c r="D8" s="65" t="s">
        <v>232</v>
      </c>
      <c r="E8" s="8" t="s">
        <v>472</v>
      </c>
      <c r="F8" s="9" t="s">
        <v>471</v>
      </c>
      <c r="G8" s="5">
        <v>86079</v>
      </c>
      <c r="H8" s="5">
        <f>'1.2.1+1.2.2'!AF41</f>
        <v>2540</v>
      </c>
      <c r="I8" s="5">
        <f>'1.2.1+1.2.2'!AG41</f>
        <v>0</v>
      </c>
      <c r="J8" s="8" t="s">
        <v>481</v>
      </c>
      <c r="K8" s="9" t="s">
        <v>479</v>
      </c>
      <c r="L8" s="9" t="s">
        <v>517</v>
      </c>
    </row>
    <row r="9" spans="1:14" x14ac:dyDescent="0.25">
      <c r="A9" s="2">
        <v>1</v>
      </c>
      <c r="B9" s="13" t="s">
        <v>11</v>
      </c>
      <c r="C9" s="3" t="s">
        <v>89</v>
      </c>
      <c r="D9" s="65" t="s">
        <v>1004</v>
      </c>
      <c r="E9" s="8" t="s">
        <v>90</v>
      </c>
      <c r="F9" s="9" t="s">
        <v>464</v>
      </c>
      <c r="G9" s="5">
        <v>2295</v>
      </c>
      <c r="H9" s="5">
        <f>'1.2.3'!AO9+'1.2.3'!AR9</f>
        <v>0</v>
      </c>
      <c r="I9" s="5">
        <f>'1.2.3'!AP9+'1.2.3'!AS9</f>
        <v>0</v>
      </c>
      <c r="J9" s="8" t="s">
        <v>481</v>
      </c>
      <c r="K9" s="9" t="s">
        <v>479</v>
      </c>
      <c r="L9" s="9" t="s">
        <v>517</v>
      </c>
    </row>
    <row r="10" spans="1:14" x14ac:dyDescent="0.25">
      <c r="A10" s="2">
        <v>1</v>
      </c>
      <c r="B10" s="13" t="s">
        <v>11</v>
      </c>
      <c r="C10" s="3" t="s">
        <v>91</v>
      </c>
      <c r="D10" s="65" t="s">
        <v>1005</v>
      </c>
      <c r="E10" s="8" t="s">
        <v>92</v>
      </c>
      <c r="F10" s="9" t="s">
        <v>464</v>
      </c>
      <c r="G10" s="5">
        <v>1835</v>
      </c>
      <c r="H10" s="5">
        <f>'1.2.3'!AU9+'1.2.3'!AX9</f>
        <v>1632</v>
      </c>
      <c r="I10" s="5">
        <f>'1.2.3'!AV9+'1.2.3'!AY9</f>
        <v>322</v>
      </c>
      <c r="J10" s="8" t="s">
        <v>481</v>
      </c>
      <c r="K10" s="9" t="s">
        <v>479</v>
      </c>
      <c r="L10" s="9" t="s">
        <v>517</v>
      </c>
    </row>
    <row r="11" spans="1:14" ht="25.5" x14ac:dyDescent="0.25">
      <c r="A11" s="2">
        <v>1</v>
      </c>
      <c r="B11" s="13" t="s">
        <v>11</v>
      </c>
      <c r="C11" s="3" t="s">
        <v>93</v>
      </c>
      <c r="D11" s="65" t="s">
        <v>250</v>
      </c>
      <c r="E11" s="8" t="s">
        <v>94</v>
      </c>
      <c r="F11" s="9" t="s">
        <v>464</v>
      </c>
      <c r="G11" s="5">
        <v>345</v>
      </c>
      <c r="H11" s="5">
        <f>'1.2.3'!AF9</f>
        <v>0</v>
      </c>
      <c r="I11" s="5">
        <f>'1.2.3'!AG9</f>
        <v>0</v>
      </c>
      <c r="J11" s="8" t="s">
        <v>481</v>
      </c>
      <c r="K11" s="9" t="s">
        <v>479</v>
      </c>
      <c r="L11" s="9" t="s">
        <v>517</v>
      </c>
    </row>
    <row r="12" spans="1:14" x14ac:dyDescent="0.25">
      <c r="A12" s="2">
        <v>1</v>
      </c>
      <c r="B12" s="13" t="s">
        <v>11</v>
      </c>
      <c r="C12" s="3" t="s">
        <v>95</v>
      </c>
      <c r="D12" s="65" t="s">
        <v>244</v>
      </c>
      <c r="E12" s="8" t="s">
        <v>96</v>
      </c>
      <c r="F12" s="9" t="s">
        <v>464</v>
      </c>
      <c r="G12" s="5">
        <v>34</v>
      </c>
      <c r="H12" s="5">
        <f>'1.2.3'!W9</f>
        <v>0</v>
      </c>
      <c r="I12" s="5">
        <f>'1.2.3'!X9</f>
        <v>0</v>
      </c>
      <c r="J12" s="8" t="s">
        <v>481</v>
      </c>
      <c r="K12" s="9" t="s">
        <v>479</v>
      </c>
      <c r="L12" s="9" t="s">
        <v>517</v>
      </c>
    </row>
    <row r="13" spans="1:14" x14ac:dyDescent="0.25">
      <c r="A13" s="2">
        <v>1</v>
      </c>
      <c r="B13" s="13" t="s">
        <v>11</v>
      </c>
      <c r="C13" s="3" t="s">
        <v>97</v>
      </c>
      <c r="D13" s="65" t="s">
        <v>1006</v>
      </c>
      <c r="E13" s="8" t="s">
        <v>98</v>
      </c>
      <c r="F13" s="9" t="s">
        <v>464</v>
      </c>
      <c r="G13" s="5">
        <v>786929</v>
      </c>
      <c r="H13" s="5">
        <f>'1.2.3'!Q9+'1.2.3'!T9</f>
        <v>887546</v>
      </c>
      <c r="I13" s="5">
        <f>'1.2.3'!R9+'1.2.3'!U9</f>
        <v>595940</v>
      </c>
      <c r="J13" s="8" t="s">
        <v>481</v>
      </c>
      <c r="K13" s="9" t="s">
        <v>479</v>
      </c>
      <c r="L13" s="9" t="s">
        <v>517</v>
      </c>
    </row>
    <row r="14" spans="1:14" ht="25.5" x14ac:dyDescent="0.25">
      <c r="A14" s="2">
        <v>1</v>
      </c>
      <c r="B14" s="13" t="s">
        <v>11</v>
      </c>
      <c r="C14" s="3" t="s">
        <v>84</v>
      </c>
      <c r="D14" s="65" t="s">
        <v>215</v>
      </c>
      <c r="E14" s="8" t="s">
        <v>473</v>
      </c>
      <c r="F14" s="9" t="s">
        <v>464</v>
      </c>
      <c r="G14" s="5">
        <v>116</v>
      </c>
      <c r="H14" s="5">
        <f>'1.2.3'!BA9</f>
        <v>0</v>
      </c>
      <c r="I14" s="5">
        <f>'1.2.3'!BB9</f>
        <v>0</v>
      </c>
      <c r="J14" s="8" t="s">
        <v>481</v>
      </c>
      <c r="K14" s="9" t="s">
        <v>479</v>
      </c>
      <c r="L14" s="9" t="s">
        <v>517</v>
      </c>
    </row>
    <row r="15" spans="1:14" ht="38.25" x14ac:dyDescent="0.25">
      <c r="A15" s="2">
        <v>1</v>
      </c>
      <c r="B15" s="13" t="s">
        <v>20</v>
      </c>
      <c r="C15" s="3" t="s">
        <v>99</v>
      </c>
      <c r="D15" s="65" t="s">
        <v>263</v>
      </c>
      <c r="E15" s="8" t="s">
        <v>100</v>
      </c>
      <c r="F15" s="9" t="s">
        <v>486</v>
      </c>
      <c r="G15" s="5">
        <v>20131</v>
      </c>
      <c r="H15" s="5"/>
      <c r="I15" s="5"/>
      <c r="J15" s="8" t="s">
        <v>481</v>
      </c>
      <c r="K15" s="9" t="s">
        <v>479</v>
      </c>
      <c r="L15" s="9" t="s">
        <v>517</v>
      </c>
    </row>
    <row r="16" spans="1:14" x14ac:dyDescent="0.25">
      <c r="A16" s="2">
        <v>1</v>
      </c>
      <c r="B16" s="13" t="s">
        <v>20</v>
      </c>
      <c r="C16" s="3" t="s">
        <v>101</v>
      </c>
      <c r="D16" s="65" t="s">
        <v>272</v>
      </c>
      <c r="E16" s="8" t="s">
        <v>102</v>
      </c>
      <c r="F16" s="9" t="s">
        <v>464</v>
      </c>
      <c r="G16" s="5">
        <v>390</v>
      </c>
      <c r="H16" s="5"/>
      <c r="I16" s="5"/>
      <c r="J16" s="8" t="s">
        <v>481</v>
      </c>
      <c r="K16" s="9" t="s">
        <v>479</v>
      </c>
      <c r="L16" s="9" t="s">
        <v>517</v>
      </c>
    </row>
    <row r="17" spans="1:12" x14ac:dyDescent="0.25">
      <c r="A17" s="2">
        <v>1</v>
      </c>
      <c r="B17" s="13" t="s">
        <v>20</v>
      </c>
      <c r="C17" s="3" t="s">
        <v>103</v>
      </c>
      <c r="D17" s="65" t="s">
        <v>271</v>
      </c>
      <c r="E17" s="8" t="s">
        <v>104</v>
      </c>
      <c r="F17" s="9" t="s">
        <v>464</v>
      </c>
      <c r="G17" s="5">
        <v>700</v>
      </c>
      <c r="H17" s="5"/>
      <c r="I17" s="5"/>
      <c r="J17" s="8" t="s">
        <v>481</v>
      </c>
      <c r="K17" s="9" t="s">
        <v>479</v>
      </c>
      <c r="L17" s="9" t="s">
        <v>517</v>
      </c>
    </row>
    <row r="18" spans="1:12" ht="25.5" x14ac:dyDescent="0.25">
      <c r="A18" s="2">
        <v>1</v>
      </c>
      <c r="B18" s="13" t="s">
        <v>20</v>
      </c>
      <c r="C18" s="3" t="s">
        <v>105</v>
      </c>
      <c r="D18" s="65" t="s">
        <v>269</v>
      </c>
      <c r="E18" s="8" t="s">
        <v>106</v>
      </c>
      <c r="F18" s="9" t="s">
        <v>464</v>
      </c>
      <c r="G18" s="5">
        <v>3000</v>
      </c>
      <c r="H18" s="5"/>
      <c r="I18" s="5"/>
      <c r="J18" s="8" t="s">
        <v>481</v>
      </c>
      <c r="K18" s="9" t="s">
        <v>479</v>
      </c>
      <c r="L18" s="9" t="s">
        <v>517</v>
      </c>
    </row>
    <row r="19" spans="1:12" ht="25.5" x14ac:dyDescent="0.25">
      <c r="A19" s="2">
        <v>1</v>
      </c>
      <c r="B19" s="13" t="s">
        <v>20</v>
      </c>
      <c r="C19" s="3" t="s">
        <v>84</v>
      </c>
      <c r="D19" s="65" t="s">
        <v>215</v>
      </c>
      <c r="E19" s="8" t="s">
        <v>85</v>
      </c>
      <c r="F19" s="9" t="s">
        <v>464</v>
      </c>
      <c r="G19" s="5">
        <v>645</v>
      </c>
      <c r="H19" s="5"/>
      <c r="I19" s="5"/>
      <c r="J19" s="8" t="s">
        <v>481</v>
      </c>
      <c r="K19" s="9" t="s">
        <v>479</v>
      </c>
      <c r="L19" s="9" t="s">
        <v>517</v>
      </c>
    </row>
    <row r="20" spans="1:12" x14ac:dyDescent="0.25">
      <c r="A20" s="2">
        <v>1</v>
      </c>
      <c r="B20" s="13" t="s">
        <v>25</v>
      </c>
      <c r="C20" s="3" t="s">
        <v>107</v>
      </c>
      <c r="D20" s="65" t="s">
        <v>1003</v>
      </c>
      <c r="E20" s="8" t="s">
        <v>108</v>
      </c>
      <c r="F20" s="9" t="s">
        <v>464</v>
      </c>
      <c r="G20" s="5">
        <v>131</v>
      </c>
      <c r="H20" s="5">
        <f>'1.4.1'!T23+'1.4.1'!AC23</f>
        <v>0</v>
      </c>
      <c r="I20" s="5">
        <f>'1.4.1'!U23+'1.4.1'!AD23</f>
        <v>0</v>
      </c>
      <c r="J20" s="8" t="s">
        <v>481</v>
      </c>
      <c r="K20" s="9" t="s">
        <v>479</v>
      </c>
      <c r="L20" s="9" t="s">
        <v>517</v>
      </c>
    </row>
    <row r="21" spans="1:12" ht="25.5" x14ac:dyDescent="0.25">
      <c r="A21" s="2">
        <v>1</v>
      </c>
      <c r="B21" s="13" t="s">
        <v>25</v>
      </c>
      <c r="C21" s="3" t="s">
        <v>109</v>
      </c>
      <c r="D21" s="65" t="s">
        <v>280</v>
      </c>
      <c r="E21" s="8" t="s">
        <v>110</v>
      </c>
      <c r="F21" s="9" t="s">
        <v>464</v>
      </c>
      <c r="G21" s="5">
        <v>3</v>
      </c>
      <c r="H21" s="5">
        <f>'1.4.1'!K23</f>
        <v>0</v>
      </c>
      <c r="I21" s="5">
        <f>'1.4.1'!L23</f>
        <v>0</v>
      </c>
      <c r="J21" s="8" t="s">
        <v>481</v>
      </c>
      <c r="K21" s="9" t="s">
        <v>479</v>
      </c>
      <c r="L21" s="9" t="s">
        <v>517</v>
      </c>
    </row>
    <row r="22" spans="1:12" ht="25.5" x14ac:dyDescent="0.25">
      <c r="A22" s="2">
        <v>1</v>
      </c>
      <c r="B22" s="13" t="s">
        <v>25</v>
      </c>
      <c r="C22" s="3" t="s">
        <v>111</v>
      </c>
      <c r="D22" s="65" t="s">
        <v>279</v>
      </c>
      <c r="E22" s="8" t="s">
        <v>112</v>
      </c>
      <c r="F22" s="9" t="s">
        <v>491</v>
      </c>
      <c r="G22" s="5">
        <v>104</v>
      </c>
      <c r="H22" s="5">
        <f>'1.4.1'!H23</f>
        <v>0</v>
      </c>
      <c r="I22" s="5">
        <f>'1.4.1'!I23</f>
        <v>0</v>
      </c>
      <c r="J22" s="8" t="s">
        <v>481</v>
      </c>
      <c r="K22" s="9" t="s">
        <v>479</v>
      </c>
      <c r="L22" s="9" t="s">
        <v>517</v>
      </c>
    </row>
    <row r="23" spans="1:12" ht="25.5" x14ac:dyDescent="0.25">
      <c r="A23" s="2">
        <v>1</v>
      </c>
      <c r="B23" s="13" t="s">
        <v>25</v>
      </c>
      <c r="C23" s="3" t="s">
        <v>113</v>
      </c>
      <c r="D23" s="65" t="s">
        <v>295</v>
      </c>
      <c r="E23" s="8" t="s">
        <v>114</v>
      </c>
      <c r="F23" s="9" t="s">
        <v>464</v>
      </c>
      <c r="G23" s="5">
        <v>20</v>
      </c>
      <c r="H23" s="5">
        <f>'1.4.1'!AL23</f>
        <v>22</v>
      </c>
      <c r="I23" s="5">
        <f>'1.4.1'!AM23</f>
        <v>1</v>
      </c>
      <c r="J23" s="8" t="s">
        <v>481</v>
      </c>
      <c r="K23" s="9" t="s">
        <v>479</v>
      </c>
      <c r="L23" s="9" t="s">
        <v>517</v>
      </c>
    </row>
    <row r="24" spans="1:12" ht="25.5" x14ac:dyDescent="0.25">
      <c r="A24" s="2">
        <v>1</v>
      </c>
      <c r="B24" s="13" t="s">
        <v>25</v>
      </c>
      <c r="C24" s="3" t="s">
        <v>84</v>
      </c>
      <c r="D24" s="65" t="s">
        <v>215</v>
      </c>
      <c r="E24" s="8" t="s">
        <v>473</v>
      </c>
      <c r="F24" s="9" t="s">
        <v>464</v>
      </c>
      <c r="G24" s="12">
        <v>322</v>
      </c>
      <c r="H24" s="5">
        <f>'1.4.1'!AU23</f>
        <v>0</v>
      </c>
      <c r="I24" s="5">
        <f>'1.4.1'!AV23</f>
        <v>0</v>
      </c>
      <c r="J24" s="8" t="s">
        <v>481</v>
      </c>
      <c r="K24" s="9" t="s">
        <v>479</v>
      </c>
      <c r="L24" s="9" t="s">
        <v>517</v>
      </c>
    </row>
    <row r="25" spans="1:12" x14ac:dyDescent="0.25">
      <c r="A25" s="2">
        <v>1</v>
      </c>
      <c r="B25" s="13" t="s">
        <v>31</v>
      </c>
      <c r="C25" s="13" t="s">
        <v>115</v>
      </c>
      <c r="D25" s="65" t="s">
        <v>312</v>
      </c>
      <c r="E25" s="8" t="s">
        <v>116</v>
      </c>
      <c r="F25" s="9" t="s">
        <v>486</v>
      </c>
      <c r="G25" s="5">
        <v>125</v>
      </c>
      <c r="H25" s="5">
        <f>'1.4.2'!H7</f>
        <v>0</v>
      </c>
      <c r="I25" s="5">
        <f>'1.4.2'!I7</f>
        <v>0</v>
      </c>
      <c r="J25" s="8" t="s">
        <v>481</v>
      </c>
      <c r="K25" s="9" t="s">
        <v>479</v>
      </c>
      <c r="L25" s="9" t="s">
        <v>517</v>
      </c>
    </row>
    <row r="26" spans="1:12" x14ac:dyDescent="0.25">
      <c r="A26" s="2">
        <v>1</v>
      </c>
      <c r="B26" s="13" t="s">
        <v>31</v>
      </c>
      <c r="C26" s="3" t="s">
        <v>117</v>
      </c>
      <c r="D26" s="65" t="s">
        <v>315</v>
      </c>
      <c r="E26" s="8" t="s">
        <v>118</v>
      </c>
      <c r="F26" s="9" t="s">
        <v>464</v>
      </c>
      <c r="G26" s="5">
        <v>36</v>
      </c>
      <c r="H26" s="7">
        <f>'1.4.2'!N7</f>
        <v>12.46</v>
      </c>
      <c r="I26" s="5">
        <f>'1.4.2'!O7</f>
        <v>0</v>
      </c>
      <c r="J26" s="8" t="s">
        <v>481</v>
      </c>
      <c r="K26" s="9" t="s">
        <v>479</v>
      </c>
      <c r="L26" s="9" t="s">
        <v>517</v>
      </c>
    </row>
    <row r="27" spans="1:12" x14ac:dyDescent="0.25">
      <c r="A27" s="2">
        <v>1</v>
      </c>
      <c r="B27" s="13" t="s">
        <v>31</v>
      </c>
      <c r="C27" s="3" t="s">
        <v>119</v>
      </c>
      <c r="D27" s="65" t="s">
        <v>314</v>
      </c>
      <c r="E27" s="8" t="s">
        <v>120</v>
      </c>
      <c r="F27" s="9" t="s">
        <v>464</v>
      </c>
      <c r="G27" s="5">
        <v>446</v>
      </c>
      <c r="H27" s="7">
        <f>'1.4.2'!K7</f>
        <v>205.1</v>
      </c>
      <c r="I27" s="7">
        <f>'1.4.2'!L7</f>
        <v>205.1</v>
      </c>
      <c r="J27" s="8" t="s">
        <v>481</v>
      </c>
      <c r="K27" s="9" t="s">
        <v>479</v>
      </c>
      <c r="L27" s="9" t="s">
        <v>517</v>
      </c>
    </row>
    <row r="28" spans="1:12" ht="25.5" x14ac:dyDescent="0.25">
      <c r="A28" s="2">
        <v>1</v>
      </c>
      <c r="B28" s="13" t="s">
        <v>31</v>
      </c>
      <c r="C28" s="3" t="s">
        <v>84</v>
      </c>
      <c r="D28" s="65" t="s">
        <v>215</v>
      </c>
      <c r="E28" s="8" t="s">
        <v>473</v>
      </c>
      <c r="F28" s="9" t="s">
        <v>464</v>
      </c>
      <c r="G28" s="12">
        <v>193</v>
      </c>
      <c r="H28" s="5">
        <f>'1.4.2'!AF7</f>
        <v>0</v>
      </c>
      <c r="I28" s="5">
        <f>'1.4.2'!AG7</f>
        <v>0</v>
      </c>
      <c r="J28" s="8" t="s">
        <v>481</v>
      </c>
      <c r="K28" s="9" t="s">
        <v>479</v>
      </c>
      <c r="L28" s="9" t="s">
        <v>517</v>
      </c>
    </row>
    <row r="29" spans="1:12" x14ac:dyDescent="0.25">
      <c r="A29" s="2">
        <v>2</v>
      </c>
      <c r="B29" s="13" t="s">
        <v>33</v>
      </c>
      <c r="C29" s="13" t="s">
        <v>121</v>
      </c>
      <c r="D29" s="65"/>
      <c r="E29" s="8" t="s">
        <v>122</v>
      </c>
      <c r="F29" s="9" t="s">
        <v>470</v>
      </c>
      <c r="G29" s="5">
        <v>12744</v>
      </c>
      <c r="H29" s="5"/>
      <c r="I29" s="5"/>
      <c r="J29" s="8" t="s">
        <v>481</v>
      </c>
      <c r="K29" s="9" t="s">
        <v>479</v>
      </c>
      <c r="L29" s="9" t="s">
        <v>517</v>
      </c>
    </row>
    <row r="30" spans="1:12" x14ac:dyDescent="0.25">
      <c r="A30" s="2">
        <v>2</v>
      </c>
      <c r="B30" s="13" t="s">
        <v>33</v>
      </c>
      <c r="C30" s="3" t="s">
        <v>123</v>
      </c>
      <c r="D30" s="65"/>
      <c r="E30" s="8" t="s">
        <v>124</v>
      </c>
      <c r="F30" s="9" t="s">
        <v>464</v>
      </c>
      <c r="G30" s="5">
        <v>86</v>
      </c>
      <c r="H30" s="5"/>
      <c r="I30" s="5"/>
      <c r="J30" s="8" t="s">
        <v>481</v>
      </c>
      <c r="K30" s="9" t="s">
        <v>479</v>
      </c>
      <c r="L30" s="9" t="s">
        <v>517</v>
      </c>
    </row>
    <row r="31" spans="1:12" ht="25.5" x14ac:dyDescent="0.25">
      <c r="A31" s="2">
        <v>2</v>
      </c>
      <c r="B31" s="13" t="s">
        <v>33</v>
      </c>
      <c r="C31" s="3" t="s">
        <v>125</v>
      </c>
      <c r="D31" s="65"/>
      <c r="E31" s="8" t="s">
        <v>126</v>
      </c>
      <c r="F31" s="9" t="s">
        <v>464</v>
      </c>
      <c r="G31" s="5">
        <v>4</v>
      </c>
      <c r="H31" s="5"/>
      <c r="I31" s="5"/>
      <c r="J31" s="8" t="s">
        <v>481</v>
      </c>
      <c r="K31" s="9" t="s">
        <v>479</v>
      </c>
      <c r="L31" s="9" t="s">
        <v>517</v>
      </c>
    </row>
    <row r="32" spans="1:12" ht="25.5" x14ac:dyDescent="0.25">
      <c r="A32" s="2">
        <v>2</v>
      </c>
      <c r="B32" s="13" t="s">
        <v>33</v>
      </c>
      <c r="C32" s="3" t="s">
        <v>127</v>
      </c>
      <c r="D32" s="65"/>
      <c r="E32" s="8" t="s">
        <v>128</v>
      </c>
      <c r="F32" s="9" t="s">
        <v>464</v>
      </c>
      <c r="G32" s="5">
        <v>10</v>
      </c>
      <c r="H32" s="5"/>
      <c r="I32" s="5"/>
      <c r="J32" s="8" t="s">
        <v>481</v>
      </c>
      <c r="K32" s="9" t="s">
        <v>479</v>
      </c>
      <c r="L32" s="9" t="s">
        <v>517</v>
      </c>
    </row>
    <row r="33" spans="1:12" ht="25.5" x14ac:dyDescent="0.25">
      <c r="A33" s="2">
        <v>2</v>
      </c>
      <c r="B33" s="13" t="s">
        <v>33</v>
      </c>
      <c r="C33" s="3" t="s">
        <v>84</v>
      </c>
      <c r="D33" s="65"/>
      <c r="E33" s="8" t="s">
        <v>85</v>
      </c>
      <c r="F33" s="9" t="s">
        <v>464</v>
      </c>
      <c r="G33" s="5">
        <v>193</v>
      </c>
      <c r="H33" s="5"/>
      <c r="I33" s="5"/>
      <c r="J33" s="8" t="s">
        <v>481</v>
      </c>
      <c r="K33" s="9" t="s">
        <v>479</v>
      </c>
      <c r="L33" s="9" t="s">
        <v>517</v>
      </c>
    </row>
    <row r="34" spans="1:12" x14ac:dyDescent="0.25">
      <c r="A34" s="2">
        <v>2</v>
      </c>
      <c r="B34" s="13" t="s">
        <v>34</v>
      </c>
      <c r="C34" s="3" t="s">
        <v>115</v>
      </c>
      <c r="D34" s="65"/>
      <c r="E34" s="8" t="s">
        <v>116</v>
      </c>
      <c r="F34" s="9" t="s">
        <v>486</v>
      </c>
      <c r="G34" s="5">
        <v>108</v>
      </c>
      <c r="H34" s="5"/>
      <c r="I34" s="5"/>
      <c r="J34" s="8" t="s">
        <v>481</v>
      </c>
      <c r="K34" s="9" t="s">
        <v>479</v>
      </c>
      <c r="L34" s="9" t="s">
        <v>517</v>
      </c>
    </row>
    <row r="35" spans="1:12" ht="25.5" hidden="1" x14ac:dyDescent="0.25">
      <c r="A35" s="2">
        <v>3</v>
      </c>
      <c r="B35" s="3" t="s">
        <v>45</v>
      </c>
      <c r="C35" s="3" t="s">
        <v>129</v>
      </c>
      <c r="D35" s="65"/>
      <c r="E35" s="8" t="s">
        <v>130</v>
      </c>
      <c r="F35" s="9" t="s">
        <v>464</v>
      </c>
      <c r="G35" s="5">
        <v>2</v>
      </c>
      <c r="H35" s="5"/>
      <c r="I35" s="5"/>
      <c r="J35" s="8" t="s">
        <v>481</v>
      </c>
      <c r="K35" s="9" t="s">
        <v>479</v>
      </c>
      <c r="L35" s="9" t="s">
        <v>503</v>
      </c>
    </row>
    <row r="36" spans="1:12" hidden="1" x14ac:dyDescent="0.25">
      <c r="A36" s="2">
        <v>3</v>
      </c>
      <c r="B36" s="3" t="s">
        <v>45</v>
      </c>
      <c r="C36" s="13" t="s">
        <v>131</v>
      </c>
      <c r="D36" s="65"/>
      <c r="E36" s="8" t="s">
        <v>132</v>
      </c>
      <c r="F36" s="9" t="s">
        <v>470</v>
      </c>
      <c r="G36" s="5">
        <v>2</v>
      </c>
      <c r="H36" s="5"/>
      <c r="I36" s="5"/>
      <c r="J36" s="8" t="s">
        <v>481</v>
      </c>
      <c r="K36" s="9" t="s">
        <v>479</v>
      </c>
      <c r="L36" s="9" t="s">
        <v>503</v>
      </c>
    </row>
    <row r="37" spans="1:12" x14ac:dyDescent="0.25">
      <c r="A37" s="2">
        <v>3</v>
      </c>
      <c r="B37" s="13" t="s">
        <v>48</v>
      </c>
      <c r="C37" s="13" t="s">
        <v>115</v>
      </c>
      <c r="D37" s="65"/>
      <c r="E37" s="8" t="s">
        <v>116</v>
      </c>
      <c r="F37" s="9" t="s">
        <v>486</v>
      </c>
      <c r="G37" s="5">
        <v>219</v>
      </c>
      <c r="H37" s="5"/>
      <c r="I37" s="5"/>
      <c r="J37" s="8" t="s">
        <v>481</v>
      </c>
      <c r="K37" s="9" t="s">
        <v>479</v>
      </c>
      <c r="L37" s="9" t="s">
        <v>503</v>
      </c>
    </row>
    <row r="38" spans="1:12" x14ac:dyDescent="0.25">
      <c r="A38" s="2">
        <v>3</v>
      </c>
      <c r="B38" s="13" t="s">
        <v>48</v>
      </c>
      <c r="C38" s="3" t="s">
        <v>133</v>
      </c>
      <c r="D38" s="65"/>
      <c r="E38" s="8" t="s">
        <v>134</v>
      </c>
      <c r="F38" s="9" t="s">
        <v>486</v>
      </c>
      <c r="G38" s="5">
        <v>806</v>
      </c>
      <c r="H38" s="5"/>
      <c r="I38" s="5"/>
      <c r="J38" s="8" t="s">
        <v>481</v>
      </c>
      <c r="K38" s="9" t="s">
        <v>479</v>
      </c>
      <c r="L38" s="9" t="s">
        <v>503</v>
      </c>
    </row>
    <row r="39" spans="1:12" x14ac:dyDescent="0.25">
      <c r="A39" s="2">
        <v>3</v>
      </c>
      <c r="B39" s="13" t="s">
        <v>48</v>
      </c>
      <c r="C39" s="3" t="s">
        <v>135</v>
      </c>
      <c r="D39" s="65"/>
      <c r="E39" s="8" t="s">
        <v>136</v>
      </c>
      <c r="F39" s="9" t="s">
        <v>486</v>
      </c>
      <c r="G39" s="5">
        <v>21965</v>
      </c>
      <c r="H39" s="5"/>
      <c r="I39" s="5"/>
      <c r="J39" s="8" t="s">
        <v>481</v>
      </c>
      <c r="K39" s="9" t="s">
        <v>479</v>
      </c>
      <c r="L39" s="9" t="s">
        <v>503</v>
      </c>
    </row>
    <row r="40" spans="1:12" x14ac:dyDescent="0.25">
      <c r="A40" s="2">
        <v>3</v>
      </c>
      <c r="B40" s="3" t="s">
        <v>49</v>
      </c>
      <c r="C40" s="3" t="s">
        <v>137</v>
      </c>
      <c r="D40" s="65"/>
      <c r="E40" s="8" t="s">
        <v>138</v>
      </c>
      <c r="F40" s="9" t="s">
        <v>464</v>
      </c>
      <c r="G40" s="5">
        <v>20</v>
      </c>
      <c r="H40" s="5"/>
      <c r="I40" s="5"/>
      <c r="J40" s="8" t="s">
        <v>481</v>
      </c>
      <c r="K40" s="9" t="s">
        <v>479</v>
      </c>
      <c r="L40" s="9" t="s">
        <v>503</v>
      </c>
    </row>
    <row r="41" spans="1:12" x14ac:dyDescent="0.25">
      <c r="A41" s="2">
        <v>3</v>
      </c>
      <c r="B41" s="3" t="s">
        <v>49</v>
      </c>
      <c r="C41" s="13" t="s">
        <v>139</v>
      </c>
      <c r="D41" s="65"/>
      <c r="E41" s="8" t="s">
        <v>140</v>
      </c>
      <c r="F41" s="9" t="s">
        <v>464</v>
      </c>
      <c r="G41" s="5">
        <v>4</v>
      </c>
      <c r="H41" s="5"/>
      <c r="I41" s="5"/>
      <c r="J41" s="8" t="s">
        <v>481</v>
      </c>
      <c r="K41" s="9" t="s">
        <v>479</v>
      </c>
      <c r="L41" s="9" t="s">
        <v>503</v>
      </c>
    </row>
    <row r="42" spans="1:12" x14ac:dyDescent="0.25">
      <c r="A42" s="2">
        <v>4</v>
      </c>
      <c r="B42" s="3" t="s">
        <v>46</v>
      </c>
      <c r="C42" s="3" t="s">
        <v>141</v>
      </c>
      <c r="D42" s="65"/>
      <c r="E42" s="8" t="s">
        <v>142</v>
      </c>
      <c r="F42" s="9" t="s">
        <v>464</v>
      </c>
      <c r="G42" s="5">
        <v>35</v>
      </c>
      <c r="H42" s="5"/>
      <c r="I42" s="5"/>
      <c r="J42" s="8" t="s">
        <v>481</v>
      </c>
      <c r="K42" s="9" t="s">
        <v>479</v>
      </c>
      <c r="L42" s="9" t="s">
        <v>503</v>
      </c>
    </row>
    <row r="43" spans="1:12" x14ac:dyDescent="0.25">
      <c r="A43" s="2">
        <v>4</v>
      </c>
      <c r="B43" s="3" t="s">
        <v>46</v>
      </c>
      <c r="C43" s="13" t="s">
        <v>143</v>
      </c>
      <c r="D43" s="65"/>
      <c r="E43" s="8" t="s">
        <v>144</v>
      </c>
      <c r="F43" s="9" t="s">
        <v>491</v>
      </c>
      <c r="G43" s="5">
        <v>570</v>
      </c>
      <c r="H43" s="5"/>
      <c r="I43" s="5"/>
      <c r="J43" s="8" t="s">
        <v>481</v>
      </c>
      <c r="K43" s="9" t="s">
        <v>479</v>
      </c>
      <c r="L43" s="9" t="s">
        <v>503</v>
      </c>
    </row>
    <row r="44" spans="1:12" ht="28.5" x14ac:dyDescent="0.25">
      <c r="A44" s="2">
        <v>4</v>
      </c>
      <c r="B44" s="3" t="s">
        <v>46</v>
      </c>
      <c r="C44" s="3" t="s">
        <v>145</v>
      </c>
      <c r="D44" s="65"/>
      <c r="E44" s="8" t="s">
        <v>146</v>
      </c>
      <c r="F44" s="9" t="s">
        <v>520</v>
      </c>
      <c r="G44" s="5">
        <v>260000</v>
      </c>
      <c r="H44" s="5"/>
      <c r="I44" s="5"/>
      <c r="J44" s="8" t="s">
        <v>481</v>
      </c>
      <c r="K44" s="9" t="s">
        <v>479</v>
      </c>
      <c r="L44" s="9" t="s">
        <v>503</v>
      </c>
    </row>
    <row r="45" spans="1:12" x14ac:dyDescent="0.25">
      <c r="A45" s="2">
        <v>4</v>
      </c>
      <c r="B45" s="3" t="s">
        <v>46</v>
      </c>
      <c r="C45" s="3" t="s">
        <v>147</v>
      </c>
      <c r="D45" s="65"/>
      <c r="E45" s="8" t="s">
        <v>148</v>
      </c>
      <c r="F45" s="9" t="s">
        <v>464</v>
      </c>
      <c r="G45" s="5">
        <v>70000</v>
      </c>
      <c r="H45" s="5"/>
      <c r="I45" s="5"/>
      <c r="J45" s="8" t="s">
        <v>481</v>
      </c>
      <c r="K45" s="9" t="s">
        <v>479</v>
      </c>
      <c r="L45" s="9" t="s">
        <v>503</v>
      </c>
    </row>
    <row r="46" spans="1:12" x14ac:dyDescent="0.25">
      <c r="A46" s="2">
        <v>4</v>
      </c>
      <c r="B46" s="3" t="s">
        <v>46</v>
      </c>
      <c r="C46" s="3" t="s">
        <v>149</v>
      </c>
      <c r="D46" s="65"/>
      <c r="E46" s="8" t="s">
        <v>150</v>
      </c>
      <c r="F46" s="9" t="s">
        <v>515</v>
      </c>
      <c r="G46" s="5">
        <v>70</v>
      </c>
      <c r="H46" s="5"/>
      <c r="I46" s="5"/>
      <c r="J46" s="8" t="s">
        <v>481</v>
      </c>
      <c r="K46" s="9" t="s">
        <v>479</v>
      </c>
      <c r="L46" s="9" t="s">
        <v>503</v>
      </c>
    </row>
    <row r="47" spans="1:12" x14ac:dyDescent="0.25">
      <c r="A47" s="2">
        <v>4</v>
      </c>
      <c r="B47" s="3" t="s">
        <v>46</v>
      </c>
      <c r="C47" s="3" t="s">
        <v>151</v>
      </c>
      <c r="D47" s="65"/>
      <c r="E47" s="8" t="s">
        <v>152</v>
      </c>
      <c r="F47" s="9" t="s">
        <v>516</v>
      </c>
      <c r="G47" s="5">
        <v>500</v>
      </c>
      <c r="H47" s="5"/>
      <c r="I47" s="5"/>
      <c r="J47" s="8" t="s">
        <v>481</v>
      </c>
      <c r="K47" s="9" t="s">
        <v>479</v>
      </c>
      <c r="L47" s="9" t="s">
        <v>503</v>
      </c>
    </row>
    <row r="48" spans="1:12" x14ac:dyDescent="0.25">
      <c r="A48" s="2">
        <v>4</v>
      </c>
      <c r="B48" s="3" t="s">
        <v>56</v>
      </c>
      <c r="C48" s="13" t="s">
        <v>143</v>
      </c>
      <c r="D48" s="65"/>
      <c r="E48" s="8" t="s">
        <v>144</v>
      </c>
      <c r="F48" s="9" t="s">
        <v>491</v>
      </c>
      <c r="G48" s="5">
        <v>5</v>
      </c>
      <c r="H48" s="5"/>
      <c r="I48" s="5"/>
      <c r="J48" s="8" t="s">
        <v>481</v>
      </c>
      <c r="K48" s="9" t="s">
        <v>479</v>
      </c>
      <c r="L48" s="9" t="s">
        <v>504</v>
      </c>
    </row>
    <row r="49" spans="1:12" ht="28.5" x14ac:dyDescent="0.25">
      <c r="A49" s="2">
        <v>4</v>
      </c>
      <c r="B49" s="3" t="s">
        <v>56</v>
      </c>
      <c r="C49" s="3" t="s">
        <v>145</v>
      </c>
      <c r="D49" s="65"/>
      <c r="E49" s="8" t="s">
        <v>146</v>
      </c>
      <c r="F49" s="9" t="s">
        <v>520</v>
      </c>
      <c r="G49" s="5">
        <v>7000</v>
      </c>
      <c r="H49" s="5"/>
      <c r="I49" s="5"/>
      <c r="J49" s="8" t="s">
        <v>481</v>
      </c>
      <c r="K49" s="9" t="s">
        <v>479</v>
      </c>
      <c r="L49" s="9" t="s">
        <v>504</v>
      </c>
    </row>
    <row r="50" spans="1:12" x14ac:dyDescent="0.25">
      <c r="A50" s="2">
        <v>4</v>
      </c>
      <c r="B50" s="3" t="s">
        <v>56</v>
      </c>
      <c r="C50" s="3" t="s">
        <v>147</v>
      </c>
      <c r="D50" s="65"/>
      <c r="E50" s="8" t="s">
        <v>148</v>
      </c>
      <c r="F50" s="9" t="s">
        <v>464</v>
      </c>
      <c r="G50" s="5">
        <v>3000</v>
      </c>
      <c r="H50" s="5"/>
      <c r="I50" s="5"/>
      <c r="J50" s="8" t="s">
        <v>481</v>
      </c>
      <c r="K50" s="9" t="s">
        <v>479</v>
      </c>
      <c r="L50" s="9" t="s">
        <v>504</v>
      </c>
    </row>
    <row r="51" spans="1:12" x14ac:dyDescent="0.25">
      <c r="A51" s="2">
        <v>4</v>
      </c>
      <c r="B51" s="3" t="s">
        <v>56</v>
      </c>
      <c r="C51" s="3" t="s">
        <v>149</v>
      </c>
      <c r="D51" s="65"/>
      <c r="E51" s="8" t="s">
        <v>150</v>
      </c>
      <c r="F51" s="9" t="s">
        <v>515</v>
      </c>
      <c r="G51" s="7">
        <v>0.75</v>
      </c>
      <c r="H51" s="7"/>
      <c r="I51" s="7"/>
      <c r="J51" s="8" t="s">
        <v>481</v>
      </c>
      <c r="K51" s="9" t="s">
        <v>479</v>
      </c>
      <c r="L51" s="9" t="s">
        <v>504</v>
      </c>
    </row>
    <row r="52" spans="1:12" x14ac:dyDescent="0.25">
      <c r="A52" s="2">
        <v>4</v>
      </c>
      <c r="B52" s="3" t="s">
        <v>56</v>
      </c>
      <c r="C52" s="3" t="s">
        <v>151</v>
      </c>
      <c r="D52" s="65"/>
      <c r="E52" s="8" t="s">
        <v>152</v>
      </c>
      <c r="F52" s="9" t="s">
        <v>516</v>
      </c>
      <c r="G52" s="7">
        <v>4.25</v>
      </c>
      <c r="H52" s="7"/>
      <c r="I52" s="7"/>
      <c r="J52" s="8" t="s">
        <v>481</v>
      </c>
      <c r="K52" s="9" t="s">
        <v>479</v>
      </c>
      <c r="L52" s="9" t="s">
        <v>504</v>
      </c>
    </row>
    <row r="53" spans="1:12" x14ac:dyDescent="0.25">
      <c r="A53" s="2">
        <v>4</v>
      </c>
      <c r="B53" s="3" t="s">
        <v>57</v>
      </c>
      <c r="C53" s="3" t="s">
        <v>141</v>
      </c>
      <c r="D53" s="65"/>
      <c r="E53" s="8" t="s">
        <v>142</v>
      </c>
      <c r="F53" s="9" t="s">
        <v>464</v>
      </c>
      <c r="G53" s="5">
        <v>220</v>
      </c>
      <c r="H53" s="5"/>
      <c r="I53" s="5"/>
      <c r="J53" s="8" t="s">
        <v>481</v>
      </c>
      <c r="K53" s="9" t="s">
        <v>479</v>
      </c>
      <c r="L53" s="9" t="s">
        <v>503</v>
      </c>
    </row>
    <row r="54" spans="1:12" x14ac:dyDescent="0.25">
      <c r="A54" s="2">
        <v>4</v>
      </c>
      <c r="B54" s="3" t="s">
        <v>57</v>
      </c>
      <c r="C54" s="3" t="s">
        <v>143</v>
      </c>
      <c r="D54" s="65"/>
      <c r="E54" s="8" t="s">
        <v>144</v>
      </c>
      <c r="F54" s="9" t="s">
        <v>491</v>
      </c>
      <c r="G54" s="5">
        <v>47</v>
      </c>
      <c r="H54" s="5"/>
      <c r="I54" s="5"/>
      <c r="J54" s="8" t="s">
        <v>481</v>
      </c>
      <c r="K54" s="9" t="s">
        <v>479</v>
      </c>
      <c r="L54" s="9" t="s">
        <v>503</v>
      </c>
    </row>
    <row r="55" spans="1:12" ht="28.5" x14ac:dyDescent="0.25">
      <c r="A55" s="2">
        <v>4</v>
      </c>
      <c r="B55" s="3" t="s">
        <v>57</v>
      </c>
      <c r="C55" s="3" t="s">
        <v>145</v>
      </c>
      <c r="D55" s="65"/>
      <c r="E55" s="8" t="s">
        <v>146</v>
      </c>
      <c r="F55" s="9" t="s">
        <v>520</v>
      </c>
      <c r="G55" s="5">
        <v>93000</v>
      </c>
      <c r="H55" s="5"/>
      <c r="I55" s="5"/>
      <c r="J55" s="8" t="s">
        <v>481</v>
      </c>
      <c r="K55" s="9" t="s">
        <v>479</v>
      </c>
      <c r="L55" s="9" t="s">
        <v>503</v>
      </c>
    </row>
    <row r="56" spans="1:12" x14ac:dyDescent="0.25">
      <c r="A56" s="2">
        <v>4</v>
      </c>
      <c r="B56" s="3" t="s">
        <v>57</v>
      </c>
      <c r="C56" s="3" t="s">
        <v>153</v>
      </c>
      <c r="D56" s="65"/>
      <c r="E56" s="8" t="s">
        <v>154</v>
      </c>
      <c r="F56" s="9" t="s">
        <v>464</v>
      </c>
      <c r="G56" s="5">
        <v>270</v>
      </c>
      <c r="H56" s="5"/>
      <c r="I56" s="5"/>
      <c r="J56" s="8" t="s">
        <v>481</v>
      </c>
      <c r="K56" s="9" t="s">
        <v>479</v>
      </c>
      <c r="L56" s="9" t="s">
        <v>503</v>
      </c>
    </row>
    <row r="57" spans="1:12" x14ac:dyDescent="0.25">
      <c r="A57" s="2">
        <v>4</v>
      </c>
      <c r="B57" s="3" t="s">
        <v>57</v>
      </c>
      <c r="C57" s="3" t="s">
        <v>155</v>
      </c>
      <c r="D57" s="65"/>
      <c r="E57" s="8" t="s">
        <v>156</v>
      </c>
      <c r="F57" s="9" t="s">
        <v>464</v>
      </c>
      <c r="G57" s="5">
        <v>200</v>
      </c>
      <c r="H57" s="5"/>
      <c r="I57" s="5"/>
      <c r="J57" s="8" t="s">
        <v>481</v>
      </c>
      <c r="K57" s="9" t="s">
        <v>479</v>
      </c>
      <c r="L57" s="9" t="s">
        <v>503</v>
      </c>
    </row>
    <row r="58" spans="1:12" x14ac:dyDescent="0.25">
      <c r="A58" s="2">
        <v>4</v>
      </c>
      <c r="B58" s="3" t="s">
        <v>57</v>
      </c>
      <c r="C58" s="3" t="s">
        <v>157</v>
      </c>
      <c r="D58" s="65"/>
      <c r="E58" s="8" t="s">
        <v>158</v>
      </c>
      <c r="F58" s="9" t="s">
        <v>464</v>
      </c>
      <c r="G58" s="5">
        <v>30</v>
      </c>
      <c r="H58" s="5"/>
      <c r="I58" s="5"/>
      <c r="J58" s="8" t="s">
        <v>481</v>
      </c>
      <c r="K58" s="9" t="s">
        <v>479</v>
      </c>
      <c r="L58" s="9" t="s">
        <v>503</v>
      </c>
    </row>
    <row r="59" spans="1:12" ht="25.5" x14ac:dyDescent="0.25">
      <c r="A59" s="2">
        <v>4</v>
      </c>
      <c r="B59" s="3" t="s">
        <v>57</v>
      </c>
      <c r="C59" s="3" t="s">
        <v>159</v>
      </c>
      <c r="D59" s="65"/>
      <c r="E59" s="8" t="s">
        <v>160</v>
      </c>
      <c r="F59" s="9" t="s">
        <v>464</v>
      </c>
      <c r="G59" s="5">
        <v>30</v>
      </c>
      <c r="H59" s="5"/>
      <c r="I59" s="5"/>
      <c r="J59" s="8" t="s">
        <v>481</v>
      </c>
      <c r="K59" s="9" t="s">
        <v>479</v>
      </c>
      <c r="L59" s="9" t="s">
        <v>503</v>
      </c>
    </row>
    <row r="60" spans="1:12" ht="25.5" x14ac:dyDescent="0.25">
      <c r="A60" s="2">
        <v>4</v>
      </c>
      <c r="B60" s="3" t="s">
        <v>57</v>
      </c>
      <c r="C60" s="3" t="s">
        <v>161</v>
      </c>
      <c r="D60" s="65"/>
      <c r="E60" s="8" t="s">
        <v>162</v>
      </c>
      <c r="F60" s="9" t="s">
        <v>521</v>
      </c>
      <c r="G60" s="5">
        <v>250000</v>
      </c>
      <c r="H60" s="5"/>
      <c r="I60" s="5"/>
      <c r="J60" s="8" t="s">
        <v>481</v>
      </c>
      <c r="K60" s="9" t="s">
        <v>522</v>
      </c>
      <c r="L60" s="9" t="s">
        <v>503</v>
      </c>
    </row>
    <row r="61" spans="1:12" x14ac:dyDescent="0.25">
      <c r="A61" s="2">
        <v>4</v>
      </c>
      <c r="B61" s="3" t="s">
        <v>57</v>
      </c>
      <c r="C61" s="3" t="s">
        <v>163</v>
      </c>
      <c r="D61" s="65"/>
      <c r="E61" s="8" t="s">
        <v>164</v>
      </c>
      <c r="F61" s="9" t="s">
        <v>521</v>
      </c>
      <c r="G61" s="5">
        <v>250000</v>
      </c>
      <c r="H61" s="5"/>
      <c r="I61" s="5"/>
      <c r="J61" s="8" t="s">
        <v>481</v>
      </c>
      <c r="K61" s="9" t="s">
        <v>479</v>
      </c>
      <c r="L61" s="9" t="s">
        <v>503</v>
      </c>
    </row>
    <row r="62" spans="1:12" x14ac:dyDescent="0.25">
      <c r="A62" s="2">
        <v>4</v>
      </c>
      <c r="B62" s="3" t="s">
        <v>57</v>
      </c>
      <c r="C62" s="3" t="s">
        <v>149</v>
      </c>
      <c r="D62" s="65"/>
      <c r="E62" s="8" t="s">
        <v>150</v>
      </c>
      <c r="F62" s="9" t="s">
        <v>515</v>
      </c>
      <c r="G62" s="5">
        <v>20</v>
      </c>
      <c r="H62" s="5"/>
      <c r="I62" s="5"/>
      <c r="J62" s="8" t="s">
        <v>481</v>
      </c>
      <c r="K62" s="9" t="s">
        <v>479</v>
      </c>
      <c r="L62" s="9" t="s">
        <v>503</v>
      </c>
    </row>
    <row r="63" spans="1:12" x14ac:dyDescent="0.25">
      <c r="A63" s="2">
        <v>4</v>
      </c>
      <c r="B63" s="3" t="s">
        <v>57</v>
      </c>
      <c r="C63" s="3" t="s">
        <v>151</v>
      </c>
      <c r="D63" s="65"/>
      <c r="E63" s="8" t="s">
        <v>152</v>
      </c>
      <c r="F63" s="9" t="s">
        <v>516</v>
      </c>
      <c r="G63" s="5">
        <v>27</v>
      </c>
      <c r="H63" s="5"/>
      <c r="I63" s="5"/>
      <c r="J63" s="8" t="s">
        <v>481</v>
      </c>
      <c r="K63" s="9" t="s">
        <v>479</v>
      </c>
      <c r="L63" s="9" t="s">
        <v>503</v>
      </c>
    </row>
    <row r="64" spans="1:12" x14ac:dyDescent="0.25">
      <c r="A64" s="2">
        <v>4</v>
      </c>
      <c r="B64" s="3" t="s">
        <v>58</v>
      </c>
      <c r="C64" s="3" t="s">
        <v>143</v>
      </c>
      <c r="D64" s="65"/>
      <c r="E64" s="8" t="s">
        <v>144</v>
      </c>
      <c r="F64" s="9" t="s">
        <v>491</v>
      </c>
      <c r="G64" s="5">
        <v>2</v>
      </c>
      <c r="H64" s="5"/>
      <c r="I64" s="5"/>
      <c r="J64" s="8" t="s">
        <v>481</v>
      </c>
      <c r="K64" s="9" t="s">
        <v>479</v>
      </c>
      <c r="L64" s="9" t="s">
        <v>503</v>
      </c>
    </row>
    <row r="65" spans="1:12" x14ac:dyDescent="0.25">
      <c r="A65" s="2">
        <v>4</v>
      </c>
      <c r="B65" s="3" t="s">
        <v>58</v>
      </c>
      <c r="C65" s="3" t="s">
        <v>165</v>
      </c>
      <c r="D65" s="65"/>
      <c r="E65" s="8" t="s">
        <v>166</v>
      </c>
      <c r="F65" s="9" t="s">
        <v>526</v>
      </c>
      <c r="G65" s="5">
        <v>278900000</v>
      </c>
      <c r="H65" s="5"/>
      <c r="I65" s="5"/>
      <c r="J65" s="8" t="s">
        <v>481</v>
      </c>
      <c r="K65" s="9" t="s">
        <v>479</v>
      </c>
      <c r="L65" s="9" t="s">
        <v>503</v>
      </c>
    </row>
    <row r="66" spans="1:12" ht="28.5" x14ac:dyDescent="0.25">
      <c r="A66" s="2">
        <v>4</v>
      </c>
      <c r="B66" s="3" t="s">
        <v>58</v>
      </c>
      <c r="C66" s="3" t="s">
        <v>145</v>
      </c>
      <c r="D66" s="65"/>
      <c r="E66" s="8" t="s">
        <v>146</v>
      </c>
      <c r="F66" s="9" t="s">
        <v>520</v>
      </c>
      <c r="G66" s="5">
        <v>73500</v>
      </c>
      <c r="H66" s="5"/>
      <c r="I66" s="5"/>
      <c r="J66" s="8" t="s">
        <v>481</v>
      </c>
      <c r="K66" s="9" t="s">
        <v>479</v>
      </c>
      <c r="L66" s="9" t="s">
        <v>503</v>
      </c>
    </row>
    <row r="67" spans="1:12" ht="25.5" x14ac:dyDescent="0.25">
      <c r="A67" s="2">
        <v>4</v>
      </c>
      <c r="B67" s="3" t="s">
        <v>58</v>
      </c>
      <c r="C67" s="3" t="s">
        <v>167</v>
      </c>
      <c r="D67" s="65"/>
      <c r="E67" s="8" t="s">
        <v>168</v>
      </c>
      <c r="F67" s="9" t="s">
        <v>464</v>
      </c>
      <c r="G67" s="5">
        <v>550</v>
      </c>
      <c r="H67" s="5"/>
      <c r="I67" s="5"/>
      <c r="J67" s="8" t="s">
        <v>481</v>
      </c>
      <c r="K67" s="9" t="s">
        <v>479</v>
      </c>
      <c r="L67" s="9" t="s">
        <v>503</v>
      </c>
    </row>
    <row r="68" spans="1:12" x14ac:dyDescent="0.25">
      <c r="A68" s="2">
        <v>4</v>
      </c>
      <c r="B68" s="3" t="s">
        <v>58</v>
      </c>
      <c r="C68" s="13" t="s">
        <v>169</v>
      </c>
      <c r="D68" s="65"/>
      <c r="E68" s="8" t="s">
        <v>170</v>
      </c>
      <c r="F68" s="9" t="s">
        <v>527</v>
      </c>
      <c r="G68" s="5">
        <v>1248000</v>
      </c>
      <c r="H68" s="5"/>
      <c r="I68" s="5"/>
      <c r="J68" s="8" t="s">
        <v>481</v>
      </c>
      <c r="K68" s="9" t="s">
        <v>479</v>
      </c>
      <c r="L68" s="9" t="s">
        <v>503</v>
      </c>
    </row>
    <row r="69" spans="1:12" x14ac:dyDescent="0.25">
      <c r="A69" s="2">
        <v>4</v>
      </c>
      <c r="B69" s="3" t="s">
        <v>58</v>
      </c>
      <c r="C69" s="3" t="s">
        <v>171</v>
      </c>
      <c r="D69" s="65"/>
      <c r="E69" s="8" t="s">
        <v>172</v>
      </c>
      <c r="F69" s="9" t="s">
        <v>526</v>
      </c>
      <c r="G69" s="5">
        <v>172000000</v>
      </c>
      <c r="H69" s="5"/>
      <c r="I69" s="5"/>
      <c r="J69" s="8" t="s">
        <v>481</v>
      </c>
      <c r="K69" s="9" t="s">
        <v>479</v>
      </c>
      <c r="L69" s="9" t="s">
        <v>503</v>
      </c>
    </row>
    <row r="70" spans="1:12" x14ac:dyDescent="0.25">
      <c r="A70" s="2">
        <v>4</v>
      </c>
      <c r="B70" s="3" t="s">
        <v>59</v>
      </c>
      <c r="C70" s="3" t="s">
        <v>155</v>
      </c>
      <c r="D70" s="65"/>
      <c r="E70" s="8" t="s">
        <v>156</v>
      </c>
      <c r="F70" s="9" t="s">
        <v>464</v>
      </c>
      <c r="G70" s="5">
        <v>80</v>
      </c>
      <c r="H70" s="5"/>
      <c r="I70" s="5"/>
      <c r="J70" s="8" t="s">
        <v>481</v>
      </c>
      <c r="K70" s="9" t="s">
        <v>479</v>
      </c>
      <c r="L70" s="9" t="s">
        <v>503</v>
      </c>
    </row>
    <row r="71" spans="1:12" x14ac:dyDescent="0.25">
      <c r="A71" s="2">
        <v>4</v>
      </c>
      <c r="B71" s="3" t="s">
        <v>59</v>
      </c>
      <c r="C71" s="3" t="s">
        <v>173</v>
      </c>
      <c r="D71" s="65"/>
      <c r="E71" s="8" t="s">
        <v>174</v>
      </c>
      <c r="F71" s="9" t="s">
        <v>464</v>
      </c>
      <c r="G71" s="5">
        <v>10</v>
      </c>
      <c r="H71" s="5"/>
      <c r="I71" s="5"/>
      <c r="J71" s="8" t="s">
        <v>481</v>
      </c>
      <c r="K71" s="9" t="s">
        <v>479</v>
      </c>
      <c r="L71" s="9" t="s">
        <v>503</v>
      </c>
    </row>
    <row r="72" spans="1:12" x14ac:dyDescent="0.25">
      <c r="A72" s="2">
        <v>4</v>
      </c>
      <c r="B72" s="3" t="s">
        <v>59</v>
      </c>
      <c r="C72" s="3" t="s">
        <v>175</v>
      </c>
      <c r="D72" s="65"/>
      <c r="E72" s="8" t="s">
        <v>176</v>
      </c>
      <c r="F72" s="9" t="s">
        <v>464</v>
      </c>
      <c r="G72" s="5">
        <v>80</v>
      </c>
      <c r="H72" s="5"/>
      <c r="I72" s="5"/>
      <c r="J72" s="8" t="s">
        <v>481</v>
      </c>
      <c r="K72" s="9" t="s">
        <v>479</v>
      </c>
      <c r="L72" s="9" t="s">
        <v>503</v>
      </c>
    </row>
    <row r="73" spans="1:12" x14ac:dyDescent="0.25">
      <c r="A73" s="2">
        <v>4</v>
      </c>
      <c r="B73" s="3" t="s">
        <v>59</v>
      </c>
      <c r="C73" s="3" t="s">
        <v>177</v>
      </c>
      <c r="D73" s="65"/>
      <c r="E73" s="8" t="s">
        <v>178</v>
      </c>
      <c r="F73" s="9" t="s">
        <v>464</v>
      </c>
      <c r="G73" s="5">
        <v>10</v>
      </c>
      <c r="H73" s="5"/>
      <c r="I73" s="5"/>
      <c r="J73" s="8" t="s">
        <v>481</v>
      </c>
      <c r="K73" s="9" t="s">
        <v>479</v>
      </c>
      <c r="L73" s="9" t="s">
        <v>503</v>
      </c>
    </row>
    <row r="74" spans="1:12" ht="25.5" x14ac:dyDescent="0.25">
      <c r="A74" s="2">
        <v>4</v>
      </c>
      <c r="B74" s="3" t="s">
        <v>59</v>
      </c>
      <c r="C74" s="3" t="s">
        <v>84</v>
      </c>
      <c r="D74" s="65"/>
      <c r="E74" s="8" t="s">
        <v>85</v>
      </c>
      <c r="F74" s="9" t="s">
        <v>464</v>
      </c>
      <c r="G74" s="5">
        <v>2500</v>
      </c>
      <c r="H74" s="5"/>
      <c r="I74" s="5"/>
      <c r="J74" s="8" t="s">
        <v>481</v>
      </c>
      <c r="K74" s="9" t="s">
        <v>479</v>
      </c>
      <c r="L74" s="9" t="s">
        <v>503</v>
      </c>
    </row>
    <row r="75" spans="1:12" x14ac:dyDescent="0.25">
      <c r="A75" s="2">
        <v>4</v>
      </c>
      <c r="B75" s="3" t="s">
        <v>59</v>
      </c>
      <c r="C75" s="3" t="s">
        <v>179</v>
      </c>
      <c r="D75" s="65"/>
      <c r="E75" s="8" t="s">
        <v>180</v>
      </c>
      <c r="F75" s="9" t="s">
        <v>464</v>
      </c>
      <c r="G75" s="5">
        <v>50</v>
      </c>
      <c r="H75" s="5"/>
      <c r="I75" s="5"/>
      <c r="J75" s="8" t="s">
        <v>481</v>
      </c>
      <c r="K75" s="9" t="s">
        <v>479</v>
      </c>
      <c r="L75" s="9" t="s">
        <v>503</v>
      </c>
    </row>
    <row r="76" spans="1:12" ht="28.5" x14ac:dyDescent="0.25">
      <c r="A76" s="2">
        <v>4</v>
      </c>
      <c r="B76" s="3" t="s">
        <v>60</v>
      </c>
      <c r="C76" s="3" t="s">
        <v>145</v>
      </c>
      <c r="D76" s="65"/>
      <c r="E76" s="8" t="s">
        <v>146</v>
      </c>
      <c r="F76" s="9" t="s">
        <v>520</v>
      </c>
      <c r="G76" s="5">
        <v>280000</v>
      </c>
      <c r="H76" s="5"/>
      <c r="I76" s="5"/>
      <c r="J76" s="8" t="s">
        <v>481</v>
      </c>
      <c r="K76" s="9" t="s">
        <v>479</v>
      </c>
      <c r="L76" s="9" t="s">
        <v>503</v>
      </c>
    </row>
    <row r="77" spans="1:12" x14ac:dyDescent="0.25">
      <c r="A77" s="2">
        <v>4</v>
      </c>
      <c r="B77" s="3" t="s">
        <v>60</v>
      </c>
      <c r="C77" s="3" t="s">
        <v>181</v>
      </c>
      <c r="D77" s="65"/>
      <c r="E77" s="8" t="s">
        <v>182</v>
      </c>
      <c r="F77" s="9" t="s">
        <v>464</v>
      </c>
      <c r="G77" s="5">
        <v>25</v>
      </c>
      <c r="H77" s="5"/>
      <c r="I77" s="5"/>
      <c r="J77" s="8" t="s">
        <v>481</v>
      </c>
      <c r="K77" s="9" t="s">
        <v>479</v>
      </c>
      <c r="L77" s="9" t="s">
        <v>503</v>
      </c>
    </row>
    <row r="78" spans="1:12" x14ac:dyDescent="0.25">
      <c r="A78" s="2">
        <v>4</v>
      </c>
      <c r="B78" s="3" t="s">
        <v>60</v>
      </c>
      <c r="C78" s="3" t="s">
        <v>183</v>
      </c>
      <c r="D78" s="65"/>
      <c r="E78" s="8" t="s">
        <v>184</v>
      </c>
      <c r="F78" s="9" t="s">
        <v>521</v>
      </c>
      <c r="G78" s="5">
        <v>1000000</v>
      </c>
      <c r="H78" s="5"/>
      <c r="I78" s="5"/>
      <c r="J78" s="8" t="s">
        <v>481</v>
      </c>
      <c r="K78" s="9" t="s">
        <v>479</v>
      </c>
      <c r="L78" s="9" t="s">
        <v>503</v>
      </c>
    </row>
    <row r="79" spans="1:12" ht="25.5" x14ac:dyDescent="0.25">
      <c r="A79" s="2">
        <v>4</v>
      </c>
      <c r="B79" s="3" t="s">
        <v>60</v>
      </c>
      <c r="C79" s="3" t="s">
        <v>185</v>
      </c>
      <c r="D79" s="65"/>
      <c r="E79" s="8" t="s">
        <v>186</v>
      </c>
      <c r="F79" s="9" t="s">
        <v>521</v>
      </c>
      <c r="G79" s="5">
        <v>400000</v>
      </c>
      <c r="H79" s="5"/>
      <c r="I79" s="5"/>
      <c r="J79" s="8" t="s">
        <v>481</v>
      </c>
      <c r="K79" s="9" t="s">
        <v>479</v>
      </c>
      <c r="L79" s="9" t="s">
        <v>503</v>
      </c>
    </row>
    <row r="80" spans="1:12" ht="25.5" x14ac:dyDescent="0.25">
      <c r="A80" s="2">
        <v>4</v>
      </c>
      <c r="B80" s="3" t="s">
        <v>60</v>
      </c>
      <c r="C80" s="3" t="s">
        <v>187</v>
      </c>
      <c r="D80" s="65"/>
      <c r="E80" s="8" t="s">
        <v>188</v>
      </c>
      <c r="F80" s="9" t="s">
        <v>491</v>
      </c>
      <c r="G80" s="5">
        <v>45</v>
      </c>
      <c r="H80" s="5"/>
      <c r="I80" s="5"/>
      <c r="J80" s="8" t="s">
        <v>481</v>
      </c>
      <c r="K80" s="9" t="s">
        <v>479</v>
      </c>
      <c r="L80" s="9" t="s">
        <v>503</v>
      </c>
    </row>
    <row r="81" spans="1:12" x14ac:dyDescent="0.25">
      <c r="A81" s="2">
        <v>5</v>
      </c>
      <c r="B81" s="3" t="s">
        <v>47</v>
      </c>
      <c r="C81" s="3" t="s">
        <v>189</v>
      </c>
      <c r="D81" s="65"/>
      <c r="E81" s="8" t="s">
        <v>190</v>
      </c>
      <c r="F81" s="9" t="s">
        <v>464</v>
      </c>
      <c r="G81" s="5">
        <v>20</v>
      </c>
      <c r="H81" s="5"/>
      <c r="I81" s="5"/>
      <c r="J81" s="8" t="s">
        <v>481</v>
      </c>
      <c r="K81" s="9" t="s">
        <v>517</v>
      </c>
      <c r="L81" s="9" t="s">
        <v>517</v>
      </c>
    </row>
    <row r="82" spans="1:12" x14ac:dyDescent="0.25">
      <c r="A82" s="2">
        <v>5</v>
      </c>
      <c r="B82" s="3" t="s">
        <v>47</v>
      </c>
      <c r="C82" s="3" t="s">
        <v>191</v>
      </c>
      <c r="D82" s="65"/>
      <c r="E82" s="8" t="s">
        <v>192</v>
      </c>
      <c r="F82" s="9" t="s">
        <v>464</v>
      </c>
      <c r="G82" s="5">
        <v>60</v>
      </c>
      <c r="H82" s="5"/>
      <c r="I82" s="5"/>
      <c r="J82" s="8" t="s">
        <v>481</v>
      </c>
      <c r="K82" s="9" t="s">
        <v>517</v>
      </c>
      <c r="L82" s="9" t="s">
        <v>517</v>
      </c>
    </row>
    <row r="83" spans="1:12" ht="25.5" x14ac:dyDescent="0.25">
      <c r="A83" s="2">
        <v>5</v>
      </c>
      <c r="B83" s="3" t="s">
        <v>47</v>
      </c>
      <c r="C83" s="3" t="s">
        <v>193</v>
      </c>
      <c r="D83" s="65"/>
      <c r="E83" s="8" t="s">
        <v>194</v>
      </c>
      <c r="F83" s="9" t="s">
        <v>533</v>
      </c>
      <c r="G83" s="5">
        <v>310</v>
      </c>
      <c r="H83" s="5"/>
      <c r="I83" s="5"/>
      <c r="J83" s="8" t="s">
        <v>481</v>
      </c>
      <c r="K83" s="9" t="s">
        <v>517</v>
      </c>
      <c r="L83" s="9" t="s">
        <v>517</v>
      </c>
    </row>
    <row r="84" spans="1:12" x14ac:dyDescent="0.25">
      <c r="A84" s="2">
        <v>5</v>
      </c>
      <c r="B84" s="3" t="s">
        <v>47</v>
      </c>
      <c r="C84" s="3" t="s">
        <v>195</v>
      </c>
      <c r="D84" s="65"/>
      <c r="E84" s="8" t="s">
        <v>196</v>
      </c>
      <c r="F84" s="9" t="s">
        <v>464</v>
      </c>
      <c r="G84" s="5">
        <v>30</v>
      </c>
      <c r="H84" s="5"/>
      <c r="I84" s="5"/>
      <c r="J84" s="8" t="s">
        <v>481</v>
      </c>
      <c r="K84" s="9" t="s">
        <v>517</v>
      </c>
      <c r="L84" s="9" t="s">
        <v>517</v>
      </c>
    </row>
    <row r="85" spans="1:12" ht="25.5" x14ac:dyDescent="0.25">
      <c r="A85" s="2">
        <v>5</v>
      </c>
      <c r="B85" s="3" t="s">
        <v>47</v>
      </c>
      <c r="C85" s="3" t="s">
        <v>197</v>
      </c>
      <c r="D85" s="65"/>
      <c r="E85" s="8" t="s">
        <v>198</v>
      </c>
      <c r="F85" s="9" t="s">
        <v>463</v>
      </c>
      <c r="G85" s="5">
        <v>100</v>
      </c>
      <c r="H85" s="5"/>
      <c r="I85" s="5"/>
      <c r="J85" s="8" t="s">
        <v>481</v>
      </c>
      <c r="K85" s="9" t="s">
        <v>517</v>
      </c>
      <c r="L85" s="9" t="s">
        <v>517</v>
      </c>
    </row>
    <row r="86" spans="1:12" ht="25.5" x14ac:dyDescent="0.25">
      <c r="A86" s="2">
        <v>5</v>
      </c>
      <c r="B86" s="3" t="s">
        <v>75</v>
      </c>
      <c r="C86" s="3" t="s">
        <v>84</v>
      </c>
      <c r="D86" s="65"/>
      <c r="E86" s="8" t="s">
        <v>85</v>
      </c>
      <c r="F86" s="9" t="s">
        <v>464</v>
      </c>
      <c r="G86" s="5">
        <v>600</v>
      </c>
      <c r="H86" s="5"/>
      <c r="I86" s="5"/>
      <c r="J86" s="8" t="s">
        <v>481</v>
      </c>
      <c r="K86" s="9" t="s">
        <v>517</v>
      </c>
      <c r="L86" s="9" t="s">
        <v>517</v>
      </c>
    </row>
  </sheetData>
  <autoFilter ref="A1:K86">
    <filterColumn colId="1">
      <colorFilter dxfId="405"/>
    </filterColumn>
  </autoFilter>
  <conditionalFormatting sqref="H2:H39">
    <cfRule type="cellIs" dxfId="404" priority="1" operator="lessThan">
      <formula>$G2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H5" sqref="H5"/>
    </sheetView>
  </sheetViews>
  <sheetFormatPr defaultRowHeight="15" x14ac:dyDescent="0.25"/>
  <cols>
    <col min="8" max="27" width="10.7109375" customWidth="1"/>
  </cols>
  <sheetData>
    <row r="1" spans="1:27" ht="47.2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192</v>
      </c>
      <c r="I1" s="1207"/>
      <c r="J1" s="1207" t="s">
        <v>192</v>
      </c>
      <c r="K1" s="1207"/>
      <c r="L1" s="1207" t="s">
        <v>455</v>
      </c>
      <c r="M1" s="1207"/>
      <c r="N1" s="1207" t="s">
        <v>455</v>
      </c>
      <c r="O1" s="1207"/>
      <c r="P1" s="1207" t="s">
        <v>457</v>
      </c>
      <c r="Q1" s="1207"/>
      <c r="R1" s="1207" t="s">
        <v>460</v>
      </c>
      <c r="S1" s="1207"/>
      <c r="T1" s="1207" t="s">
        <v>457</v>
      </c>
      <c r="U1" s="1207"/>
      <c r="V1" s="1207" t="s">
        <v>460</v>
      </c>
      <c r="W1" s="1207"/>
      <c r="X1" s="1207" t="s">
        <v>196</v>
      </c>
      <c r="Y1" s="1207"/>
      <c r="Z1" s="1207" t="s">
        <v>196</v>
      </c>
      <c r="AA1" s="1207"/>
    </row>
    <row r="2" spans="1:27" x14ac:dyDescent="0.25">
      <c r="A2" s="1201"/>
      <c r="B2" s="1201"/>
      <c r="C2" s="1201"/>
      <c r="D2" s="1201"/>
      <c r="E2" s="1201"/>
      <c r="F2" s="1201"/>
      <c r="G2" s="1201"/>
      <c r="H2" s="1208" t="s">
        <v>461</v>
      </c>
      <c r="I2" s="1208"/>
      <c r="J2" s="1208" t="s">
        <v>461</v>
      </c>
      <c r="K2" s="1208"/>
      <c r="L2" s="1208" t="s">
        <v>454</v>
      </c>
      <c r="M2" s="1208"/>
      <c r="N2" s="1208" t="s">
        <v>454</v>
      </c>
      <c r="O2" s="1208"/>
      <c r="P2" s="1208" t="s">
        <v>456</v>
      </c>
      <c r="Q2" s="1208"/>
      <c r="R2" s="1208" t="s">
        <v>459</v>
      </c>
      <c r="S2" s="1208"/>
      <c r="T2" s="1208" t="s">
        <v>456</v>
      </c>
      <c r="U2" s="1208"/>
      <c r="V2" s="1208" t="s">
        <v>459</v>
      </c>
      <c r="W2" s="1208"/>
      <c r="X2" s="1208" t="s">
        <v>458</v>
      </c>
      <c r="Y2" s="1208"/>
      <c r="Z2" s="1208" t="s">
        <v>458</v>
      </c>
      <c r="AA2" s="1208"/>
    </row>
    <row r="3" spans="1:27" x14ac:dyDescent="0.25">
      <c r="A3" s="1201"/>
      <c r="B3" s="1201"/>
      <c r="C3" s="1201"/>
      <c r="D3" s="1201"/>
      <c r="E3" s="1201"/>
      <c r="F3" s="1201"/>
      <c r="G3" s="1201"/>
      <c r="H3" s="1208" t="s">
        <v>590</v>
      </c>
      <c r="I3" s="1208"/>
      <c r="J3" s="1208" t="s">
        <v>590</v>
      </c>
      <c r="K3" s="1208"/>
      <c r="L3" s="1208" t="s">
        <v>594</v>
      </c>
      <c r="M3" s="1208"/>
      <c r="N3" s="1208" t="s">
        <v>594</v>
      </c>
      <c r="O3" s="1208"/>
      <c r="P3" s="1208" t="s">
        <v>592</v>
      </c>
      <c r="Q3" s="1208"/>
      <c r="R3" s="1208" t="s">
        <v>592</v>
      </c>
      <c r="S3" s="1208"/>
      <c r="T3" s="1208" t="s">
        <v>592</v>
      </c>
      <c r="U3" s="1208"/>
      <c r="V3" s="1208" t="s">
        <v>592</v>
      </c>
      <c r="W3" s="1208"/>
      <c r="X3" s="1208" t="s">
        <v>593</v>
      </c>
      <c r="Y3" s="1208"/>
      <c r="Z3" s="1208" t="s">
        <v>593</v>
      </c>
      <c r="AA3" s="1208"/>
    </row>
    <row r="4" spans="1:27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6" t="s">
        <v>603</v>
      </c>
      <c r="K4" s="16" t="s">
        <v>604</v>
      </c>
      <c r="L4" s="16" t="s">
        <v>603</v>
      </c>
      <c r="M4" s="16" t="s">
        <v>604</v>
      </c>
      <c r="N4" s="16" t="s">
        <v>603</v>
      </c>
      <c r="O4" s="16" t="s">
        <v>604</v>
      </c>
      <c r="P4" s="16" t="s">
        <v>603</v>
      </c>
      <c r="Q4" s="16" t="s">
        <v>604</v>
      </c>
      <c r="R4" s="16" t="s">
        <v>603</v>
      </c>
      <c r="S4" s="16" t="s">
        <v>604</v>
      </c>
      <c r="T4" s="16" t="s">
        <v>603</v>
      </c>
      <c r="U4" s="16" t="s">
        <v>604</v>
      </c>
      <c r="V4" s="16" t="s">
        <v>603</v>
      </c>
      <c r="W4" s="16" t="s">
        <v>604</v>
      </c>
      <c r="X4" s="16" t="s">
        <v>603</v>
      </c>
      <c r="Y4" s="16" t="s">
        <v>604</v>
      </c>
      <c r="Z4" s="16" t="s">
        <v>603</v>
      </c>
      <c r="AA4" s="16" t="s">
        <v>604</v>
      </c>
    </row>
    <row r="5" spans="1:27" ht="293.25" x14ac:dyDescent="0.25">
      <c r="A5" s="124" t="s">
        <v>1466</v>
      </c>
      <c r="B5" s="124"/>
      <c r="C5" s="124" t="s">
        <v>1112</v>
      </c>
      <c r="D5" s="124" t="s">
        <v>1465</v>
      </c>
      <c r="E5" s="124" t="s">
        <v>1095</v>
      </c>
      <c r="F5" s="124" t="s">
        <v>1467</v>
      </c>
      <c r="G5" s="61">
        <v>42705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25">
      <c r="A6" s="124"/>
      <c r="B6" s="124"/>
      <c r="C6" s="124"/>
      <c r="D6" s="124"/>
      <c r="E6" s="124"/>
      <c r="F6" s="124"/>
      <c r="G6" s="6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124"/>
      <c r="B7" s="124"/>
      <c r="C7" s="124"/>
      <c r="D7" s="124"/>
      <c r="E7" s="124"/>
      <c r="F7" s="124"/>
      <c r="G7" s="6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25">
      <c r="A8" s="124"/>
      <c r="B8" s="124"/>
      <c r="C8" s="124"/>
      <c r="D8" s="124"/>
      <c r="E8" s="124"/>
      <c r="F8" s="124"/>
      <c r="G8" s="6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H9" s="18">
        <f>SUM(H5:H8)</f>
        <v>0</v>
      </c>
      <c r="I9" s="18">
        <f t="shared" ref="I9:U9" si="0">SUM(I5:I8)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ref="V9" si="1">SUM(V5:V8)</f>
        <v>0</v>
      </c>
      <c r="W9" s="18">
        <f t="shared" ref="W9" si="2">SUM(W5:W8)</f>
        <v>0</v>
      </c>
      <c r="X9" s="18">
        <f t="shared" ref="X9" si="3">SUM(X5:X8)</f>
        <v>0</v>
      </c>
      <c r="Y9" s="18">
        <f t="shared" ref="Y9" si="4">SUM(Y5:Y8)</f>
        <v>0</v>
      </c>
      <c r="Z9" s="18">
        <f t="shared" ref="Z9" si="5">SUM(Z5:Z8)</f>
        <v>0</v>
      </c>
      <c r="AA9" s="18">
        <f t="shared" ref="AA9" si="6">SUM(AA5:AA8)</f>
        <v>0</v>
      </c>
    </row>
    <row r="10" spans="1:27" x14ac:dyDescent="0.25">
      <c r="H10" s="18">
        <f>COUNT(H5:H8)</f>
        <v>0</v>
      </c>
      <c r="I10" s="18">
        <f t="shared" ref="I10:U10" si="7">COUNT(I5:I8)</f>
        <v>0</v>
      </c>
      <c r="J10" s="18">
        <f t="shared" si="7"/>
        <v>0</v>
      </c>
      <c r="K10" s="18">
        <f t="shared" si="7"/>
        <v>0</v>
      </c>
      <c r="L10" s="18">
        <f t="shared" si="7"/>
        <v>0</v>
      </c>
      <c r="M10" s="18">
        <f t="shared" si="7"/>
        <v>0</v>
      </c>
      <c r="N10" s="18">
        <f t="shared" si="7"/>
        <v>0</v>
      </c>
      <c r="O10" s="18">
        <f t="shared" si="7"/>
        <v>0</v>
      </c>
      <c r="P10" s="18">
        <f t="shared" si="7"/>
        <v>0</v>
      </c>
      <c r="Q10" s="18">
        <f t="shared" si="7"/>
        <v>0</v>
      </c>
      <c r="R10" s="18">
        <f t="shared" si="7"/>
        <v>0</v>
      </c>
      <c r="S10" s="18">
        <f t="shared" si="7"/>
        <v>0</v>
      </c>
      <c r="T10" s="18">
        <f t="shared" si="7"/>
        <v>0</v>
      </c>
      <c r="U10" s="18">
        <f t="shared" si="7"/>
        <v>0</v>
      </c>
      <c r="V10" s="18">
        <f t="shared" ref="V10:AA10" si="8">COUNT(V5:V8)</f>
        <v>0</v>
      </c>
      <c r="W10" s="18">
        <f t="shared" si="8"/>
        <v>0</v>
      </c>
      <c r="X10" s="18">
        <f t="shared" si="8"/>
        <v>0</v>
      </c>
      <c r="Y10" s="18">
        <f t="shared" si="8"/>
        <v>0</v>
      </c>
      <c r="Z10" s="18">
        <f t="shared" si="8"/>
        <v>0</v>
      </c>
      <c r="AA10" s="18">
        <f t="shared" si="8"/>
        <v>0</v>
      </c>
    </row>
  </sheetData>
  <mergeCells count="37">
    <mergeCell ref="F1:F4"/>
    <mergeCell ref="A1:A4"/>
    <mergeCell ref="B1:B4"/>
    <mergeCell ref="C1:C4"/>
    <mergeCell ref="D1:D4"/>
    <mergeCell ref="E1:E4"/>
    <mergeCell ref="T1:U1"/>
    <mergeCell ref="R2:S2"/>
    <mergeCell ref="G1:G4"/>
    <mergeCell ref="H1:I1"/>
    <mergeCell ref="J1:K1"/>
    <mergeCell ref="L1:M1"/>
    <mergeCell ref="N1:O1"/>
    <mergeCell ref="H3:I3"/>
    <mergeCell ref="J3:K3"/>
    <mergeCell ref="L3:M3"/>
    <mergeCell ref="N3:O3"/>
    <mergeCell ref="H2:I2"/>
    <mergeCell ref="J2:K2"/>
    <mergeCell ref="L2:M2"/>
    <mergeCell ref="N2:O2"/>
    <mergeCell ref="T2:U2"/>
    <mergeCell ref="P1:Q1"/>
    <mergeCell ref="P2:Q2"/>
    <mergeCell ref="Z1:AA1"/>
    <mergeCell ref="Z3:AA3"/>
    <mergeCell ref="V2:W2"/>
    <mergeCell ref="X2:Y2"/>
    <mergeCell ref="Z2:AA2"/>
    <mergeCell ref="P3:Q3"/>
    <mergeCell ref="R3:S3"/>
    <mergeCell ref="T3:U3"/>
    <mergeCell ref="V1:W1"/>
    <mergeCell ref="X1:Y1"/>
    <mergeCell ref="V3:W3"/>
    <mergeCell ref="X3:Y3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sqref="A1:A4"/>
    </sheetView>
  </sheetViews>
  <sheetFormatPr defaultRowHeight="15" x14ac:dyDescent="0.25"/>
  <cols>
    <col min="8" max="27" width="10.7109375" customWidth="1"/>
  </cols>
  <sheetData>
    <row r="1" spans="1:27" ht="47.2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192</v>
      </c>
      <c r="I1" s="1207"/>
      <c r="J1" s="1207" t="s">
        <v>192</v>
      </c>
      <c r="K1" s="1207"/>
      <c r="L1" s="1207" t="s">
        <v>455</v>
      </c>
      <c r="M1" s="1207"/>
      <c r="N1" s="1207" t="s">
        <v>455</v>
      </c>
      <c r="O1" s="1207"/>
      <c r="P1" s="1207" t="s">
        <v>457</v>
      </c>
      <c r="Q1" s="1207"/>
      <c r="R1" s="1207" t="s">
        <v>460</v>
      </c>
      <c r="S1" s="1207"/>
      <c r="T1" s="1207" t="s">
        <v>457</v>
      </c>
      <c r="U1" s="1207"/>
      <c r="V1" s="1207" t="s">
        <v>460</v>
      </c>
      <c r="W1" s="1207"/>
      <c r="X1" s="1207" t="s">
        <v>196</v>
      </c>
      <c r="Y1" s="1207"/>
      <c r="Z1" s="1207" t="s">
        <v>196</v>
      </c>
      <c r="AA1" s="1207"/>
    </row>
    <row r="2" spans="1:27" x14ac:dyDescent="0.25">
      <c r="A2" s="1201"/>
      <c r="B2" s="1201"/>
      <c r="C2" s="1201"/>
      <c r="D2" s="1201"/>
      <c r="E2" s="1201"/>
      <c r="F2" s="1201"/>
      <c r="G2" s="1201"/>
      <c r="H2" s="1208" t="s">
        <v>461</v>
      </c>
      <c r="I2" s="1208"/>
      <c r="J2" s="1208" t="s">
        <v>461</v>
      </c>
      <c r="K2" s="1208"/>
      <c r="L2" s="1208" t="s">
        <v>454</v>
      </c>
      <c r="M2" s="1208"/>
      <c r="N2" s="1208" t="s">
        <v>454</v>
      </c>
      <c r="O2" s="1208"/>
      <c r="P2" s="1208" t="s">
        <v>456</v>
      </c>
      <c r="Q2" s="1208"/>
      <c r="R2" s="1208" t="s">
        <v>459</v>
      </c>
      <c r="S2" s="1208"/>
      <c r="T2" s="1208" t="s">
        <v>456</v>
      </c>
      <c r="U2" s="1208"/>
      <c r="V2" s="1208" t="s">
        <v>459</v>
      </c>
      <c r="W2" s="1208"/>
      <c r="X2" s="1208" t="s">
        <v>458</v>
      </c>
      <c r="Y2" s="1208"/>
      <c r="Z2" s="1208" t="s">
        <v>458</v>
      </c>
      <c r="AA2" s="1208"/>
    </row>
    <row r="3" spans="1:27" x14ac:dyDescent="0.25">
      <c r="A3" s="1201"/>
      <c r="B3" s="1201"/>
      <c r="C3" s="1201"/>
      <c r="D3" s="1201"/>
      <c r="E3" s="1201"/>
      <c r="F3" s="1201"/>
      <c r="G3" s="1201"/>
      <c r="H3" s="1208" t="s">
        <v>590</v>
      </c>
      <c r="I3" s="1208"/>
      <c r="J3" s="1208" t="s">
        <v>590</v>
      </c>
      <c r="K3" s="1208"/>
      <c r="L3" s="1208" t="s">
        <v>594</v>
      </c>
      <c r="M3" s="1208"/>
      <c r="N3" s="1208" t="s">
        <v>594</v>
      </c>
      <c r="O3" s="1208"/>
      <c r="P3" s="1208" t="s">
        <v>592</v>
      </c>
      <c r="Q3" s="1208"/>
      <c r="R3" s="1208" t="s">
        <v>592</v>
      </c>
      <c r="S3" s="1208"/>
      <c r="T3" s="1208" t="s">
        <v>592</v>
      </c>
      <c r="U3" s="1208"/>
      <c r="V3" s="1208" t="s">
        <v>592</v>
      </c>
      <c r="W3" s="1208"/>
      <c r="X3" s="1208" t="s">
        <v>593</v>
      </c>
      <c r="Y3" s="1208"/>
      <c r="Z3" s="1208" t="s">
        <v>593</v>
      </c>
      <c r="AA3" s="1208"/>
    </row>
    <row r="4" spans="1:27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6" t="s">
        <v>603</v>
      </c>
      <c r="K4" s="16" t="s">
        <v>604</v>
      </c>
      <c r="L4" s="16" t="s">
        <v>603</v>
      </c>
      <c r="M4" s="16" t="s">
        <v>604</v>
      </c>
      <c r="N4" s="16" t="s">
        <v>603</v>
      </c>
      <c r="O4" s="16" t="s">
        <v>604</v>
      </c>
      <c r="P4" s="16" t="s">
        <v>603</v>
      </c>
      <c r="Q4" s="16" t="s">
        <v>604</v>
      </c>
      <c r="R4" s="16" t="s">
        <v>603</v>
      </c>
      <c r="S4" s="16" t="s">
        <v>604</v>
      </c>
      <c r="T4" s="16" t="s">
        <v>603</v>
      </c>
      <c r="U4" s="16" t="s">
        <v>604</v>
      </c>
      <c r="V4" s="16" t="s">
        <v>603</v>
      </c>
      <c r="W4" s="16" t="s">
        <v>604</v>
      </c>
      <c r="X4" s="16" t="s">
        <v>603</v>
      </c>
      <c r="Y4" s="16" t="s">
        <v>604</v>
      </c>
      <c r="Z4" s="16" t="s">
        <v>603</v>
      </c>
      <c r="AA4" s="16" t="s">
        <v>604</v>
      </c>
    </row>
    <row r="5" spans="1:27" x14ac:dyDescent="0.25">
      <c r="A5" s="124"/>
      <c r="B5" s="124"/>
      <c r="C5" s="124"/>
      <c r="D5" s="124"/>
      <c r="E5" s="124"/>
      <c r="F5" s="124"/>
      <c r="G5" s="6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25">
      <c r="A6" s="124"/>
      <c r="B6" s="124"/>
      <c r="C6" s="124"/>
      <c r="D6" s="124"/>
      <c r="E6" s="124"/>
      <c r="F6" s="124"/>
      <c r="G6" s="6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124"/>
      <c r="B7" s="124"/>
      <c r="C7" s="124"/>
      <c r="D7" s="124"/>
      <c r="E7" s="124"/>
      <c r="F7" s="124"/>
      <c r="G7" s="6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25">
      <c r="A8" s="124"/>
      <c r="B8" s="124"/>
      <c r="C8" s="124"/>
      <c r="D8" s="124"/>
      <c r="E8" s="124"/>
      <c r="F8" s="124"/>
      <c r="G8" s="6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H9" s="18">
        <f>SUM(H5:H8)</f>
        <v>0</v>
      </c>
      <c r="I9" s="18">
        <f t="shared" ref="I9:AA9" si="0">SUM(I5:I8)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</row>
    <row r="10" spans="1:27" x14ac:dyDescent="0.25">
      <c r="H10" s="18">
        <f>COUNT(H5:H8)</f>
        <v>0</v>
      </c>
      <c r="I10" s="18">
        <f t="shared" ref="I10:AA10" si="1">COUNT(I5:I8)</f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</row>
  </sheetData>
  <mergeCells count="37">
    <mergeCell ref="N1:O1"/>
    <mergeCell ref="H2:I2"/>
    <mergeCell ref="J2:K2"/>
    <mergeCell ref="L2:M2"/>
    <mergeCell ref="N2:O2"/>
    <mergeCell ref="F1:F4"/>
    <mergeCell ref="G1:G4"/>
    <mergeCell ref="H1:I1"/>
    <mergeCell ref="J1:K1"/>
    <mergeCell ref="L1:M1"/>
    <mergeCell ref="A1:A4"/>
    <mergeCell ref="B1:B4"/>
    <mergeCell ref="C1:C4"/>
    <mergeCell ref="D1:D4"/>
    <mergeCell ref="E1:E4"/>
    <mergeCell ref="P2:Q2"/>
    <mergeCell ref="R1:S1"/>
    <mergeCell ref="T1:U1"/>
    <mergeCell ref="V1:W1"/>
    <mergeCell ref="X1:Y1"/>
    <mergeCell ref="P1:Q1"/>
    <mergeCell ref="Z1:AA1"/>
    <mergeCell ref="H3:I3"/>
    <mergeCell ref="J3:K3"/>
    <mergeCell ref="L3:M3"/>
    <mergeCell ref="N3:O3"/>
    <mergeCell ref="P3:Q3"/>
    <mergeCell ref="R2:S2"/>
    <mergeCell ref="T2:U2"/>
    <mergeCell ref="V2:W2"/>
    <mergeCell ref="X2:Y2"/>
    <mergeCell ref="Z2:AA2"/>
    <mergeCell ref="R3:S3"/>
    <mergeCell ref="T3:U3"/>
    <mergeCell ref="V3:W3"/>
    <mergeCell ref="X3:Y3"/>
    <mergeCell ref="Z3:A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A4"/>
    </sheetView>
  </sheetViews>
  <sheetFormatPr defaultRowHeight="15" x14ac:dyDescent="0.25"/>
  <cols>
    <col min="4" max="4" width="11.5703125" customWidth="1"/>
    <col min="8" max="19" width="12.28515625" customWidth="1"/>
  </cols>
  <sheetData>
    <row r="1" spans="1:19" ht="46.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192</v>
      </c>
      <c r="I1" s="1207"/>
      <c r="J1" s="1207" t="s">
        <v>192</v>
      </c>
      <c r="K1" s="1207"/>
      <c r="L1" s="1207" t="s">
        <v>455</v>
      </c>
      <c r="M1" s="1207"/>
      <c r="N1" s="1207" t="s">
        <v>455</v>
      </c>
      <c r="O1" s="1207"/>
      <c r="P1" s="1207" t="s">
        <v>457</v>
      </c>
      <c r="Q1" s="1207"/>
      <c r="R1" s="1207" t="s">
        <v>460</v>
      </c>
      <c r="S1" s="1207"/>
    </row>
    <row r="2" spans="1:19" x14ac:dyDescent="0.25">
      <c r="A2" s="1201"/>
      <c r="B2" s="1201"/>
      <c r="C2" s="1201"/>
      <c r="D2" s="1201"/>
      <c r="E2" s="1201"/>
      <c r="F2" s="1201"/>
      <c r="G2" s="1201"/>
      <c r="H2" s="1208" t="s">
        <v>1457</v>
      </c>
      <c r="I2" s="1208"/>
      <c r="J2" s="1208" t="s">
        <v>215</v>
      </c>
      <c r="K2" s="1208"/>
      <c r="L2" s="1208" t="s">
        <v>1460</v>
      </c>
      <c r="M2" s="1208"/>
      <c r="N2" s="1208" t="s">
        <v>1457</v>
      </c>
      <c r="O2" s="1208"/>
      <c r="P2" s="1208" t="s">
        <v>215</v>
      </c>
      <c r="Q2" s="1208"/>
      <c r="R2" s="1208" t="s">
        <v>1460</v>
      </c>
      <c r="S2" s="1208"/>
    </row>
    <row r="3" spans="1:19" x14ac:dyDescent="0.25">
      <c r="A3" s="1201"/>
      <c r="B3" s="1201"/>
      <c r="C3" s="1201"/>
      <c r="D3" s="1201"/>
      <c r="E3" s="1201"/>
      <c r="F3" s="1201"/>
      <c r="G3" s="1201"/>
      <c r="H3" s="1208" t="s">
        <v>553</v>
      </c>
      <c r="I3" s="1208"/>
      <c r="J3" s="1208" t="s">
        <v>553</v>
      </c>
      <c r="K3" s="1208"/>
      <c r="L3" s="1208" t="s">
        <v>553</v>
      </c>
      <c r="M3" s="1208"/>
      <c r="N3" s="1208" t="s">
        <v>554</v>
      </c>
      <c r="O3" s="1208"/>
      <c r="P3" s="1208" t="s">
        <v>554</v>
      </c>
      <c r="Q3" s="1208"/>
      <c r="R3" s="1208" t="s">
        <v>554</v>
      </c>
      <c r="S3" s="1208"/>
    </row>
    <row r="4" spans="1:19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6" t="s">
        <v>603</v>
      </c>
      <c r="K4" s="16" t="s">
        <v>604</v>
      </c>
      <c r="L4" s="16" t="s">
        <v>603</v>
      </c>
      <c r="M4" s="16" t="s">
        <v>604</v>
      </c>
      <c r="N4" s="16" t="s">
        <v>603</v>
      </c>
      <c r="O4" s="16" t="s">
        <v>604</v>
      </c>
      <c r="P4" s="16" t="s">
        <v>603</v>
      </c>
      <c r="Q4" s="16" t="s">
        <v>604</v>
      </c>
      <c r="R4" s="16" t="s">
        <v>603</v>
      </c>
      <c r="S4" s="16" t="s">
        <v>604</v>
      </c>
    </row>
    <row r="5" spans="1:19" x14ac:dyDescent="0.25">
      <c r="A5" s="124"/>
      <c r="B5" s="124"/>
      <c r="C5" s="124"/>
      <c r="D5" s="124"/>
      <c r="E5" s="124"/>
      <c r="F5" s="124"/>
      <c r="G5" s="6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124"/>
      <c r="B6" s="124"/>
      <c r="C6" s="124"/>
      <c r="D6" s="124"/>
      <c r="E6" s="124"/>
      <c r="F6" s="124"/>
      <c r="G6" s="6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124"/>
      <c r="B7" s="124"/>
      <c r="C7" s="124"/>
      <c r="D7" s="124"/>
      <c r="E7" s="124"/>
      <c r="F7" s="124"/>
      <c r="G7" s="6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x14ac:dyDescent="0.25">
      <c r="A8" s="124"/>
      <c r="B8" s="124"/>
      <c r="C8" s="124"/>
      <c r="D8" s="124"/>
      <c r="E8" s="124"/>
      <c r="F8" s="124"/>
      <c r="G8" s="6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x14ac:dyDescent="0.25">
      <c r="H9" s="18">
        <f>SUM(H5:H8)</f>
        <v>0</v>
      </c>
      <c r="I9" s="18">
        <f t="shared" ref="I9:S9" si="0">SUM(I5:I8)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</row>
    <row r="10" spans="1:19" x14ac:dyDescent="0.25">
      <c r="H10" s="18">
        <f>COUNT(H5:H8)</f>
        <v>0</v>
      </c>
      <c r="I10" s="18">
        <f t="shared" ref="I10:S10" si="1">COUNT(I5:I8)</f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</row>
  </sheetData>
  <mergeCells count="25">
    <mergeCell ref="F1:F4"/>
    <mergeCell ref="A1:A4"/>
    <mergeCell ref="B1:B4"/>
    <mergeCell ref="C1:C4"/>
    <mergeCell ref="D1:D4"/>
    <mergeCell ref="E1:E4"/>
    <mergeCell ref="G1:G4"/>
    <mergeCell ref="H1:I1"/>
    <mergeCell ref="J1:K1"/>
    <mergeCell ref="L1:M1"/>
    <mergeCell ref="N1:O1"/>
    <mergeCell ref="R1:S1"/>
    <mergeCell ref="H2:I2"/>
    <mergeCell ref="J2:K2"/>
    <mergeCell ref="L2:M2"/>
    <mergeCell ref="N2:O2"/>
    <mergeCell ref="P2:Q2"/>
    <mergeCell ref="P1:Q1"/>
    <mergeCell ref="R3:S3"/>
    <mergeCell ref="R2:S2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sqref="A1:A4"/>
    </sheetView>
  </sheetViews>
  <sheetFormatPr defaultRowHeight="15" x14ac:dyDescent="0.25"/>
  <cols>
    <col min="4" max="4" width="11.5703125" customWidth="1"/>
    <col min="8" max="19" width="11.42578125" customWidth="1"/>
  </cols>
  <sheetData>
    <row r="1" spans="1:19" ht="46.5" customHeight="1" x14ac:dyDescent="0.25">
      <c r="A1" s="1201" t="s">
        <v>595</v>
      </c>
      <c r="B1" s="1201" t="s">
        <v>596</v>
      </c>
      <c r="C1" s="1201" t="s">
        <v>597</v>
      </c>
      <c r="D1" s="1201" t="s">
        <v>598</v>
      </c>
      <c r="E1" s="1201" t="s">
        <v>1057</v>
      </c>
      <c r="F1" s="1201" t="s">
        <v>600</v>
      </c>
      <c r="G1" s="1201" t="s">
        <v>878</v>
      </c>
      <c r="H1" s="1207" t="s">
        <v>192</v>
      </c>
      <c r="I1" s="1207"/>
      <c r="J1" s="1207" t="s">
        <v>192</v>
      </c>
      <c r="K1" s="1207"/>
      <c r="L1" s="1207" t="s">
        <v>455</v>
      </c>
      <c r="M1" s="1207"/>
      <c r="N1" s="1207" t="s">
        <v>455</v>
      </c>
      <c r="O1" s="1207"/>
      <c r="P1" s="1207" t="s">
        <v>457</v>
      </c>
      <c r="Q1" s="1207"/>
      <c r="R1" s="1207" t="s">
        <v>460</v>
      </c>
      <c r="S1" s="1207"/>
    </row>
    <row r="2" spans="1:19" x14ac:dyDescent="0.25">
      <c r="A2" s="1201"/>
      <c r="B2" s="1201"/>
      <c r="C2" s="1201"/>
      <c r="D2" s="1201"/>
      <c r="E2" s="1201"/>
      <c r="F2" s="1201"/>
      <c r="G2" s="1201"/>
      <c r="H2" s="1208" t="s">
        <v>1457</v>
      </c>
      <c r="I2" s="1208"/>
      <c r="J2" s="1208" t="s">
        <v>215</v>
      </c>
      <c r="K2" s="1208"/>
      <c r="L2" s="1208" t="s">
        <v>1460</v>
      </c>
      <c r="M2" s="1208"/>
      <c r="N2" s="1208" t="s">
        <v>1457</v>
      </c>
      <c r="O2" s="1208"/>
      <c r="P2" s="1208" t="s">
        <v>215</v>
      </c>
      <c r="Q2" s="1208"/>
      <c r="R2" s="1208" t="s">
        <v>1460</v>
      </c>
      <c r="S2" s="1208"/>
    </row>
    <row r="3" spans="1:19" x14ac:dyDescent="0.25">
      <c r="A3" s="1201"/>
      <c r="B3" s="1201"/>
      <c r="C3" s="1201"/>
      <c r="D3" s="1201"/>
      <c r="E3" s="1201"/>
      <c r="F3" s="1201"/>
      <c r="G3" s="1201"/>
      <c r="H3" s="1208" t="s">
        <v>553</v>
      </c>
      <c r="I3" s="1208"/>
      <c r="J3" s="1208" t="s">
        <v>553</v>
      </c>
      <c r="K3" s="1208"/>
      <c r="L3" s="1208" t="s">
        <v>553</v>
      </c>
      <c r="M3" s="1208"/>
      <c r="N3" s="1208" t="s">
        <v>554</v>
      </c>
      <c r="O3" s="1208"/>
      <c r="P3" s="1208" t="s">
        <v>554</v>
      </c>
      <c r="Q3" s="1208"/>
      <c r="R3" s="1208" t="s">
        <v>554</v>
      </c>
      <c r="S3" s="1208"/>
    </row>
    <row r="4" spans="1:19" x14ac:dyDescent="0.25">
      <c r="A4" s="1201"/>
      <c r="B4" s="1201"/>
      <c r="C4" s="1201"/>
      <c r="D4" s="1201"/>
      <c r="E4" s="1201"/>
      <c r="F4" s="1201"/>
      <c r="G4" s="1201"/>
      <c r="H4" s="16" t="s">
        <v>603</v>
      </c>
      <c r="I4" s="16" t="s">
        <v>604</v>
      </c>
      <c r="J4" s="16" t="s">
        <v>603</v>
      </c>
      <c r="K4" s="16" t="s">
        <v>604</v>
      </c>
      <c r="L4" s="16" t="s">
        <v>603</v>
      </c>
      <c r="M4" s="16" t="s">
        <v>604</v>
      </c>
      <c r="N4" s="16" t="s">
        <v>603</v>
      </c>
      <c r="O4" s="16" t="s">
        <v>604</v>
      </c>
      <c r="P4" s="16" t="s">
        <v>603</v>
      </c>
      <c r="Q4" s="16" t="s">
        <v>604</v>
      </c>
      <c r="R4" s="16" t="s">
        <v>603</v>
      </c>
      <c r="S4" s="16" t="s">
        <v>604</v>
      </c>
    </row>
    <row r="5" spans="1:19" x14ac:dyDescent="0.25">
      <c r="A5" s="124"/>
      <c r="B5" s="124"/>
      <c r="C5" s="124"/>
      <c r="D5" s="124"/>
      <c r="E5" s="124"/>
      <c r="F5" s="124"/>
      <c r="G5" s="6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124"/>
      <c r="B6" s="124"/>
      <c r="C6" s="124"/>
      <c r="D6" s="124"/>
      <c r="E6" s="124"/>
      <c r="F6" s="124"/>
      <c r="G6" s="6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x14ac:dyDescent="0.25">
      <c r="A7" s="124"/>
      <c r="B7" s="124"/>
      <c r="C7" s="124"/>
      <c r="D7" s="124"/>
      <c r="E7" s="124"/>
      <c r="F7" s="124"/>
      <c r="G7" s="6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x14ac:dyDescent="0.25">
      <c r="A8" s="124"/>
      <c r="B8" s="124"/>
      <c r="C8" s="124"/>
      <c r="D8" s="124"/>
      <c r="E8" s="124"/>
      <c r="F8" s="124"/>
      <c r="G8" s="6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x14ac:dyDescent="0.25">
      <c r="H9" s="18">
        <f>SUM(H5:H8)</f>
        <v>0</v>
      </c>
      <c r="I9" s="18">
        <f t="shared" ref="I9:S9" si="0">SUM(I5:I8)</f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</row>
    <row r="10" spans="1:19" x14ac:dyDescent="0.25">
      <c r="H10" s="18">
        <f>COUNT(H5:H8)</f>
        <v>0</v>
      </c>
      <c r="I10" s="18">
        <f t="shared" ref="I10:S10" si="1">COUNT(I5:I8)</f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</row>
  </sheetData>
  <mergeCells count="25">
    <mergeCell ref="F1:F4"/>
    <mergeCell ref="A1:A4"/>
    <mergeCell ref="B1:B4"/>
    <mergeCell ref="C1:C4"/>
    <mergeCell ref="D1:D4"/>
    <mergeCell ref="E1:E4"/>
    <mergeCell ref="G1:G4"/>
    <mergeCell ref="H1:I1"/>
    <mergeCell ref="J1:K1"/>
    <mergeCell ref="L1:M1"/>
    <mergeCell ref="N1:O1"/>
    <mergeCell ref="H3:I3"/>
    <mergeCell ref="J3:K3"/>
    <mergeCell ref="L3:M3"/>
    <mergeCell ref="N3:O3"/>
    <mergeCell ref="P3:Q3"/>
    <mergeCell ref="R3:S3"/>
    <mergeCell ref="R1:S1"/>
    <mergeCell ref="H2:I2"/>
    <mergeCell ref="J2:K2"/>
    <mergeCell ref="L2:M2"/>
    <mergeCell ref="N2:O2"/>
    <mergeCell ref="P2:Q2"/>
    <mergeCell ref="R2:S2"/>
    <mergeCell ref="P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workbookViewId="0">
      <selection activeCell="J9" sqref="J9"/>
    </sheetView>
  </sheetViews>
  <sheetFormatPr defaultRowHeight="15" x14ac:dyDescent="0.25"/>
  <cols>
    <col min="1" max="1" width="2.85546875" customWidth="1"/>
    <col min="2" max="2" width="10.85546875" bestFit="1" customWidth="1"/>
    <col min="3" max="3" width="20.140625" customWidth="1"/>
    <col min="4" max="4" width="30.5703125" customWidth="1"/>
    <col min="5" max="5" width="16.42578125" bestFit="1" customWidth="1"/>
    <col min="6" max="6" width="16.42578125" customWidth="1"/>
    <col min="7" max="7" width="33.28515625" customWidth="1"/>
    <col min="8" max="8" width="16.42578125" bestFit="1" customWidth="1"/>
    <col min="9" max="9" width="16.42578125" customWidth="1"/>
    <col min="10" max="10" width="33.28515625" customWidth="1"/>
    <col min="11" max="11" width="16.42578125" bestFit="1" customWidth="1"/>
    <col min="12" max="12" width="16.42578125" customWidth="1"/>
    <col min="13" max="13" width="33.28515625" customWidth="1"/>
  </cols>
  <sheetData>
    <row r="1" spans="2:13" ht="27" customHeight="1" x14ac:dyDescent="0.25">
      <c r="E1" s="1213" t="s">
        <v>685</v>
      </c>
      <c r="F1" s="1214"/>
      <c r="G1" s="1215"/>
      <c r="H1" s="1213" t="s">
        <v>226</v>
      </c>
      <c r="I1" s="1214"/>
      <c r="J1" s="1215"/>
      <c r="K1" s="1213" t="s">
        <v>87</v>
      </c>
      <c r="L1" s="1214"/>
      <c r="M1" s="1215"/>
    </row>
    <row r="2" spans="2:13" ht="38.25" x14ac:dyDescent="0.25">
      <c r="B2" s="34" t="s">
        <v>595</v>
      </c>
      <c r="C2" s="34" t="s">
        <v>597</v>
      </c>
      <c r="D2" s="35" t="s">
        <v>598</v>
      </c>
      <c r="E2" s="36" t="s">
        <v>682</v>
      </c>
      <c r="F2" s="34" t="s">
        <v>683</v>
      </c>
      <c r="G2" s="37" t="s">
        <v>675</v>
      </c>
      <c r="H2" s="36" t="s">
        <v>682</v>
      </c>
      <c r="I2" s="34" t="s">
        <v>683</v>
      </c>
      <c r="J2" s="37" t="s">
        <v>675</v>
      </c>
      <c r="K2" s="36" t="s">
        <v>682</v>
      </c>
      <c r="L2" s="34" t="s">
        <v>683</v>
      </c>
      <c r="M2" s="37" t="s">
        <v>675</v>
      </c>
    </row>
    <row r="3" spans="2:13" ht="33.75" customHeight="1" x14ac:dyDescent="0.25">
      <c r="B3" s="47" t="s">
        <v>605</v>
      </c>
      <c r="C3" s="48" t="s">
        <v>673</v>
      </c>
      <c r="D3" s="49" t="s">
        <v>674</v>
      </c>
      <c r="E3" s="50">
        <v>26.92</v>
      </c>
      <c r="F3" s="51">
        <v>26920.1</v>
      </c>
      <c r="G3" s="1216" t="s">
        <v>684</v>
      </c>
      <c r="H3" s="38" t="s">
        <v>691</v>
      </c>
      <c r="I3" s="7" t="s">
        <v>691</v>
      </c>
      <c r="J3" s="39" t="s">
        <v>691</v>
      </c>
      <c r="K3" s="38" t="s">
        <v>691</v>
      </c>
      <c r="L3" s="7" t="s">
        <v>691</v>
      </c>
      <c r="M3" s="39" t="s">
        <v>691</v>
      </c>
    </row>
    <row r="4" spans="2:13" ht="33.75" customHeight="1" x14ac:dyDescent="0.25">
      <c r="B4" s="47" t="s">
        <v>610</v>
      </c>
      <c r="C4" s="48" t="s">
        <v>676</v>
      </c>
      <c r="D4" s="49" t="s">
        <v>677</v>
      </c>
      <c r="E4" s="50">
        <v>17.077999999999999</v>
      </c>
      <c r="F4" s="51">
        <v>17078.91</v>
      </c>
      <c r="G4" s="1218"/>
      <c r="H4" s="38" t="s">
        <v>691</v>
      </c>
      <c r="I4" s="7" t="s">
        <v>691</v>
      </c>
      <c r="J4" s="40" t="s">
        <v>691</v>
      </c>
      <c r="K4" s="38" t="s">
        <v>691</v>
      </c>
      <c r="L4" s="7" t="s">
        <v>691</v>
      </c>
      <c r="M4" s="40" t="s">
        <v>691</v>
      </c>
    </row>
    <row r="5" spans="2:13" ht="38.25" x14ac:dyDescent="0.25">
      <c r="B5" s="47" t="s">
        <v>623</v>
      </c>
      <c r="C5" s="48" t="s">
        <v>678</v>
      </c>
      <c r="D5" s="49" t="s">
        <v>679</v>
      </c>
      <c r="E5" s="50">
        <v>13.743</v>
      </c>
      <c r="F5" s="48" t="s">
        <v>687</v>
      </c>
      <c r="G5" s="1216" t="s">
        <v>686</v>
      </c>
      <c r="H5" s="50">
        <v>1</v>
      </c>
      <c r="I5" s="48" t="s">
        <v>689</v>
      </c>
      <c r="J5" s="1216" t="s">
        <v>690</v>
      </c>
      <c r="K5" s="52">
        <v>4146</v>
      </c>
      <c r="L5" s="48" t="s">
        <v>694</v>
      </c>
      <c r="M5" s="44" t="s">
        <v>698</v>
      </c>
    </row>
    <row r="6" spans="2:13" ht="36.75" customHeight="1" x14ac:dyDescent="0.25">
      <c r="B6" s="47" t="s">
        <v>630</v>
      </c>
      <c r="C6" s="48" t="s">
        <v>680</v>
      </c>
      <c r="D6" s="49" t="s">
        <v>681</v>
      </c>
      <c r="E6" s="50">
        <v>27.7119</v>
      </c>
      <c r="F6" s="48" t="s">
        <v>688</v>
      </c>
      <c r="G6" s="1218"/>
      <c r="H6" s="50">
        <v>1</v>
      </c>
      <c r="I6" s="48" t="s">
        <v>689</v>
      </c>
      <c r="J6" s="1218"/>
      <c r="K6" s="52">
        <v>2652</v>
      </c>
      <c r="L6" s="48" t="s">
        <v>695</v>
      </c>
      <c r="M6" s="1216" t="s">
        <v>697</v>
      </c>
    </row>
    <row r="7" spans="2:13" ht="36.75" customHeight="1" thickBot="1" x14ac:dyDescent="0.3">
      <c r="B7" s="15" t="s">
        <v>644</v>
      </c>
      <c r="C7" s="2" t="s">
        <v>692</v>
      </c>
      <c r="D7" s="22" t="s">
        <v>693</v>
      </c>
      <c r="E7" s="41" t="s">
        <v>691</v>
      </c>
      <c r="F7" s="42" t="s">
        <v>691</v>
      </c>
      <c r="G7" s="43" t="s">
        <v>691</v>
      </c>
      <c r="H7" s="41" t="s">
        <v>691</v>
      </c>
      <c r="I7" s="42" t="s">
        <v>691</v>
      </c>
      <c r="J7" s="43" t="s">
        <v>691</v>
      </c>
      <c r="K7" s="53">
        <v>3000</v>
      </c>
      <c r="L7" s="54" t="s">
        <v>696</v>
      </c>
      <c r="M7" s="1217"/>
    </row>
    <row r="10" spans="2:13" ht="15.75" thickBot="1" x14ac:dyDescent="0.3"/>
    <row r="11" spans="2:13" x14ac:dyDescent="0.25">
      <c r="E11" s="1213" t="s">
        <v>247</v>
      </c>
      <c r="F11" s="1214"/>
      <c r="G11" s="1215"/>
      <c r="H11" s="1213" t="s">
        <v>258</v>
      </c>
      <c r="I11" s="1214"/>
      <c r="J11" s="1215"/>
    </row>
    <row r="12" spans="2:13" ht="38.25" x14ac:dyDescent="0.25">
      <c r="B12" s="34" t="s">
        <v>595</v>
      </c>
      <c r="C12" s="34" t="s">
        <v>597</v>
      </c>
      <c r="D12" s="35" t="s">
        <v>598</v>
      </c>
      <c r="E12" s="36" t="s">
        <v>682</v>
      </c>
      <c r="F12" s="34" t="s">
        <v>683</v>
      </c>
      <c r="G12" s="37" t="s">
        <v>675</v>
      </c>
      <c r="H12" s="36" t="s">
        <v>682</v>
      </c>
      <c r="I12" s="34" t="s">
        <v>683</v>
      </c>
      <c r="J12" s="37" t="s">
        <v>675</v>
      </c>
    </row>
    <row r="13" spans="2:13" ht="77.25" thickBot="1" x14ac:dyDescent="0.3">
      <c r="B13" s="15" t="s">
        <v>651</v>
      </c>
      <c r="C13" s="2" t="s">
        <v>699</v>
      </c>
      <c r="D13" s="22" t="s">
        <v>700</v>
      </c>
      <c r="E13" s="67">
        <v>49</v>
      </c>
      <c r="F13" s="68">
        <v>859</v>
      </c>
      <c r="G13" s="45" t="s">
        <v>704</v>
      </c>
      <c r="H13" s="67">
        <v>49</v>
      </c>
      <c r="I13" s="68">
        <v>859</v>
      </c>
      <c r="J13" s="45" t="s">
        <v>704</v>
      </c>
    </row>
    <row r="16" spans="2:13" ht="15.75" thickBot="1" x14ac:dyDescent="0.3"/>
    <row r="17" spans="2:10" x14ac:dyDescent="0.25">
      <c r="E17" s="1213" t="s">
        <v>703</v>
      </c>
      <c r="F17" s="1214"/>
      <c r="G17" s="1215"/>
      <c r="H17" s="1213" t="s">
        <v>317</v>
      </c>
      <c r="I17" s="1214"/>
      <c r="J17" s="1215"/>
    </row>
    <row r="18" spans="2:10" ht="38.25" x14ac:dyDescent="0.25">
      <c r="B18" s="34" t="s">
        <v>595</v>
      </c>
      <c r="C18" s="34" t="s">
        <v>597</v>
      </c>
      <c r="D18" s="35" t="s">
        <v>598</v>
      </c>
      <c r="E18" s="36" t="s">
        <v>682</v>
      </c>
      <c r="F18" s="34" t="s">
        <v>683</v>
      </c>
      <c r="G18" s="37" t="s">
        <v>675</v>
      </c>
      <c r="H18" s="36" t="s">
        <v>682</v>
      </c>
      <c r="I18" s="34" t="s">
        <v>683</v>
      </c>
      <c r="J18" s="37" t="s">
        <v>675</v>
      </c>
    </row>
    <row r="19" spans="2:10" ht="77.25" thickBot="1" x14ac:dyDescent="0.3">
      <c r="B19" s="15" t="s">
        <v>659</v>
      </c>
      <c r="C19" s="2" t="s">
        <v>701</v>
      </c>
      <c r="D19" s="22" t="s">
        <v>702</v>
      </c>
      <c r="E19" s="67">
        <v>205.1</v>
      </c>
      <c r="F19" s="68">
        <v>210</v>
      </c>
      <c r="G19" s="45" t="s">
        <v>705</v>
      </c>
      <c r="H19" s="67">
        <v>83</v>
      </c>
      <c r="I19" s="68">
        <v>86</v>
      </c>
      <c r="J19" s="45" t="s">
        <v>706</v>
      </c>
    </row>
    <row r="21" spans="2:10" ht="15.75" thickBot="1" x14ac:dyDescent="0.3"/>
    <row r="22" spans="2:10" x14ac:dyDescent="0.25">
      <c r="E22" s="1213" t="s">
        <v>715</v>
      </c>
      <c r="F22" s="1214"/>
      <c r="G22" s="1215"/>
      <c r="H22" s="1213" t="s">
        <v>319</v>
      </c>
      <c r="I22" s="1214"/>
      <c r="J22" s="1215"/>
    </row>
    <row r="23" spans="2:10" ht="38.25" x14ac:dyDescent="0.25">
      <c r="B23" s="46" t="s">
        <v>595</v>
      </c>
      <c r="C23" s="46" t="s">
        <v>597</v>
      </c>
      <c r="D23" s="35" t="s">
        <v>598</v>
      </c>
      <c r="E23" s="36" t="s">
        <v>682</v>
      </c>
      <c r="F23" s="46" t="s">
        <v>683</v>
      </c>
      <c r="G23" s="37" t="s">
        <v>675</v>
      </c>
      <c r="H23" s="36" t="s">
        <v>682</v>
      </c>
      <c r="I23" s="46" t="s">
        <v>683</v>
      </c>
      <c r="J23" s="37" t="s">
        <v>675</v>
      </c>
    </row>
    <row r="24" spans="2:10" ht="51.75" thickBot="1" x14ac:dyDescent="0.3">
      <c r="B24" s="15" t="s">
        <v>712</v>
      </c>
      <c r="C24" s="2" t="s">
        <v>713</v>
      </c>
      <c r="D24" s="22" t="s">
        <v>714</v>
      </c>
      <c r="E24" s="67">
        <v>12.46</v>
      </c>
      <c r="F24" s="69">
        <v>13.46</v>
      </c>
      <c r="G24" s="45" t="s">
        <v>716</v>
      </c>
      <c r="H24" s="67">
        <v>53</v>
      </c>
      <c r="I24" s="68">
        <v>55</v>
      </c>
      <c r="J24" s="45" t="s">
        <v>717</v>
      </c>
    </row>
  </sheetData>
  <mergeCells count="13">
    <mergeCell ref="E22:G22"/>
    <mergeCell ref="H22:J22"/>
    <mergeCell ref="E17:G17"/>
    <mergeCell ref="H17:J17"/>
    <mergeCell ref="H1:J1"/>
    <mergeCell ref="G5:G6"/>
    <mergeCell ref="J5:J6"/>
    <mergeCell ref="K1:M1"/>
    <mergeCell ref="M6:M7"/>
    <mergeCell ref="G3:G4"/>
    <mergeCell ref="E1:G1"/>
    <mergeCell ref="E11:G11"/>
    <mergeCell ref="H11:J1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5"/>
  <sheetViews>
    <sheetView workbookViewId="0">
      <selection activeCell="P92" sqref="P92"/>
    </sheetView>
  </sheetViews>
  <sheetFormatPr defaultRowHeight="15" x14ac:dyDescent="0.25"/>
  <cols>
    <col min="1" max="1" width="18.5703125" bestFit="1" customWidth="1"/>
    <col min="2" max="2" width="10.140625" customWidth="1"/>
    <col min="3" max="4" width="11.7109375" customWidth="1"/>
    <col min="5" max="5" width="11" customWidth="1"/>
    <col min="6" max="6" width="11.7109375" customWidth="1"/>
    <col min="7" max="7" width="14.140625" bestFit="1" customWidth="1"/>
    <col min="9" max="9" width="17.42578125" customWidth="1"/>
    <col min="11" max="11" width="12.28515625" customWidth="1"/>
    <col min="13" max="13" width="11.7109375" customWidth="1"/>
    <col min="14" max="14" width="10.140625" customWidth="1"/>
    <col min="16" max="16" width="11.28515625" bestFit="1" customWidth="1"/>
    <col min="17" max="17" width="18.5703125" customWidth="1"/>
    <col min="19" max="19" width="12.42578125" bestFit="1" customWidth="1"/>
    <col min="20" max="20" width="23.5703125" customWidth="1"/>
    <col min="21" max="21" width="12.42578125" customWidth="1"/>
    <col min="22" max="22" width="11" customWidth="1"/>
    <col min="23" max="23" width="14.140625" bestFit="1" customWidth="1"/>
  </cols>
  <sheetData>
    <row r="1" spans="1:23" x14ac:dyDescent="0.25">
      <c r="A1" s="62" t="s">
        <v>835</v>
      </c>
      <c r="B1" s="62" t="s">
        <v>836</v>
      </c>
      <c r="C1" s="62" t="s">
        <v>595</v>
      </c>
      <c r="D1" s="62" t="s">
        <v>598</v>
      </c>
      <c r="E1" s="62" t="s">
        <v>837</v>
      </c>
      <c r="F1" s="62" t="s">
        <v>838</v>
      </c>
      <c r="G1" s="62" t="s">
        <v>501</v>
      </c>
      <c r="I1" s="62" t="s">
        <v>835</v>
      </c>
      <c r="J1" s="62" t="s">
        <v>836</v>
      </c>
      <c r="K1" s="62" t="s">
        <v>595</v>
      </c>
      <c r="L1" s="62" t="s">
        <v>598</v>
      </c>
      <c r="M1" s="62" t="s">
        <v>837</v>
      </c>
      <c r="N1" s="62" t="s">
        <v>838</v>
      </c>
      <c r="O1" s="62" t="s">
        <v>501</v>
      </c>
      <c r="Q1" s="57" t="s">
        <v>835</v>
      </c>
      <c r="R1" s="57" t="s">
        <v>836</v>
      </c>
      <c r="S1" s="57" t="s">
        <v>595</v>
      </c>
      <c r="T1" s="57" t="s">
        <v>598</v>
      </c>
      <c r="U1" s="57" t="s">
        <v>837</v>
      </c>
      <c r="V1" s="57" t="s">
        <v>838</v>
      </c>
      <c r="W1" s="57" t="s">
        <v>501</v>
      </c>
    </row>
    <row r="2" spans="1:23" hidden="1" x14ac:dyDescent="0.25">
      <c r="A2" t="s">
        <v>879</v>
      </c>
      <c r="B2" t="s">
        <v>840</v>
      </c>
      <c r="C2" t="s">
        <v>605</v>
      </c>
      <c r="D2" t="s">
        <v>674</v>
      </c>
      <c r="E2" s="58">
        <v>42735</v>
      </c>
      <c r="F2" s="58">
        <v>42767</v>
      </c>
      <c r="G2" s="59" t="s">
        <v>842</v>
      </c>
      <c r="H2" t="b">
        <f>G2=O2</f>
        <v>1</v>
      </c>
      <c r="I2" t="s">
        <v>879</v>
      </c>
      <c r="J2" t="s">
        <v>840</v>
      </c>
      <c r="K2" s="59" t="s">
        <v>605</v>
      </c>
      <c r="L2" t="s">
        <v>674</v>
      </c>
      <c r="M2" s="58">
        <v>42735</v>
      </c>
      <c r="N2" s="58">
        <v>42767</v>
      </c>
      <c r="O2" s="63" t="s">
        <v>842</v>
      </c>
      <c r="P2" t="b">
        <f>K2=S2</f>
        <v>1</v>
      </c>
      <c r="Q2" t="s">
        <v>879</v>
      </c>
      <c r="R2" t="s">
        <v>840</v>
      </c>
      <c r="S2" t="s">
        <v>605</v>
      </c>
      <c r="T2" t="s">
        <v>674</v>
      </c>
      <c r="U2" s="58">
        <v>42735</v>
      </c>
      <c r="V2" t="s">
        <v>880</v>
      </c>
      <c r="W2" t="s">
        <v>881</v>
      </c>
    </row>
    <row r="3" spans="1:23" hidden="1" x14ac:dyDescent="0.25">
      <c r="A3" t="s">
        <v>882</v>
      </c>
      <c r="B3" t="s">
        <v>840</v>
      </c>
      <c r="C3" t="s">
        <v>606</v>
      </c>
      <c r="D3" t="s">
        <v>883</v>
      </c>
      <c r="E3" s="58">
        <v>42735</v>
      </c>
      <c r="F3" s="58">
        <v>42767</v>
      </c>
      <c r="G3" s="66" t="s">
        <v>842</v>
      </c>
      <c r="H3" t="b">
        <f t="shared" ref="H3:H66" si="0">G3=O3</f>
        <v>0</v>
      </c>
      <c r="I3" t="s">
        <v>882</v>
      </c>
      <c r="J3" t="s">
        <v>840</v>
      </c>
      <c r="K3" t="s">
        <v>606</v>
      </c>
      <c r="L3" t="s">
        <v>883</v>
      </c>
      <c r="M3" s="58">
        <v>42735</v>
      </c>
      <c r="N3" s="58">
        <v>42767</v>
      </c>
      <c r="O3" t="s">
        <v>884</v>
      </c>
      <c r="P3" t="b">
        <f t="shared" ref="P3:P66" si="1">K3=S3</f>
        <v>1</v>
      </c>
      <c r="Q3" t="s">
        <v>882</v>
      </c>
      <c r="R3" t="s">
        <v>840</v>
      </c>
      <c r="S3" t="s">
        <v>606</v>
      </c>
      <c r="T3" t="s">
        <v>883</v>
      </c>
      <c r="U3" s="58">
        <v>42735</v>
      </c>
      <c r="V3" s="58">
        <v>42767</v>
      </c>
      <c r="W3" t="s">
        <v>884</v>
      </c>
    </row>
    <row r="4" spans="1:23" hidden="1" x14ac:dyDescent="0.25">
      <c r="A4" t="s">
        <v>839</v>
      </c>
      <c r="B4" t="s">
        <v>840</v>
      </c>
      <c r="C4" t="s">
        <v>607</v>
      </c>
      <c r="D4" t="s">
        <v>841</v>
      </c>
      <c r="E4" s="58">
        <v>42735</v>
      </c>
      <c r="F4" s="58">
        <v>42761</v>
      </c>
      <c r="G4" s="59" t="s">
        <v>842</v>
      </c>
      <c r="H4" t="b">
        <f t="shared" si="0"/>
        <v>1</v>
      </c>
      <c r="I4" t="s">
        <v>839</v>
      </c>
      <c r="J4" t="s">
        <v>840</v>
      </c>
      <c r="K4" t="s">
        <v>607</v>
      </c>
      <c r="L4" t="s">
        <v>841</v>
      </c>
      <c r="M4" s="58">
        <v>42735</v>
      </c>
      <c r="N4" s="58">
        <v>42761</v>
      </c>
      <c r="O4" t="s">
        <v>842</v>
      </c>
      <c r="P4" t="b">
        <f t="shared" si="1"/>
        <v>1</v>
      </c>
      <c r="Q4" t="s">
        <v>839</v>
      </c>
      <c r="R4" t="s">
        <v>840</v>
      </c>
      <c r="S4" s="59" t="s">
        <v>607</v>
      </c>
      <c r="T4" t="s">
        <v>841</v>
      </c>
      <c r="U4" s="58">
        <v>42735</v>
      </c>
      <c r="V4" s="58">
        <v>42761</v>
      </c>
      <c r="W4" t="s">
        <v>842</v>
      </c>
    </row>
    <row r="5" spans="1:23" hidden="1" x14ac:dyDescent="0.25">
      <c r="A5" t="s">
        <v>885</v>
      </c>
      <c r="B5" t="s">
        <v>840</v>
      </c>
      <c r="C5" t="s">
        <v>608</v>
      </c>
      <c r="D5" t="s">
        <v>886</v>
      </c>
      <c r="E5" s="58">
        <v>42735</v>
      </c>
      <c r="F5" s="58">
        <v>42759</v>
      </c>
      <c r="G5" s="66" t="s">
        <v>842</v>
      </c>
      <c r="H5" t="b">
        <f t="shared" si="0"/>
        <v>0</v>
      </c>
      <c r="I5" t="s">
        <v>885</v>
      </c>
      <c r="J5" t="s">
        <v>840</v>
      </c>
      <c r="K5" t="s">
        <v>608</v>
      </c>
      <c r="L5" t="s">
        <v>886</v>
      </c>
      <c r="M5" s="58">
        <v>42735</v>
      </c>
      <c r="N5" s="58">
        <v>42759</v>
      </c>
      <c r="O5" t="s">
        <v>884</v>
      </c>
      <c r="P5" t="b">
        <f t="shared" si="1"/>
        <v>1</v>
      </c>
      <c r="Q5" t="s">
        <v>885</v>
      </c>
      <c r="R5" t="s">
        <v>840</v>
      </c>
      <c r="S5" t="s">
        <v>608</v>
      </c>
      <c r="T5" t="s">
        <v>886</v>
      </c>
      <c r="U5" s="58">
        <v>42735</v>
      </c>
      <c r="V5" s="58">
        <v>42759</v>
      </c>
      <c r="W5" t="s">
        <v>884</v>
      </c>
    </row>
    <row r="6" spans="1:23" hidden="1" x14ac:dyDescent="0.25">
      <c r="A6" t="s">
        <v>887</v>
      </c>
      <c r="B6" t="s">
        <v>840</v>
      </c>
      <c r="C6" t="s">
        <v>609</v>
      </c>
      <c r="D6" t="s">
        <v>888</v>
      </c>
      <c r="E6" s="58">
        <v>42735</v>
      </c>
      <c r="F6" s="58">
        <v>42767</v>
      </c>
      <c r="G6" s="59" t="s">
        <v>842</v>
      </c>
      <c r="H6" t="b">
        <f t="shared" si="0"/>
        <v>1</v>
      </c>
      <c r="I6" t="s">
        <v>887</v>
      </c>
      <c r="J6" t="s">
        <v>840</v>
      </c>
      <c r="K6" t="s">
        <v>609</v>
      </c>
      <c r="L6" t="s">
        <v>888</v>
      </c>
      <c r="M6" s="58">
        <v>42735</v>
      </c>
      <c r="N6" s="58">
        <v>42767</v>
      </c>
      <c r="O6" t="s">
        <v>842</v>
      </c>
      <c r="P6" t="b">
        <f t="shared" si="1"/>
        <v>1</v>
      </c>
      <c r="Q6" t="s">
        <v>887</v>
      </c>
      <c r="R6" t="s">
        <v>840</v>
      </c>
      <c r="S6" s="59" t="s">
        <v>609</v>
      </c>
      <c r="T6" t="s">
        <v>888</v>
      </c>
      <c r="U6" s="58">
        <v>42735</v>
      </c>
      <c r="V6" s="58">
        <v>42767</v>
      </c>
      <c r="W6" t="s">
        <v>842</v>
      </c>
    </row>
    <row r="7" spans="1:23" hidden="1" x14ac:dyDescent="0.25">
      <c r="A7" t="s">
        <v>889</v>
      </c>
      <c r="B7" t="s">
        <v>840</v>
      </c>
      <c r="C7" t="s">
        <v>610</v>
      </c>
      <c r="D7" t="s">
        <v>677</v>
      </c>
      <c r="E7" s="58">
        <v>42735</v>
      </c>
      <c r="F7" s="58">
        <v>42766</v>
      </c>
      <c r="G7" s="66" t="s">
        <v>842</v>
      </c>
      <c r="H7" t="b">
        <f t="shared" si="0"/>
        <v>0</v>
      </c>
      <c r="I7" t="s">
        <v>889</v>
      </c>
      <c r="J7" t="s">
        <v>840</v>
      </c>
      <c r="K7" t="s">
        <v>610</v>
      </c>
      <c r="L7" t="s">
        <v>677</v>
      </c>
      <c r="M7" s="58">
        <v>42735</v>
      </c>
      <c r="N7" s="58">
        <v>42766</v>
      </c>
      <c r="O7" t="s">
        <v>884</v>
      </c>
      <c r="P7" t="b">
        <f t="shared" si="1"/>
        <v>1</v>
      </c>
      <c r="Q7" t="s">
        <v>889</v>
      </c>
      <c r="R7" t="s">
        <v>840</v>
      </c>
      <c r="S7" t="s">
        <v>610</v>
      </c>
      <c r="T7" t="s">
        <v>677</v>
      </c>
      <c r="U7" s="58">
        <v>42735</v>
      </c>
      <c r="V7" s="58">
        <v>42766</v>
      </c>
      <c r="W7" t="s">
        <v>884</v>
      </c>
    </row>
    <row r="8" spans="1:23" hidden="1" x14ac:dyDescent="0.25">
      <c r="A8" t="s">
        <v>890</v>
      </c>
      <c r="B8" t="s">
        <v>840</v>
      </c>
      <c r="C8" t="s">
        <v>611</v>
      </c>
      <c r="D8" t="s">
        <v>891</v>
      </c>
      <c r="E8" s="58">
        <v>42735</v>
      </c>
      <c r="F8" s="58">
        <v>42761</v>
      </c>
      <c r="G8" s="59" t="s">
        <v>842</v>
      </c>
      <c r="H8" t="b">
        <f t="shared" si="0"/>
        <v>1</v>
      </c>
      <c r="I8" t="s">
        <v>890</v>
      </c>
      <c r="J8" t="s">
        <v>840</v>
      </c>
      <c r="K8" t="s">
        <v>611</v>
      </c>
      <c r="L8" t="s">
        <v>891</v>
      </c>
      <c r="M8" s="58">
        <v>42735</v>
      </c>
      <c r="N8" s="58">
        <v>42761</v>
      </c>
      <c r="O8" t="s">
        <v>842</v>
      </c>
      <c r="P8" t="b">
        <f t="shared" si="1"/>
        <v>1</v>
      </c>
      <c r="Q8" t="s">
        <v>890</v>
      </c>
      <c r="R8" t="s">
        <v>840</v>
      </c>
      <c r="S8" s="59" t="s">
        <v>611</v>
      </c>
      <c r="T8" t="s">
        <v>891</v>
      </c>
      <c r="U8" s="58">
        <v>42735</v>
      </c>
      <c r="V8" s="58">
        <v>42761</v>
      </c>
      <c r="W8" t="s">
        <v>842</v>
      </c>
    </row>
    <row r="9" spans="1:23" hidden="1" x14ac:dyDescent="0.25">
      <c r="A9" t="s">
        <v>892</v>
      </c>
      <c r="B9" t="s">
        <v>840</v>
      </c>
      <c r="C9" t="s">
        <v>612</v>
      </c>
      <c r="D9" t="s">
        <v>893</v>
      </c>
      <c r="E9" s="58">
        <v>42825</v>
      </c>
      <c r="F9" s="58">
        <v>42753</v>
      </c>
      <c r="G9" s="59" t="s">
        <v>842</v>
      </c>
      <c r="H9" t="b">
        <f t="shared" si="0"/>
        <v>1</v>
      </c>
      <c r="I9" t="s">
        <v>892</v>
      </c>
      <c r="J9" t="s">
        <v>840</v>
      </c>
      <c r="K9" s="59" t="s">
        <v>612</v>
      </c>
      <c r="L9" t="s">
        <v>893</v>
      </c>
      <c r="M9" s="58">
        <v>42825</v>
      </c>
      <c r="N9" s="58">
        <v>42753</v>
      </c>
      <c r="O9" s="63" t="s">
        <v>842</v>
      </c>
      <c r="P9" t="b">
        <f t="shared" si="1"/>
        <v>1</v>
      </c>
      <c r="Q9" t="s">
        <v>892</v>
      </c>
      <c r="R9" t="s">
        <v>840</v>
      </c>
      <c r="S9" t="s">
        <v>612</v>
      </c>
      <c r="T9" t="s">
        <v>893</v>
      </c>
      <c r="U9" s="58">
        <v>42825</v>
      </c>
      <c r="V9" s="58">
        <v>42753</v>
      </c>
      <c r="W9" t="s">
        <v>884</v>
      </c>
    </row>
    <row r="10" spans="1:23" hidden="1" x14ac:dyDescent="0.25">
      <c r="A10" t="s">
        <v>894</v>
      </c>
      <c r="B10" t="s">
        <v>840</v>
      </c>
      <c r="C10" t="s">
        <v>613</v>
      </c>
      <c r="D10" t="s">
        <v>895</v>
      </c>
      <c r="E10" s="58">
        <v>42735</v>
      </c>
      <c r="F10" s="58">
        <v>42767</v>
      </c>
      <c r="G10" s="59" t="s">
        <v>842</v>
      </c>
      <c r="H10" t="b">
        <f t="shared" si="0"/>
        <v>1</v>
      </c>
      <c r="I10" t="s">
        <v>894</v>
      </c>
      <c r="J10" t="s">
        <v>840</v>
      </c>
      <c r="K10" s="59" t="s">
        <v>613</v>
      </c>
      <c r="L10" t="s">
        <v>895</v>
      </c>
      <c r="M10" s="58">
        <v>42735</v>
      </c>
      <c r="N10" s="58">
        <v>42767</v>
      </c>
      <c r="O10" t="s">
        <v>842</v>
      </c>
      <c r="P10" t="b">
        <f t="shared" si="1"/>
        <v>1</v>
      </c>
      <c r="Q10" t="s">
        <v>894</v>
      </c>
      <c r="R10" t="s">
        <v>840</v>
      </c>
      <c r="S10" t="s">
        <v>613</v>
      </c>
      <c r="T10" t="s">
        <v>895</v>
      </c>
      <c r="U10" s="58">
        <v>42735</v>
      </c>
      <c r="V10" s="58">
        <v>42767</v>
      </c>
      <c r="W10" t="s">
        <v>896</v>
      </c>
    </row>
    <row r="11" spans="1:23" hidden="1" x14ac:dyDescent="0.25">
      <c r="A11" t="s">
        <v>897</v>
      </c>
      <c r="B11" t="s">
        <v>840</v>
      </c>
      <c r="C11" t="s">
        <v>614</v>
      </c>
      <c r="D11" t="s">
        <v>898</v>
      </c>
      <c r="E11" s="58">
        <v>42735</v>
      </c>
      <c r="F11" s="58">
        <v>42765</v>
      </c>
      <c r="G11" s="59" t="s">
        <v>842</v>
      </c>
      <c r="H11" t="b">
        <f t="shared" si="0"/>
        <v>1</v>
      </c>
      <c r="I11" t="s">
        <v>897</v>
      </c>
      <c r="J11" t="s">
        <v>840</v>
      </c>
      <c r="K11" t="s">
        <v>614</v>
      </c>
      <c r="L11" t="s">
        <v>898</v>
      </c>
      <c r="M11" s="58">
        <v>42735</v>
      </c>
      <c r="N11" s="58">
        <v>42765</v>
      </c>
      <c r="O11" t="s">
        <v>842</v>
      </c>
      <c r="P11" t="b">
        <f t="shared" si="1"/>
        <v>1</v>
      </c>
      <c r="Q11" t="s">
        <v>897</v>
      </c>
      <c r="R11" t="s">
        <v>840</v>
      </c>
      <c r="S11" s="59" t="s">
        <v>614</v>
      </c>
      <c r="T11" t="s">
        <v>898</v>
      </c>
      <c r="U11" s="58">
        <v>42735</v>
      </c>
      <c r="V11" s="58">
        <v>42765</v>
      </c>
      <c r="W11" t="s">
        <v>842</v>
      </c>
    </row>
    <row r="12" spans="1:23" hidden="1" x14ac:dyDescent="0.25">
      <c r="A12" t="s">
        <v>843</v>
      </c>
      <c r="B12" t="s">
        <v>840</v>
      </c>
      <c r="C12" t="s">
        <v>615</v>
      </c>
      <c r="D12" t="s">
        <v>844</v>
      </c>
      <c r="E12" s="58">
        <v>42735</v>
      </c>
      <c r="F12" s="58">
        <v>42765</v>
      </c>
      <c r="G12" s="59" t="s">
        <v>842</v>
      </c>
      <c r="H12" t="b">
        <f t="shared" si="0"/>
        <v>1</v>
      </c>
      <c r="I12" t="s">
        <v>843</v>
      </c>
      <c r="J12" t="s">
        <v>840</v>
      </c>
      <c r="K12" t="s">
        <v>615</v>
      </c>
      <c r="L12" t="s">
        <v>844</v>
      </c>
      <c r="M12" s="58">
        <v>42735</v>
      </c>
      <c r="N12" s="58">
        <v>42765</v>
      </c>
      <c r="O12" t="s">
        <v>842</v>
      </c>
      <c r="P12" t="b">
        <f t="shared" si="1"/>
        <v>1</v>
      </c>
      <c r="Q12" t="s">
        <v>843</v>
      </c>
      <c r="R12" t="s">
        <v>840</v>
      </c>
      <c r="S12" s="59" t="s">
        <v>615</v>
      </c>
      <c r="T12" t="s">
        <v>844</v>
      </c>
      <c r="U12" s="58">
        <v>42735</v>
      </c>
      <c r="V12" s="58">
        <v>42765</v>
      </c>
      <c r="W12" t="s">
        <v>842</v>
      </c>
    </row>
    <row r="13" spans="1:23" hidden="1" x14ac:dyDescent="0.25">
      <c r="A13" t="s">
        <v>899</v>
      </c>
      <c r="B13" t="s">
        <v>840</v>
      </c>
      <c r="C13" t="s">
        <v>616</v>
      </c>
      <c r="D13" t="s">
        <v>900</v>
      </c>
      <c r="E13" s="58">
        <v>42735</v>
      </c>
      <c r="F13" s="58">
        <v>42766</v>
      </c>
      <c r="G13" s="66" t="s">
        <v>842</v>
      </c>
      <c r="H13" t="b">
        <f t="shared" si="0"/>
        <v>0</v>
      </c>
      <c r="I13" t="s">
        <v>899</v>
      </c>
      <c r="J13" t="s">
        <v>840</v>
      </c>
      <c r="K13" t="s">
        <v>616</v>
      </c>
      <c r="L13" t="s">
        <v>900</v>
      </c>
      <c r="M13" s="58">
        <v>42735</v>
      </c>
      <c r="N13" s="58">
        <v>42766</v>
      </c>
      <c r="O13" t="s">
        <v>884</v>
      </c>
      <c r="P13" t="b">
        <f t="shared" si="1"/>
        <v>1</v>
      </c>
      <c r="Q13" t="s">
        <v>899</v>
      </c>
      <c r="R13" t="s">
        <v>840</v>
      </c>
      <c r="S13" t="s">
        <v>616</v>
      </c>
      <c r="T13" t="s">
        <v>900</v>
      </c>
      <c r="U13" s="58">
        <v>42735</v>
      </c>
      <c r="V13" s="58">
        <v>42766</v>
      </c>
      <c r="W13" t="s">
        <v>896</v>
      </c>
    </row>
    <row r="14" spans="1:23" x14ac:dyDescent="0.25">
      <c r="A14" s="59" t="s">
        <v>901</v>
      </c>
      <c r="B14" t="s">
        <v>840</v>
      </c>
      <c r="C14" t="s">
        <v>617</v>
      </c>
      <c r="D14" t="s">
        <v>902</v>
      </c>
      <c r="E14" s="58">
        <v>42735</v>
      </c>
      <c r="F14" s="58">
        <v>42760</v>
      </c>
      <c r="G14" t="s">
        <v>884</v>
      </c>
      <c r="H14" t="b">
        <f t="shared" si="0"/>
        <v>1</v>
      </c>
      <c r="I14" t="s">
        <v>901</v>
      </c>
      <c r="J14" t="s">
        <v>840</v>
      </c>
      <c r="K14" t="s">
        <v>617</v>
      </c>
      <c r="L14" t="s">
        <v>902</v>
      </c>
      <c r="M14" s="58">
        <v>42735</v>
      </c>
      <c r="N14" s="58">
        <v>42760</v>
      </c>
      <c r="O14" t="s">
        <v>884</v>
      </c>
      <c r="P14" t="b">
        <f t="shared" si="1"/>
        <v>1</v>
      </c>
      <c r="Q14" t="s">
        <v>901</v>
      </c>
      <c r="R14" t="s">
        <v>840</v>
      </c>
      <c r="S14" t="s">
        <v>617</v>
      </c>
      <c r="T14" t="s">
        <v>902</v>
      </c>
      <c r="U14" s="58">
        <v>42735</v>
      </c>
      <c r="V14" s="58">
        <v>42760</v>
      </c>
      <c r="W14" t="s">
        <v>884</v>
      </c>
    </row>
    <row r="15" spans="1:23" hidden="1" x14ac:dyDescent="0.25">
      <c r="A15" t="s">
        <v>845</v>
      </c>
      <c r="B15" t="s">
        <v>840</v>
      </c>
      <c r="C15" t="s">
        <v>618</v>
      </c>
      <c r="D15" t="s">
        <v>846</v>
      </c>
      <c r="E15" s="58">
        <v>42735</v>
      </c>
      <c r="F15" s="58">
        <v>42761</v>
      </c>
      <c r="G15" s="59" t="s">
        <v>842</v>
      </c>
      <c r="H15" t="b">
        <f t="shared" si="0"/>
        <v>1</v>
      </c>
      <c r="I15" t="s">
        <v>845</v>
      </c>
      <c r="J15" t="s">
        <v>840</v>
      </c>
      <c r="K15" t="s">
        <v>618</v>
      </c>
      <c r="L15" t="s">
        <v>846</v>
      </c>
      <c r="M15" s="58">
        <v>42735</v>
      </c>
      <c r="N15" s="58">
        <v>42761</v>
      </c>
      <c r="O15" t="s">
        <v>842</v>
      </c>
      <c r="P15" t="b">
        <f t="shared" si="1"/>
        <v>1</v>
      </c>
      <c r="Q15" t="s">
        <v>845</v>
      </c>
      <c r="R15" t="s">
        <v>840</v>
      </c>
      <c r="S15" s="59" t="s">
        <v>618</v>
      </c>
      <c r="T15" t="s">
        <v>846</v>
      </c>
      <c r="U15" s="58">
        <v>42735</v>
      </c>
      <c r="V15" s="58">
        <v>42761</v>
      </c>
      <c r="W15" t="s">
        <v>842</v>
      </c>
    </row>
    <row r="16" spans="1:23" hidden="1" x14ac:dyDescent="0.25">
      <c r="A16" t="s">
        <v>903</v>
      </c>
      <c r="B16" t="s">
        <v>840</v>
      </c>
      <c r="C16" t="s">
        <v>619</v>
      </c>
      <c r="D16" t="s">
        <v>904</v>
      </c>
      <c r="E16" s="58">
        <v>42735</v>
      </c>
      <c r="F16" s="58">
        <v>42766</v>
      </c>
      <c r="G16" s="59" t="s">
        <v>842</v>
      </c>
      <c r="H16" t="b">
        <f t="shared" si="0"/>
        <v>1</v>
      </c>
      <c r="I16" t="s">
        <v>903</v>
      </c>
      <c r="J16" t="s">
        <v>840</v>
      </c>
      <c r="K16" s="59" t="s">
        <v>619</v>
      </c>
      <c r="L16" t="s">
        <v>904</v>
      </c>
      <c r="M16" s="58">
        <v>42735</v>
      </c>
      <c r="N16" s="58">
        <v>42766</v>
      </c>
      <c r="O16" t="s">
        <v>842</v>
      </c>
      <c r="P16" t="b">
        <f t="shared" si="1"/>
        <v>1</v>
      </c>
      <c r="Q16" t="s">
        <v>903</v>
      </c>
      <c r="R16" t="s">
        <v>840</v>
      </c>
      <c r="S16" t="s">
        <v>619</v>
      </c>
      <c r="T16" t="s">
        <v>904</v>
      </c>
      <c r="U16" s="58">
        <v>42735</v>
      </c>
      <c r="V16" s="58">
        <v>42766</v>
      </c>
      <c r="W16" t="s">
        <v>884</v>
      </c>
    </row>
    <row r="17" spans="1:23" hidden="1" x14ac:dyDescent="0.25">
      <c r="A17" t="s">
        <v>905</v>
      </c>
      <c r="B17" t="s">
        <v>840</v>
      </c>
      <c r="C17" t="s">
        <v>620</v>
      </c>
      <c r="D17" t="s">
        <v>906</v>
      </c>
      <c r="E17" s="58">
        <v>42735</v>
      </c>
      <c r="F17" s="58">
        <v>42762</v>
      </c>
      <c r="G17" s="59" t="s">
        <v>842</v>
      </c>
      <c r="H17" t="b">
        <f t="shared" si="0"/>
        <v>1</v>
      </c>
      <c r="I17" t="s">
        <v>905</v>
      </c>
      <c r="J17" t="s">
        <v>840</v>
      </c>
      <c r="K17" t="s">
        <v>620</v>
      </c>
      <c r="L17" t="s">
        <v>906</v>
      </c>
      <c r="M17" s="58">
        <v>42735</v>
      </c>
      <c r="N17" s="58">
        <v>42762</v>
      </c>
      <c r="O17" t="s">
        <v>842</v>
      </c>
      <c r="P17" t="b">
        <f t="shared" si="1"/>
        <v>1</v>
      </c>
      <c r="Q17" t="s">
        <v>905</v>
      </c>
      <c r="R17" t="s">
        <v>840</v>
      </c>
      <c r="S17" s="59" t="s">
        <v>620</v>
      </c>
      <c r="T17" t="s">
        <v>906</v>
      </c>
      <c r="U17" s="58">
        <v>42735</v>
      </c>
      <c r="V17" s="58">
        <v>42762</v>
      </c>
      <c r="W17" t="s">
        <v>842</v>
      </c>
    </row>
    <row r="18" spans="1:23" hidden="1" x14ac:dyDescent="0.25">
      <c r="A18" t="s">
        <v>847</v>
      </c>
      <c r="B18" t="s">
        <v>840</v>
      </c>
      <c r="C18" t="s">
        <v>621</v>
      </c>
      <c r="D18" t="s">
        <v>848</v>
      </c>
      <c r="E18" s="58">
        <v>42735</v>
      </c>
      <c r="F18" s="58">
        <v>42765</v>
      </c>
      <c r="G18" s="59" t="s">
        <v>842</v>
      </c>
      <c r="H18" t="b">
        <f t="shared" si="0"/>
        <v>1</v>
      </c>
      <c r="I18" t="s">
        <v>847</v>
      </c>
      <c r="J18" t="s">
        <v>840</v>
      </c>
      <c r="K18" t="s">
        <v>621</v>
      </c>
      <c r="L18" t="s">
        <v>848</v>
      </c>
      <c r="M18" s="58">
        <v>42735</v>
      </c>
      <c r="N18" s="58">
        <v>42765</v>
      </c>
      <c r="O18" t="s">
        <v>842</v>
      </c>
      <c r="P18" t="b">
        <f t="shared" si="1"/>
        <v>1</v>
      </c>
      <c r="Q18" t="s">
        <v>847</v>
      </c>
      <c r="R18" t="s">
        <v>840</v>
      </c>
      <c r="S18" s="59" t="s">
        <v>621</v>
      </c>
      <c r="T18" t="s">
        <v>848</v>
      </c>
      <c r="U18" s="58">
        <v>42735</v>
      </c>
      <c r="V18" s="58">
        <v>42765</v>
      </c>
      <c r="W18" t="s">
        <v>842</v>
      </c>
    </row>
    <row r="19" spans="1:23" x14ac:dyDescent="0.25">
      <c r="A19" t="s">
        <v>907</v>
      </c>
      <c r="B19" t="s">
        <v>840</v>
      </c>
      <c r="C19" t="s">
        <v>622</v>
      </c>
      <c r="D19" t="s">
        <v>908</v>
      </c>
      <c r="E19" s="58">
        <v>42735</v>
      </c>
      <c r="F19" s="58">
        <v>42766</v>
      </c>
      <c r="G19" t="s">
        <v>911</v>
      </c>
      <c r="H19" t="b">
        <f t="shared" si="0"/>
        <v>1</v>
      </c>
      <c r="I19" t="s">
        <v>907</v>
      </c>
      <c r="J19" t="s">
        <v>840</v>
      </c>
      <c r="K19" t="s">
        <v>622</v>
      </c>
      <c r="L19" t="s">
        <v>908</v>
      </c>
      <c r="M19" s="58">
        <v>42735</v>
      </c>
      <c r="N19" s="58">
        <v>42766</v>
      </c>
      <c r="O19" t="s">
        <v>911</v>
      </c>
      <c r="P19" t="b">
        <f t="shared" si="1"/>
        <v>1</v>
      </c>
      <c r="Q19" t="s">
        <v>907</v>
      </c>
      <c r="R19" t="s">
        <v>840</v>
      </c>
      <c r="S19" t="s">
        <v>622</v>
      </c>
      <c r="T19" t="s">
        <v>908</v>
      </c>
      <c r="U19" s="58">
        <v>42735</v>
      </c>
      <c r="V19" t="s">
        <v>880</v>
      </c>
      <c r="W19" t="s">
        <v>881</v>
      </c>
    </row>
    <row r="20" spans="1:23" hidden="1" x14ac:dyDescent="0.25">
      <c r="A20" t="s">
        <v>909</v>
      </c>
      <c r="B20" t="s">
        <v>840</v>
      </c>
      <c r="C20" t="s">
        <v>622</v>
      </c>
      <c r="D20" t="s">
        <v>908</v>
      </c>
      <c r="E20" s="58">
        <v>42735</v>
      </c>
      <c r="F20" s="58">
        <v>42766</v>
      </c>
      <c r="G20" s="59" t="s">
        <v>842</v>
      </c>
      <c r="H20" t="b">
        <f t="shared" si="0"/>
        <v>1</v>
      </c>
      <c r="I20" t="s">
        <v>909</v>
      </c>
      <c r="J20" t="s">
        <v>840</v>
      </c>
      <c r="K20" s="59" t="s">
        <v>622</v>
      </c>
      <c r="L20" t="s">
        <v>908</v>
      </c>
      <c r="M20" s="58">
        <v>42735</v>
      </c>
      <c r="N20" s="58">
        <v>42766</v>
      </c>
      <c r="O20" t="s">
        <v>842</v>
      </c>
      <c r="P20" t="b">
        <f t="shared" si="1"/>
        <v>1</v>
      </c>
      <c r="Q20" t="s">
        <v>909</v>
      </c>
      <c r="R20" t="s">
        <v>840</v>
      </c>
      <c r="S20" t="s">
        <v>622</v>
      </c>
      <c r="T20" t="s">
        <v>908</v>
      </c>
      <c r="U20" s="58">
        <v>42735</v>
      </c>
      <c r="V20" t="s">
        <v>880</v>
      </c>
      <c r="W20" t="s">
        <v>881</v>
      </c>
    </row>
    <row r="21" spans="1:23" x14ac:dyDescent="0.25">
      <c r="A21" t="s">
        <v>910</v>
      </c>
      <c r="B21" t="s">
        <v>840</v>
      </c>
      <c r="C21" t="s">
        <v>623</v>
      </c>
      <c r="D21" t="s">
        <v>679</v>
      </c>
      <c r="E21" s="58">
        <v>42735</v>
      </c>
      <c r="F21" s="58">
        <v>42766</v>
      </c>
      <c r="G21" t="s">
        <v>911</v>
      </c>
      <c r="H21" t="b">
        <f t="shared" si="0"/>
        <v>1</v>
      </c>
      <c r="I21" t="s">
        <v>910</v>
      </c>
      <c r="J21" t="s">
        <v>840</v>
      </c>
      <c r="K21" t="s">
        <v>623</v>
      </c>
      <c r="L21" t="s">
        <v>679</v>
      </c>
      <c r="M21" s="58">
        <v>42735</v>
      </c>
      <c r="N21" s="58">
        <v>42766</v>
      </c>
      <c r="O21" t="s">
        <v>911</v>
      </c>
      <c r="P21" t="b">
        <f t="shared" si="1"/>
        <v>1</v>
      </c>
      <c r="Q21" t="s">
        <v>910</v>
      </c>
      <c r="R21" t="s">
        <v>840</v>
      </c>
      <c r="S21" t="s">
        <v>623</v>
      </c>
      <c r="T21" t="s">
        <v>679</v>
      </c>
      <c r="U21" s="58">
        <v>42735</v>
      </c>
      <c r="V21" s="58">
        <v>42766</v>
      </c>
      <c r="W21" t="s">
        <v>911</v>
      </c>
    </row>
    <row r="22" spans="1:23" hidden="1" x14ac:dyDescent="0.25">
      <c r="A22" t="s">
        <v>912</v>
      </c>
      <c r="B22" t="s">
        <v>840</v>
      </c>
      <c r="C22" t="s">
        <v>623</v>
      </c>
      <c r="D22" t="s">
        <v>679</v>
      </c>
      <c r="E22" s="58">
        <v>42735</v>
      </c>
      <c r="F22" s="58">
        <v>42766</v>
      </c>
      <c r="G22" s="59" t="s">
        <v>842</v>
      </c>
      <c r="H22" t="b">
        <f t="shared" si="0"/>
        <v>1</v>
      </c>
      <c r="I22" t="s">
        <v>912</v>
      </c>
      <c r="J22" t="s">
        <v>840</v>
      </c>
      <c r="K22" t="s">
        <v>623</v>
      </c>
      <c r="L22" t="s">
        <v>679</v>
      </c>
      <c r="M22" s="58">
        <v>42735</v>
      </c>
      <c r="N22" s="58">
        <v>42766</v>
      </c>
      <c r="O22" t="s">
        <v>842</v>
      </c>
      <c r="P22" t="b">
        <f t="shared" si="1"/>
        <v>1</v>
      </c>
      <c r="Q22" t="s">
        <v>912</v>
      </c>
      <c r="R22" t="s">
        <v>840</v>
      </c>
      <c r="S22" s="59" t="s">
        <v>623</v>
      </c>
      <c r="T22" t="s">
        <v>679</v>
      </c>
      <c r="U22" s="58">
        <v>42735</v>
      </c>
      <c r="V22" s="58">
        <v>42766</v>
      </c>
      <c r="W22" t="s">
        <v>842</v>
      </c>
    </row>
    <row r="23" spans="1:23" x14ac:dyDescent="0.25">
      <c r="A23" t="s">
        <v>913</v>
      </c>
      <c r="B23" t="s">
        <v>840</v>
      </c>
      <c r="C23" t="s">
        <v>624</v>
      </c>
      <c r="D23" t="s">
        <v>914</v>
      </c>
      <c r="E23" s="58">
        <v>42735</v>
      </c>
      <c r="F23" t="s">
        <v>880</v>
      </c>
      <c r="G23" t="s">
        <v>911</v>
      </c>
      <c r="H23" t="b">
        <f t="shared" si="0"/>
        <v>1</v>
      </c>
      <c r="I23" t="s">
        <v>913</v>
      </c>
      <c r="J23" t="s">
        <v>840</v>
      </c>
      <c r="K23" t="s">
        <v>624</v>
      </c>
      <c r="L23" t="s">
        <v>914</v>
      </c>
      <c r="M23" s="58">
        <v>43100</v>
      </c>
      <c r="N23" t="s">
        <v>880</v>
      </c>
      <c r="O23" t="s">
        <v>911</v>
      </c>
      <c r="P23" t="b">
        <f t="shared" si="1"/>
        <v>1</v>
      </c>
      <c r="Q23" t="s">
        <v>913</v>
      </c>
      <c r="R23" t="s">
        <v>840</v>
      </c>
      <c r="S23" t="s">
        <v>624</v>
      </c>
      <c r="T23" t="s">
        <v>914</v>
      </c>
      <c r="U23" s="58">
        <v>43100</v>
      </c>
      <c r="V23" t="s">
        <v>880</v>
      </c>
      <c r="W23" t="s">
        <v>911</v>
      </c>
    </row>
    <row r="24" spans="1:23" hidden="1" x14ac:dyDescent="0.25">
      <c r="A24" t="s">
        <v>915</v>
      </c>
      <c r="B24" t="s">
        <v>840</v>
      </c>
      <c r="C24" t="s">
        <v>624</v>
      </c>
      <c r="D24" t="s">
        <v>914</v>
      </c>
      <c r="E24" s="58">
        <v>42735</v>
      </c>
      <c r="F24" s="58">
        <v>42766</v>
      </c>
      <c r="G24" s="59" t="s">
        <v>842</v>
      </c>
      <c r="H24" t="b">
        <f t="shared" si="0"/>
        <v>1</v>
      </c>
      <c r="I24" t="s">
        <v>915</v>
      </c>
      <c r="J24" t="s">
        <v>840</v>
      </c>
      <c r="K24" t="s">
        <v>624</v>
      </c>
      <c r="L24" t="s">
        <v>914</v>
      </c>
      <c r="M24" s="58">
        <v>43100</v>
      </c>
      <c r="N24" s="58">
        <v>42766</v>
      </c>
      <c r="O24" t="s">
        <v>842</v>
      </c>
      <c r="P24" t="b">
        <f t="shared" si="1"/>
        <v>1</v>
      </c>
      <c r="Q24" t="s">
        <v>915</v>
      </c>
      <c r="R24" t="s">
        <v>840</v>
      </c>
      <c r="S24" s="59" t="s">
        <v>624</v>
      </c>
      <c r="T24" t="s">
        <v>914</v>
      </c>
      <c r="U24" s="58">
        <v>43100</v>
      </c>
      <c r="V24" s="58">
        <v>42766</v>
      </c>
      <c r="W24" t="s">
        <v>842</v>
      </c>
    </row>
    <row r="25" spans="1:23" hidden="1" x14ac:dyDescent="0.25">
      <c r="A25" t="s">
        <v>916</v>
      </c>
      <c r="B25" t="s">
        <v>840</v>
      </c>
      <c r="C25" t="s">
        <v>625</v>
      </c>
      <c r="D25" t="s">
        <v>917</v>
      </c>
      <c r="E25" s="58">
        <v>42735</v>
      </c>
      <c r="F25" s="58">
        <v>42766</v>
      </c>
      <c r="G25" s="59" t="s">
        <v>842</v>
      </c>
      <c r="H25" t="b">
        <f t="shared" si="0"/>
        <v>1</v>
      </c>
      <c r="I25" t="s">
        <v>916</v>
      </c>
      <c r="J25" t="s">
        <v>840</v>
      </c>
      <c r="K25" s="59" t="s">
        <v>625</v>
      </c>
      <c r="L25" t="s">
        <v>917</v>
      </c>
      <c r="M25" s="58">
        <v>42735</v>
      </c>
      <c r="N25" s="58">
        <v>42766</v>
      </c>
      <c r="O25" t="s">
        <v>842</v>
      </c>
      <c r="P25" t="b">
        <f t="shared" si="1"/>
        <v>1</v>
      </c>
      <c r="Q25" t="s">
        <v>916</v>
      </c>
      <c r="R25" t="s">
        <v>840</v>
      </c>
      <c r="S25" t="s">
        <v>625</v>
      </c>
      <c r="T25" t="s">
        <v>917</v>
      </c>
      <c r="U25" s="58">
        <v>42735</v>
      </c>
      <c r="V25" s="58">
        <v>42766</v>
      </c>
      <c r="W25" t="s">
        <v>884</v>
      </c>
    </row>
    <row r="26" spans="1:23" hidden="1" x14ac:dyDescent="0.25">
      <c r="A26" t="s">
        <v>918</v>
      </c>
      <c r="B26" t="s">
        <v>840</v>
      </c>
      <c r="C26" t="s">
        <v>626</v>
      </c>
      <c r="D26" t="s">
        <v>919</v>
      </c>
      <c r="E26" s="58">
        <v>42735</v>
      </c>
      <c r="F26" s="58">
        <v>42766</v>
      </c>
      <c r="G26" s="59" t="s">
        <v>842</v>
      </c>
      <c r="H26" t="b">
        <f t="shared" si="0"/>
        <v>1</v>
      </c>
      <c r="I26" t="s">
        <v>918</v>
      </c>
      <c r="J26" t="s">
        <v>840</v>
      </c>
      <c r="K26" s="59" t="s">
        <v>626</v>
      </c>
      <c r="L26" t="s">
        <v>919</v>
      </c>
      <c r="M26" s="58">
        <v>42735</v>
      </c>
      <c r="N26" s="58">
        <v>42766</v>
      </c>
      <c r="O26" t="s">
        <v>842</v>
      </c>
      <c r="P26" t="b">
        <f t="shared" si="1"/>
        <v>1</v>
      </c>
      <c r="Q26" t="s">
        <v>918</v>
      </c>
      <c r="R26" t="s">
        <v>840</v>
      </c>
      <c r="S26" t="s">
        <v>626</v>
      </c>
      <c r="T26" t="s">
        <v>919</v>
      </c>
      <c r="U26" s="58">
        <v>42735</v>
      </c>
      <c r="V26" t="s">
        <v>880</v>
      </c>
      <c r="W26" t="s">
        <v>881</v>
      </c>
    </row>
    <row r="27" spans="1:23" hidden="1" x14ac:dyDescent="0.25">
      <c r="A27" t="s">
        <v>920</v>
      </c>
      <c r="B27" t="s">
        <v>840</v>
      </c>
      <c r="C27" t="s">
        <v>627</v>
      </c>
      <c r="D27" t="s">
        <v>921</v>
      </c>
      <c r="E27" s="58">
        <v>42735</v>
      </c>
      <c r="F27" s="58">
        <v>42767</v>
      </c>
      <c r="G27" s="66" t="s">
        <v>842</v>
      </c>
      <c r="H27" t="b">
        <f t="shared" si="0"/>
        <v>0</v>
      </c>
      <c r="I27" t="s">
        <v>920</v>
      </c>
      <c r="J27" t="s">
        <v>840</v>
      </c>
      <c r="K27" t="s">
        <v>627</v>
      </c>
      <c r="L27" t="s">
        <v>921</v>
      </c>
      <c r="M27" s="58">
        <v>42735</v>
      </c>
      <c r="N27" s="58">
        <v>42767</v>
      </c>
      <c r="O27" t="s">
        <v>884</v>
      </c>
      <c r="P27" t="b">
        <f t="shared" si="1"/>
        <v>1</v>
      </c>
      <c r="Q27" t="s">
        <v>920</v>
      </c>
      <c r="R27" t="s">
        <v>840</v>
      </c>
      <c r="S27" t="s">
        <v>627</v>
      </c>
      <c r="T27" t="s">
        <v>921</v>
      </c>
      <c r="U27" s="58">
        <v>42735</v>
      </c>
      <c r="V27" s="58">
        <v>42767</v>
      </c>
      <c r="W27" t="s">
        <v>896</v>
      </c>
    </row>
    <row r="28" spans="1:23" hidden="1" x14ac:dyDescent="0.25">
      <c r="A28" t="s">
        <v>922</v>
      </c>
      <c r="B28" t="s">
        <v>840</v>
      </c>
      <c r="C28" t="s">
        <v>628</v>
      </c>
      <c r="D28" t="s">
        <v>923</v>
      </c>
      <c r="E28" s="58">
        <v>42735</v>
      </c>
      <c r="F28" s="58">
        <v>42766</v>
      </c>
      <c r="G28" s="59" t="s">
        <v>842</v>
      </c>
      <c r="H28" t="b">
        <f t="shared" si="0"/>
        <v>1</v>
      </c>
      <c r="I28" t="s">
        <v>922</v>
      </c>
      <c r="J28" t="s">
        <v>840</v>
      </c>
      <c r="K28" t="s">
        <v>628</v>
      </c>
      <c r="L28" t="s">
        <v>923</v>
      </c>
      <c r="M28" s="58">
        <v>42735</v>
      </c>
      <c r="N28" s="58">
        <v>42766</v>
      </c>
      <c r="O28" t="s">
        <v>842</v>
      </c>
      <c r="P28" t="b">
        <f t="shared" si="1"/>
        <v>1</v>
      </c>
      <c r="Q28" t="s">
        <v>922</v>
      </c>
      <c r="R28" t="s">
        <v>840</v>
      </c>
      <c r="S28" s="59" t="s">
        <v>628</v>
      </c>
      <c r="T28" t="s">
        <v>923</v>
      </c>
      <c r="U28" s="58">
        <v>42735</v>
      </c>
      <c r="V28" s="58">
        <v>42766</v>
      </c>
      <c r="W28" t="s">
        <v>842</v>
      </c>
    </row>
    <row r="29" spans="1:23" hidden="1" x14ac:dyDescent="0.25">
      <c r="A29" t="s">
        <v>924</v>
      </c>
      <c r="B29" t="s">
        <v>840</v>
      </c>
      <c r="C29" t="s">
        <v>629</v>
      </c>
      <c r="D29" t="s">
        <v>925</v>
      </c>
      <c r="E29" s="58">
        <v>42735</v>
      </c>
      <c r="F29" s="58">
        <v>42766</v>
      </c>
      <c r="G29" s="59" t="s">
        <v>842</v>
      </c>
      <c r="H29" t="b">
        <f t="shared" si="0"/>
        <v>1</v>
      </c>
      <c r="I29" t="s">
        <v>924</v>
      </c>
      <c r="J29" t="s">
        <v>840</v>
      </c>
      <c r="K29" s="59" t="s">
        <v>629</v>
      </c>
      <c r="L29" t="s">
        <v>925</v>
      </c>
      <c r="M29" s="58">
        <v>42735</v>
      </c>
      <c r="N29" s="58">
        <v>42766</v>
      </c>
      <c r="O29" t="s">
        <v>842</v>
      </c>
      <c r="P29" t="b">
        <f t="shared" si="1"/>
        <v>1</v>
      </c>
      <c r="Q29" t="s">
        <v>924</v>
      </c>
      <c r="R29" t="s">
        <v>840</v>
      </c>
      <c r="S29" t="s">
        <v>629</v>
      </c>
      <c r="T29" t="s">
        <v>925</v>
      </c>
      <c r="U29" s="58">
        <v>42735</v>
      </c>
      <c r="V29" s="58">
        <v>42766</v>
      </c>
      <c r="W29" t="s">
        <v>884</v>
      </c>
    </row>
    <row r="30" spans="1:23" x14ac:dyDescent="0.25">
      <c r="A30" t="s">
        <v>926</v>
      </c>
      <c r="B30" t="s">
        <v>840</v>
      </c>
      <c r="C30" t="s">
        <v>630</v>
      </c>
      <c r="D30" t="s">
        <v>681</v>
      </c>
      <c r="E30" s="58">
        <v>42735</v>
      </c>
      <c r="F30" s="58">
        <v>42766</v>
      </c>
      <c r="G30" t="s">
        <v>911</v>
      </c>
      <c r="H30" t="b">
        <f t="shared" si="0"/>
        <v>1</v>
      </c>
      <c r="I30" t="s">
        <v>926</v>
      </c>
      <c r="J30" t="s">
        <v>840</v>
      </c>
      <c r="K30" t="s">
        <v>630</v>
      </c>
      <c r="L30" t="s">
        <v>681</v>
      </c>
      <c r="M30" s="58">
        <v>42735</v>
      </c>
      <c r="N30" s="58">
        <v>42766</v>
      </c>
      <c r="O30" t="s">
        <v>911</v>
      </c>
      <c r="P30" t="b">
        <f t="shared" si="1"/>
        <v>1</v>
      </c>
      <c r="Q30" t="s">
        <v>926</v>
      </c>
      <c r="R30" t="s">
        <v>840</v>
      </c>
      <c r="S30" t="s">
        <v>630</v>
      </c>
      <c r="T30" t="s">
        <v>681</v>
      </c>
      <c r="U30" s="58">
        <v>42735</v>
      </c>
      <c r="V30" s="58">
        <v>42766</v>
      </c>
      <c r="W30" t="s">
        <v>884</v>
      </c>
    </row>
    <row r="31" spans="1:23" hidden="1" x14ac:dyDescent="0.25">
      <c r="A31" t="s">
        <v>999</v>
      </c>
      <c r="B31" t="s">
        <v>840</v>
      </c>
      <c r="C31" t="s">
        <v>630</v>
      </c>
      <c r="D31" t="s">
        <v>681</v>
      </c>
      <c r="E31" s="58">
        <v>42735</v>
      </c>
      <c r="F31" s="58">
        <v>42779</v>
      </c>
      <c r="G31" s="66" t="s">
        <v>842</v>
      </c>
      <c r="H31" t="b">
        <f t="shared" si="0"/>
        <v>0</v>
      </c>
      <c r="I31" t="s">
        <v>999</v>
      </c>
      <c r="J31" t="s">
        <v>840</v>
      </c>
      <c r="K31" t="s">
        <v>630</v>
      </c>
      <c r="L31" t="s">
        <v>681</v>
      </c>
      <c r="M31" s="58">
        <v>42735</v>
      </c>
      <c r="N31" s="58">
        <v>42779</v>
      </c>
      <c r="O31" t="s">
        <v>884</v>
      </c>
      <c r="P31" t="b">
        <f t="shared" si="1"/>
        <v>0</v>
      </c>
      <c r="U31" s="58"/>
      <c r="V31" s="58"/>
    </row>
    <row r="32" spans="1:23" hidden="1" x14ac:dyDescent="0.25">
      <c r="A32" t="s">
        <v>927</v>
      </c>
      <c r="B32" t="s">
        <v>840</v>
      </c>
      <c r="C32" t="s">
        <v>631</v>
      </c>
      <c r="D32" t="s">
        <v>928</v>
      </c>
      <c r="E32" s="58">
        <v>42735</v>
      </c>
      <c r="F32" s="58">
        <v>42761</v>
      </c>
      <c r="G32" s="59" t="s">
        <v>842</v>
      </c>
      <c r="H32" t="b">
        <f t="shared" si="0"/>
        <v>1</v>
      </c>
      <c r="I32" t="s">
        <v>927</v>
      </c>
      <c r="J32" t="s">
        <v>840</v>
      </c>
      <c r="K32" s="59" t="s">
        <v>631</v>
      </c>
      <c r="L32" t="s">
        <v>928</v>
      </c>
      <c r="M32" s="58">
        <v>42735</v>
      </c>
      <c r="N32" s="58">
        <v>42761</v>
      </c>
      <c r="O32" t="s">
        <v>842</v>
      </c>
      <c r="P32" t="b">
        <f t="shared" si="1"/>
        <v>1</v>
      </c>
      <c r="Q32" t="s">
        <v>927</v>
      </c>
      <c r="R32" t="s">
        <v>840</v>
      </c>
      <c r="S32" t="s">
        <v>631</v>
      </c>
      <c r="T32" t="s">
        <v>928</v>
      </c>
      <c r="U32" s="58">
        <v>42735</v>
      </c>
      <c r="V32" s="58">
        <v>42761</v>
      </c>
      <c r="W32" t="s">
        <v>884</v>
      </c>
    </row>
    <row r="33" spans="1:23" hidden="1" x14ac:dyDescent="0.25">
      <c r="A33" t="s">
        <v>929</v>
      </c>
      <c r="B33" t="s">
        <v>840</v>
      </c>
      <c r="C33" t="s">
        <v>632</v>
      </c>
      <c r="D33" t="s">
        <v>930</v>
      </c>
      <c r="E33" s="58">
        <v>42735</v>
      </c>
      <c r="F33" s="58">
        <v>42761</v>
      </c>
      <c r="G33" s="59" t="s">
        <v>842</v>
      </c>
      <c r="H33" t="b">
        <f t="shared" si="0"/>
        <v>1</v>
      </c>
      <c r="I33" t="s">
        <v>929</v>
      </c>
      <c r="J33" t="s">
        <v>840</v>
      </c>
      <c r="K33" t="s">
        <v>632</v>
      </c>
      <c r="L33" t="s">
        <v>930</v>
      </c>
      <c r="M33" s="58">
        <v>42735</v>
      </c>
      <c r="N33" s="58">
        <v>42761</v>
      </c>
      <c r="O33" t="s">
        <v>842</v>
      </c>
      <c r="P33" t="b">
        <f t="shared" si="1"/>
        <v>1</v>
      </c>
      <c r="Q33" t="s">
        <v>929</v>
      </c>
      <c r="R33" t="s">
        <v>840</v>
      </c>
      <c r="S33" s="59" t="s">
        <v>632</v>
      </c>
      <c r="T33" t="s">
        <v>930</v>
      </c>
      <c r="U33" s="58">
        <v>42735</v>
      </c>
      <c r="V33" s="58">
        <v>42761</v>
      </c>
      <c r="W33" t="s">
        <v>842</v>
      </c>
    </row>
    <row r="34" spans="1:23" hidden="1" x14ac:dyDescent="0.25">
      <c r="A34" t="s">
        <v>931</v>
      </c>
      <c r="B34" t="s">
        <v>840</v>
      </c>
      <c r="C34" t="s">
        <v>633</v>
      </c>
      <c r="D34" t="s">
        <v>932</v>
      </c>
      <c r="E34" s="58">
        <v>42735</v>
      </c>
      <c r="F34" s="58">
        <v>42762</v>
      </c>
      <c r="G34" s="66" t="s">
        <v>842</v>
      </c>
      <c r="H34" t="b">
        <f t="shared" si="0"/>
        <v>0</v>
      </c>
      <c r="I34" t="s">
        <v>931</v>
      </c>
      <c r="J34" t="s">
        <v>840</v>
      </c>
      <c r="K34" t="s">
        <v>633</v>
      </c>
      <c r="L34" t="s">
        <v>932</v>
      </c>
      <c r="M34" s="58">
        <v>42735</v>
      </c>
      <c r="N34" s="58">
        <v>42762</v>
      </c>
      <c r="O34" t="s">
        <v>884</v>
      </c>
      <c r="P34" t="b">
        <f t="shared" si="1"/>
        <v>1</v>
      </c>
      <c r="Q34" t="s">
        <v>931</v>
      </c>
      <c r="R34" t="s">
        <v>840</v>
      </c>
      <c r="S34" t="s">
        <v>633</v>
      </c>
      <c r="T34" t="s">
        <v>932</v>
      </c>
      <c r="U34" s="58">
        <v>42735</v>
      </c>
      <c r="V34" s="58">
        <v>42762</v>
      </c>
      <c r="W34" t="s">
        <v>884</v>
      </c>
    </row>
    <row r="35" spans="1:23" hidden="1" x14ac:dyDescent="0.25">
      <c r="A35" t="s">
        <v>933</v>
      </c>
      <c r="B35" t="s">
        <v>840</v>
      </c>
      <c r="C35" t="s">
        <v>634</v>
      </c>
      <c r="D35" t="s">
        <v>934</v>
      </c>
      <c r="E35" s="58">
        <v>42735</v>
      </c>
      <c r="F35" s="58">
        <v>42744</v>
      </c>
      <c r="G35" s="59" t="s">
        <v>842</v>
      </c>
      <c r="H35" t="b">
        <f t="shared" si="0"/>
        <v>1</v>
      </c>
      <c r="I35" t="s">
        <v>933</v>
      </c>
      <c r="J35" t="s">
        <v>840</v>
      </c>
      <c r="K35" t="s">
        <v>634</v>
      </c>
      <c r="L35" t="s">
        <v>934</v>
      </c>
      <c r="M35" s="58">
        <v>42735</v>
      </c>
      <c r="N35" s="58">
        <v>42744</v>
      </c>
      <c r="O35" t="s">
        <v>842</v>
      </c>
      <c r="P35" t="b">
        <f t="shared" si="1"/>
        <v>1</v>
      </c>
      <c r="Q35" t="s">
        <v>933</v>
      </c>
      <c r="R35" t="s">
        <v>840</v>
      </c>
      <c r="S35" s="59" t="s">
        <v>634</v>
      </c>
      <c r="T35" t="s">
        <v>934</v>
      </c>
      <c r="U35" s="58">
        <v>42735</v>
      </c>
      <c r="V35" s="58">
        <v>42744</v>
      </c>
      <c r="W35" t="s">
        <v>842</v>
      </c>
    </row>
    <row r="36" spans="1:23" hidden="1" x14ac:dyDescent="0.25">
      <c r="A36" t="s">
        <v>935</v>
      </c>
      <c r="B36" t="s">
        <v>840</v>
      </c>
      <c r="C36" t="s">
        <v>635</v>
      </c>
      <c r="D36" t="s">
        <v>936</v>
      </c>
      <c r="E36" s="58">
        <v>42735</v>
      </c>
      <c r="F36" s="58">
        <v>42762</v>
      </c>
      <c r="G36" s="59" t="s">
        <v>842</v>
      </c>
      <c r="H36" t="b">
        <f t="shared" si="0"/>
        <v>1</v>
      </c>
      <c r="I36" t="s">
        <v>935</v>
      </c>
      <c r="J36" t="s">
        <v>840</v>
      </c>
      <c r="K36" s="59" t="s">
        <v>635</v>
      </c>
      <c r="L36" t="s">
        <v>936</v>
      </c>
      <c r="M36" s="58">
        <v>42735</v>
      </c>
      <c r="N36" s="58">
        <v>42762</v>
      </c>
      <c r="O36" t="s">
        <v>842</v>
      </c>
      <c r="P36" t="b">
        <f t="shared" si="1"/>
        <v>1</v>
      </c>
      <c r="Q36" t="s">
        <v>935</v>
      </c>
      <c r="R36" t="s">
        <v>840</v>
      </c>
      <c r="S36" t="s">
        <v>635</v>
      </c>
      <c r="T36" t="s">
        <v>936</v>
      </c>
      <c r="U36" s="58">
        <v>42735</v>
      </c>
      <c r="V36" s="58">
        <v>42762</v>
      </c>
      <c r="W36" t="s">
        <v>884</v>
      </c>
    </row>
    <row r="37" spans="1:23" hidden="1" x14ac:dyDescent="0.25">
      <c r="A37" t="s">
        <v>937</v>
      </c>
      <c r="B37" t="s">
        <v>856</v>
      </c>
      <c r="C37" t="s">
        <v>636</v>
      </c>
      <c r="D37" t="s">
        <v>938</v>
      </c>
      <c r="E37" s="58">
        <v>42725</v>
      </c>
      <c r="F37" s="58">
        <v>42755</v>
      </c>
      <c r="G37" s="59" t="s">
        <v>842</v>
      </c>
      <c r="H37" t="b">
        <f t="shared" si="0"/>
        <v>1</v>
      </c>
      <c r="I37" t="s">
        <v>937</v>
      </c>
      <c r="J37" t="s">
        <v>856</v>
      </c>
      <c r="K37" s="59" t="s">
        <v>636</v>
      </c>
      <c r="L37" t="s">
        <v>938</v>
      </c>
      <c r="M37" s="58">
        <v>42725</v>
      </c>
      <c r="N37" s="58">
        <v>42755</v>
      </c>
      <c r="O37" t="s">
        <v>842</v>
      </c>
      <c r="P37" t="b">
        <f t="shared" si="1"/>
        <v>1</v>
      </c>
      <c r="Q37" t="s">
        <v>937</v>
      </c>
      <c r="R37" t="s">
        <v>856</v>
      </c>
      <c r="S37" t="s">
        <v>636</v>
      </c>
      <c r="T37" t="s">
        <v>938</v>
      </c>
      <c r="U37" s="58">
        <v>42725</v>
      </c>
      <c r="V37" s="58">
        <v>42755</v>
      </c>
      <c r="W37" t="s">
        <v>884</v>
      </c>
    </row>
    <row r="38" spans="1:23" hidden="1" x14ac:dyDescent="0.25">
      <c r="A38" t="s">
        <v>939</v>
      </c>
      <c r="B38" t="s">
        <v>840</v>
      </c>
      <c r="C38" t="s">
        <v>637</v>
      </c>
      <c r="D38" t="s">
        <v>940</v>
      </c>
      <c r="E38" s="58">
        <v>42735</v>
      </c>
      <c r="F38" s="58">
        <v>42761</v>
      </c>
      <c r="G38" s="66" t="s">
        <v>842</v>
      </c>
      <c r="H38" t="b">
        <f t="shared" si="0"/>
        <v>0</v>
      </c>
      <c r="I38" t="s">
        <v>939</v>
      </c>
      <c r="J38" t="s">
        <v>840</v>
      </c>
      <c r="K38" t="s">
        <v>637</v>
      </c>
      <c r="L38" t="s">
        <v>940</v>
      </c>
      <c r="M38" s="58">
        <v>42735</v>
      </c>
      <c r="N38" s="58">
        <v>42761</v>
      </c>
      <c r="O38" t="s">
        <v>884</v>
      </c>
      <c r="P38" t="b">
        <f t="shared" si="1"/>
        <v>1</v>
      </c>
      <c r="Q38" t="s">
        <v>939</v>
      </c>
      <c r="R38" t="s">
        <v>840</v>
      </c>
      <c r="S38" t="s">
        <v>637</v>
      </c>
      <c r="T38" t="s">
        <v>940</v>
      </c>
      <c r="U38" s="58">
        <v>42735</v>
      </c>
      <c r="V38" s="58">
        <v>42761</v>
      </c>
      <c r="W38" t="s">
        <v>884</v>
      </c>
    </row>
    <row r="39" spans="1:23" hidden="1" x14ac:dyDescent="0.25">
      <c r="A39" t="s">
        <v>941</v>
      </c>
      <c r="B39" t="s">
        <v>840</v>
      </c>
      <c r="C39" t="s">
        <v>638</v>
      </c>
      <c r="D39" t="s">
        <v>942</v>
      </c>
      <c r="E39" s="58">
        <v>42735</v>
      </c>
      <c r="F39" s="58">
        <v>42766</v>
      </c>
      <c r="G39" s="59" t="s">
        <v>842</v>
      </c>
      <c r="H39" t="b">
        <f t="shared" si="0"/>
        <v>1</v>
      </c>
      <c r="I39" t="s">
        <v>941</v>
      </c>
      <c r="J39" t="s">
        <v>840</v>
      </c>
      <c r="K39" t="s">
        <v>638</v>
      </c>
      <c r="L39" t="s">
        <v>942</v>
      </c>
      <c r="M39" s="58">
        <v>42735</v>
      </c>
      <c r="N39" s="58">
        <v>42766</v>
      </c>
      <c r="O39" t="s">
        <v>842</v>
      </c>
      <c r="P39" t="b">
        <f t="shared" si="1"/>
        <v>1</v>
      </c>
      <c r="Q39" t="s">
        <v>941</v>
      </c>
      <c r="R39" t="s">
        <v>840</v>
      </c>
      <c r="S39" s="59" t="s">
        <v>638</v>
      </c>
      <c r="T39" t="s">
        <v>942</v>
      </c>
      <c r="U39" s="58">
        <v>42735</v>
      </c>
      <c r="V39" s="58">
        <v>42766</v>
      </c>
      <c r="W39" t="s">
        <v>842</v>
      </c>
    </row>
    <row r="40" spans="1:23" hidden="1" x14ac:dyDescent="0.25">
      <c r="A40" t="s">
        <v>943</v>
      </c>
      <c r="B40" t="s">
        <v>840</v>
      </c>
      <c r="C40" t="s">
        <v>639</v>
      </c>
      <c r="D40" t="s">
        <v>944</v>
      </c>
      <c r="E40" s="58">
        <v>42735</v>
      </c>
      <c r="F40" s="58">
        <v>42765</v>
      </c>
      <c r="G40" s="66" t="s">
        <v>842</v>
      </c>
      <c r="H40" t="b">
        <f t="shared" si="0"/>
        <v>0</v>
      </c>
      <c r="I40" t="s">
        <v>943</v>
      </c>
      <c r="J40" t="s">
        <v>840</v>
      </c>
      <c r="K40" t="s">
        <v>639</v>
      </c>
      <c r="L40" t="s">
        <v>944</v>
      </c>
      <c r="M40" s="58">
        <v>42735</v>
      </c>
      <c r="N40" s="58">
        <v>42765</v>
      </c>
      <c r="O40" t="s">
        <v>884</v>
      </c>
      <c r="P40" t="b">
        <f t="shared" si="1"/>
        <v>1</v>
      </c>
      <c r="Q40" t="s">
        <v>943</v>
      </c>
      <c r="R40" t="s">
        <v>840</v>
      </c>
      <c r="S40" t="s">
        <v>639</v>
      </c>
      <c r="T40" t="s">
        <v>944</v>
      </c>
      <c r="U40" s="58">
        <v>42735</v>
      </c>
      <c r="V40" s="58">
        <v>42765</v>
      </c>
      <c r="W40" t="s">
        <v>896</v>
      </c>
    </row>
    <row r="41" spans="1:23" hidden="1" x14ac:dyDescent="0.25">
      <c r="A41" t="s">
        <v>945</v>
      </c>
      <c r="B41" t="s">
        <v>840</v>
      </c>
      <c r="C41" t="s">
        <v>640</v>
      </c>
      <c r="D41" t="s">
        <v>946</v>
      </c>
      <c r="E41" s="58">
        <v>42735</v>
      </c>
      <c r="F41" s="58">
        <v>42766</v>
      </c>
      <c r="G41" s="66" t="s">
        <v>842</v>
      </c>
      <c r="H41" t="b">
        <f t="shared" si="0"/>
        <v>0</v>
      </c>
      <c r="I41" t="s">
        <v>945</v>
      </c>
      <c r="J41" t="s">
        <v>840</v>
      </c>
      <c r="K41" t="s">
        <v>640</v>
      </c>
      <c r="L41" t="s">
        <v>946</v>
      </c>
      <c r="M41" s="58">
        <v>42735</v>
      </c>
      <c r="N41" s="58">
        <v>42766</v>
      </c>
      <c r="O41" t="s">
        <v>896</v>
      </c>
      <c r="P41" t="b">
        <f t="shared" si="1"/>
        <v>1</v>
      </c>
      <c r="Q41" t="s">
        <v>945</v>
      </c>
      <c r="R41" t="s">
        <v>840</v>
      </c>
      <c r="S41" t="s">
        <v>640</v>
      </c>
      <c r="T41" t="s">
        <v>946</v>
      </c>
      <c r="U41" s="58">
        <v>42735</v>
      </c>
      <c r="V41" s="58">
        <v>42766</v>
      </c>
      <c r="W41" t="s">
        <v>896</v>
      </c>
    </row>
    <row r="42" spans="1:23" x14ac:dyDescent="0.25">
      <c r="A42" s="59" t="s">
        <v>947</v>
      </c>
      <c r="B42" t="s">
        <v>840</v>
      </c>
      <c r="C42" t="s">
        <v>641</v>
      </c>
      <c r="D42" t="s">
        <v>948</v>
      </c>
      <c r="E42" s="58">
        <v>42735</v>
      </c>
      <c r="F42" s="58">
        <v>42768</v>
      </c>
      <c r="G42" t="s">
        <v>884</v>
      </c>
      <c r="H42" t="b">
        <f t="shared" si="0"/>
        <v>1</v>
      </c>
      <c r="I42" t="s">
        <v>947</v>
      </c>
      <c r="J42" t="s">
        <v>840</v>
      </c>
      <c r="K42" t="s">
        <v>641</v>
      </c>
      <c r="L42" t="s">
        <v>948</v>
      </c>
      <c r="M42" s="58">
        <v>42735</v>
      </c>
      <c r="N42" s="58">
        <v>42768</v>
      </c>
      <c r="O42" t="s">
        <v>884</v>
      </c>
      <c r="P42" t="b">
        <f t="shared" si="1"/>
        <v>1</v>
      </c>
      <c r="Q42" t="s">
        <v>947</v>
      </c>
      <c r="R42" t="s">
        <v>840</v>
      </c>
      <c r="S42" t="s">
        <v>641</v>
      </c>
      <c r="T42" t="s">
        <v>948</v>
      </c>
      <c r="U42" s="58">
        <v>42735</v>
      </c>
      <c r="V42" s="58">
        <v>42768</v>
      </c>
      <c r="W42" t="s">
        <v>884</v>
      </c>
    </row>
    <row r="43" spans="1:23" hidden="1" x14ac:dyDescent="0.25">
      <c r="A43" t="s">
        <v>949</v>
      </c>
      <c r="B43" t="s">
        <v>840</v>
      </c>
      <c r="C43" t="s">
        <v>642</v>
      </c>
      <c r="D43" t="s">
        <v>950</v>
      </c>
      <c r="E43" s="58">
        <v>42735</v>
      </c>
      <c r="F43" s="58">
        <v>42765</v>
      </c>
      <c r="G43" s="66" t="s">
        <v>842</v>
      </c>
      <c r="H43" t="b">
        <f t="shared" si="0"/>
        <v>0</v>
      </c>
      <c r="I43" t="s">
        <v>949</v>
      </c>
      <c r="J43" t="s">
        <v>840</v>
      </c>
      <c r="K43" t="s">
        <v>642</v>
      </c>
      <c r="L43" t="s">
        <v>950</v>
      </c>
      <c r="M43" s="58">
        <v>42735</v>
      </c>
      <c r="N43" s="58">
        <v>42765</v>
      </c>
      <c r="O43" t="s">
        <v>884</v>
      </c>
      <c r="P43" t="b">
        <f t="shared" si="1"/>
        <v>1</v>
      </c>
      <c r="Q43" t="s">
        <v>949</v>
      </c>
      <c r="R43" t="s">
        <v>840</v>
      </c>
      <c r="S43" t="s">
        <v>642</v>
      </c>
      <c r="T43" t="s">
        <v>950</v>
      </c>
      <c r="U43" s="58">
        <v>42735</v>
      </c>
      <c r="V43" s="58">
        <v>42765</v>
      </c>
      <c r="W43" t="s">
        <v>896</v>
      </c>
    </row>
    <row r="44" spans="1:23" hidden="1" x14ac:dyDescent="0.25">
      <c r="A44" t="s">
        <v>951</v>
      </c>
      <c r="B44" t="s">
        <v>840</v>
      </c>
      <c r="C44" t="s">
        <v>643</v>
      </c>
      <c r="D44" t="s">
        <v>952</v>
      </c>
      <c r="E44" s="58">
        <v>42735</v>
      </c>
      <c r="F44" s="58">
        <v>42755</v>
      </c>
      <c r="G44" s="59" t="s">
        <v>842</v>
      </c>
      <c r="H44" t="b">
        <f t="shared" si="0"/>
        <v>1</v>
      </c>
      <c r="I44" t="s">
        <v>951</v>
      </c>
      <c r="J44" t="s">
        <v>840</v>
      </c>
      <c r="K44" s="59" t="s">
        <v>643</v>
      </c>
      <c r="L44" t="s">
        <v>952</v>
      </c>
      <c r="M44" s="58">
        <v>42735</v>
      </c>
      <c r="N44" s="58">
        <v>42755</v>
      </c>
      <c r="O44" t="s">
        <v>842</v>
      </c>
      <c r="P44" t="b">
        <f t="shared" si="1"/>
        <v>1</v>
      </c>
      <c r="Q44" t="s">
        <v>951</v>
      </c>
      <c r="R44" t="s">
        <v>840</v>
      </c>
      <c r="S44" t="s">
        <v>643</v>
      </c>
      <c r="T44" t="s">
        <v>952</v>
      </c>
      <c r="U44" s="58">
        <v>42735</v>
      </c>
      <c r="V44" s="58">
        <v>42755</v>
      </c>
      <c r="W44" t="s">
        <v>884</v>
      </c>
    </row>
    <row r="45" spans="1:23" x14ac:dyDescent="0.25">
      <c r="A45" s="59" t="s">
        <v>953</v>
      </c>
      <c r="B45" t="s">
        <v>840</v>
      </c>
      <c r="C45" t="s">
        <v>644</v>
      </c>
      <c r="D45" t="s">
        <v>693</v>
      </c>
      <c r="E45" s="58">
        <v>42735</v>
      </c>
      <c r="F45" s="58">
        <v>42766</v>
      </c>
      <c r="G45" t="s">
        <v>896</v>
      </c>
      <c r="H45" t="b">
        <f t="shared" si="0"/>
        <v>0</v>
      </c>
      <c r="I45" t="s">
        <v>953</v>
      </c>
      <c r="J45" t="s">
        <v>840</v>
      </c>
      <c r="K45" t="s">
        <v>644</v>
      </c>
      <c r="L45" t="s">
        <v>693</v>
      </c>
      <c r="M45" s="58">
        <v>42735</v>
      </c>
      <c r="N45" s="58">
        <v>42766</v>
      </c>
      <c r="O45" t="s">
        <v>884</v>
      </c>
      <c r="P45" t="b">
        <f t="shared" si="1"/>
        <v>1</v>
      </c>
      <c r="Q45" t="s">
        <v>953</v>
      </c>
      <c r="R45" t="s">
        <v>840</v>
      </c>
      <c r="S45" t="s">
        <v>644</v>
      </c>
      <c r="T45" t="s">
        <v>693</v>
      </c>
      <c r="U45" s="58">
        <v>42735</v>
      </c>
      <c r="V45" t="s">
        <v>880</v>
      </c>
      <c r="W45" t="s">
        <v>881</v>
      </c>
    </row>
    <row r="46" spans="1:23" hidden="1" x14ac:dyDescent="0.25">
      <c r="A46" t="s">
        <v>954</v>
      </c>
      <c r="B46" t="s">
        <v>840</v>
      </c>
      <c r="C46" t="s">
        <v>645</v>
      </c>
      <c r="D46" t="s">
        <v>955</v>
      </c>
      <c r="E46" s="58">
        <v>42735</v>
      </c>
      <c r="F46" s="58">
        <v>42767</v>
      </c>
      <c r="G46" s="66" t="s">
        <v>842</v>
      </c>
      <c r="H46" t="b">
        <f t="shared" si="0"/>
        <v>0</v>
      </c>
      <c r="I46" t="s">
        <v>954</v>
      </c>
      <c r="J46" t="s">
        <v>840</v>
      </c>
      <c r="K46" t="s">
        <v>645</v>
      </c>
      <c r="L46" t="s">
        <v>955</v>
      </c>
      <c r="M46" s="58">
        <v>42735</v>
      </c>
      <c r="N46" s="58">
        <v>42767</v>
      </c>
      <c r="O46" t="s">
        <v>884</v>
      </c>
      <c r="P46" t="b">
        <f t="shared" si="1"/>
        <v>1</v>
      </c>
      <c r="Q46" t="s">
        <v>954</v>
      </c>
      <c r="R46" t="s">
        <v>840</v>
      </c>
      <c r="S46" t="s">
        <v>645</v>
      </c>
      <c r="T46" t="s">
        <v>955</v>
      </c>
      <c r="U46" s="58">
        <v>42735</v>
      </c>
      <c r="V46" s="58">
        <v>42767</v>
      </c>
      <c r="W46" t="s">
        <v>896</v>
      </c>
    </row>
    <row r="47" spans="1:23" hidden="1" x14ac:dyDescent="0.25">
      <c r="A47" t="s">
        <v>849</v>
      </c>
      <c r="B47" t="s">
        <v>840</v>
      </c>
      <c r="C47" t="s">
        <v>653</v>
      </c>
      <c r="D47" t="s">
        <v>850</v>
      </c>
      <c r="E47" s="58">
        <v>42735</v>
      </c>
      <c r="F47" s="58">
        <v>42753</v>
      </c>
      <c r="G47" s="59" t="s">
        <v>842</v>
      </c>
      <c r="H47" t="b">
        <f t="shared" si="0"/>
        <v>1</v>
      </c>
      <c r="I47" t="s">
        <v>849</v>
      </c>
      <c r="J47" t="s">
        <v>840</v>
      </c>
      <c r="K47" t="s">
        <v>653</v>
      </c>
      <c r="L47" t="s">
        <v>850</v>
      </c>
      <c r="M47" s="58">
        <v>42735</v>
      </c>
      <c r="N47" s="58">
        <v>42753</v>
      </c>
      <c r="O47" t="s">
        <v>842</v>
      </c>
      <c r="P47" t="b">
        <f t="shared" si="1"/>
        <v>1</v>
      </c>
      <c r="Q47" t="s">
        <v>849</v>
      </c>
      <c r="R47" t="s">
        <v>840</v>
      </c>
      <c r="S47" s="59" t="s">
        <v>653</v>
      </c>
      <c r="T47" t="s">
        <v>850</v>
      </c>
      <c r="U47" s="58">
        <v>42735</v>
      </c>
      <c r="V47" s="58">
        <v>42753</v>
      </c>
      <c r="W47" t="s">
        <v>842</v>
      </c>
    </row>
    <row r="48" spans="1:23" hidden="1" x14ac:dyDescent="0.25">
      <c r="A48" t="s">
        <v>851</v>
      </c>
      <c r="B48" t="s">
        <v>840</v>
      </c>
      <c r="C48" t="s">
        <v>654</v>
      </c>
      <c r="D48" t="s">
        <v>852</v>
      </c>
      <c r="E48" s="58">
        <v>42735</v>
      </c>
      <c r="F48" s="58">
        <v>42753</v>
      </c>
      <c r="G48" s="59" t="s">
        <v>842</v>
      </c>
      <c r="H48" t="b">
        <f t="shared" si="0"/>
        <v>1</v>
      </c>
      <c r="I48" t="s">
        <v>851</v>
      </c>
      <c r="J48" t="s">
        <v>840</v>
      </c>
      <c r="K48" t="s">
        <v>654</v>
      </c>
      <c r="L48" t="s">
        <v>852</v>
      </c>
      <c r="M48" s="58">
        <v>42735</v>
      </c>
      <c r="N48" s="58">
        <v>42753</v>
      </c>
      <c r="O48" t="s">
        <v>842</v>
      </c>
      <c r="P48" t="b">
        <f t="shared" si="1"/>
        <v>1</v>
      </c>
      <c r="Q48" t="s">
        <v>851</v>
      </c>
      <c r="R48" t="s">
        <v>840</v>
      </c>
      <c r="S48" s="59" t="s">
        <v>654</v>
      </c>
      <c r="T48" t="s">
        <v>852</v>
      </c>
      <c r="U48" s="58">
        <v>42735</v>
      </c>
      <c r="V48" s="58">
        <v>42753</v>
      </c>
      <c r="W48" t="s">
        <v>842</v>
      </c>
    </row>
    <row r="49" spans="1:23" hidden="1" x14ac:dyDescent="0.25">
      <c r="A49" t="s">
        <v>853</v>
      </c>
      <c r="B49" t="s">
        <v>840</v>
      </c>
      <c r="C49" t="s">
        <v>655</v>
      </c>
      <c r="D49" t="s">
        <v>854</v>
      </c>
      <c r="E49" s="58">
        <v>42735</v>
      </c>
      <c r="F49" s="58">
        <v>42753</v>
      </c>
      <c r="G49" s="59" t="s">
        <v>842</v>
      </c>
      <c r="H49" t="b">
        <f t="shared" si="0"/>
        <v>1</v>
      </c>
      <c r="I49" t="s">
        <v>853</v>
      </c>
      <c r="J49" t="s">
        <v>840</v>
      </c>
      <c r="K49" t="s">
        <v>655</v>
      </c>
      <c r="L49" t="s">
        <v>854</v>
      </c>
      <c r="M49" s="58">
        <v>42735</v>
      </c>
      <c r="N49" s="58">
        <v>42753</v>
      </c>
      <c r="O49" t="s">
        <v>842</v>
      </c>
      <c r="P49" t="b">
        <f t="shared" si="1"/>
        <v>1</v>
      </c>
      <c r="Q49" t="s">
        <v>853</v>
      </c>
      <c r="R49" t="s">
        <v>840</v>
      </c>
      <c r="S49" s="59" t="s">
        <v>655</v>
      </c>
      <c r="T49" t="s">
        <v>854</v>
      </c>
      <c r="U49" s="58">
        <v>42735</v>
      </c>
      <c r="V49" s="58">
        <v>42753</v>
      </c>
      <c r="W49" t="s">
        <v>842</v>
      </c>
    </row>
    <row r="50" spans="1:23" hidden="1" x14ac:dyDescent="0.25">
      <c r="A50" t="s">
        <v>855</v>
      </c>
      <c r="B50" t="s">
        <v>856</v>
      </c>
      <c r="C50" t="s">
        <v>650</v>
      </c>
      <c r="D50" t="s">
        <v>857</v>
      </c>
      <c r="E50" s="58">
        <v>42613</v>
      </c>
      <c r="F50" s="58">
        <v>42613</v>
      </c>
      <c r="G50" s="59" t="s">
        <v>842</v>
      </c>
      <c r="H50" t="b">
        <f t="shared" si="0"/>
        <v>1</v>
      </c>
      <c r="I50" t="s">
        <v>855</v>
      </c>
      <c r="J50" t="s">
        <v>856</v>
      </c>
      <c r="K50" t="s">
        <v>650</v>
      </c>
      <c r="L50" t="s">
        <v>857</v>
      </c>
      <c r="M50" s="58">
        <v>42613</v>
      </c>
      <c r="N50" s="58">
        <v>42613</v>
      </c>
      <c r="O50" t="s">
        <v>842</v>
      </c>
      <c r="P50" t="b">
        <f t="shared" si="1"/>
        <v>1</v>
      </c>
      <c r="Q50" t="s">
        <v>855</v>
      </c>
      <c r="R50" t="s">
        <v>856</v>
      </c>
      <c r="S50" s="59" t="s">
        <v>650</v>
      </c>
      <c r="T50" t="s">
        <v>857</v>
      </c>
      <c r="U50" s="58">
        <v>42613</v>
      </c>
      <c r="V50" s="58">
        <v>42613</v>
      </c>
      <c r="W50" t="s">
        <v>842</v>
      </c>
    </row>
    <row r="51" spans="1:23" hidden="1" x14ac:dyDescent="0.25">
      <c r="A51" t="s">
        <v>956</v>
      </c>
      <c r="B51" t="s">
        <v>840</v>
      </c>
      <c r="C51" t="s">
        <v>651</v>
      </c>
      <c r="D51" t="s">
        <v>700</v>
      </c>
      <c r="E51" s="58">
        <v>42735</v>
      </c>
      <c r="F51" s="58">
        <v>42766</v>
      </c>
      <c r="G51" s="66" t="s">
        <v>842</v>
      </c>
      <c r="H51" t="b">
        <f t="shared" si="0"/>
        <v>0</v>
      </c>
      <c r="I51" t="s">
        <v>956</v>
      </c>
      <c r="J51" t="s">
        <v>840</v>
      </c>
      <c r="K51" t="s">
        <v>651</v>
      </c>
      <c r="L51" t="s">
        <v>700</v>
      </c>
      <c r="M51" s="58">
        <v>42735</v>
      </c>
      <c r="N51" s="58">
        <v>42766</v>
      </c>
      <c r="O51" t="s">
        <v>896</v>
      </c>
      <c r="P51" t="b">
        <f t="shared" si="1"/>
        <v>1</v>
      </c>
      <c r="Q51" t="s">
        <v>956</v>
      </c>
      <c r="R51" t="s">
        <v>840</v>
      </c>
      <c r="S51" t="s">
        <v>651</v>
      </c>
      <c r="T51" t="s">
        <v>700</v>
      </c>
      <c r="U51" s="58">
        <v>42735</v>
      </c>
      <c r="V51" t="s">
        <v>880</v>
      </c>
      <c r="W51" t="s">
        <v>881</v>
      </c>
    </row>
    <row r="52" spans="1:23" x14ac:dyDescent="0.25">
      <c r="A52" s="59" t="s">
        <v>957</v>
      </c>
      <c r="B52" t="s">
        <v>840</v>
      </c>
      <c r="C52" t="s">
        <v>656</v>
      </c>
      <c r="D52" t="s">
        <v>958</v>
      </c>
      <c r="E52" s="58">
        <v>42735</v>
      </c>
      <c r="F52" s="58">
        <v>42767</v>
      </c>
      <c r="G52" t="s">
        <v>884</v>
      </c>
      <c r="H52" t="b">
        <f t="shared" si="0"/>
        <v>1</v>
      </c>
      <c r="I52" t="s">
        <v>957</v>
      </c>
      <c r="J52" t="s">
        <v>840</v>
      </c>
      <c r="K52" t="s">
        <v>656</v>
      </c>
      <c r="L52" t="s">
        <v>958</v>
      </c>
      <c r="M52" s="58">
        <v>42735</v>
      </c>
      <c r="N52" s="58">
        <v>42767</v>
      </c>
      <c r="O52" t="s">
        <v>884</v>
      </c>
      <c r="P52" t="b">
        <f t="shared" si="1"/>
        <v>1</v>
      </c>
      <c r="Q52" t="s">
        <v>957</v>
      </c>
      <c r="R52" t="s">
        <v>840</v>
      </c>
      <c r="S52" t="s">
        <v>656</v>
      </c>
      <c r="T52" t="s">
        <v>958</v>
      </c>
      <c r="U52" s="58">
        <v>42735</v>
      </c>
      <c r="V52" s="58">
        <v>42767</v>
      </c>
      <c r="W52" t="s">
        <v>884</v>
      </c>
    </row>
    <row r="53" spans="1:23" hidden="1" x14ac:dyDescent="0.25">
      <c r="A53" t="s">
        <v>959</v>
      </c>
      <c r="B53" t="s">
        <v>840</v>
      </c>
      <c r="C53" t="s">
        <v>652</v>
      </c>
      <c r="D53" t="s">
        <v>960</v>
      </c>
      <c r="E53" s="58">
        <v>42735</v>
      </c>
      <c r="F53" s="58">
        <v>42766</v>
      </c>
      <c r="G53" s="59" t="s">
        <v>842</v>
      </c>
      <c r="H53" t="b">
        <f t="shared" si="0"/>
        <v>1</v>
      </c>
      <c r="I53" t="s">
        <v>959</v>
      </c>
      <c r="J53" t="s">
        <v>840</v>
      </c>
      <c r="K53" s="59" t="s">
        <v>652</v>
      </c>
      <c r="L53" t="s">
        <v>960</v>
      </c>
      <c r="M53" s="58">
        <v>42735</v>
      </c>
      <c r="N53" s="58">
        <v>42766</v>
      </c>
      <c r="O53" t="s">
        <v>842</v>
      </c>
      <c r="P53" t="b">
        <f t="shared" si="1"/>
        <v>1</v>
      </c>
      <c r="Q53" t="s">
        <v>959</v>
      </c>
      <c r="R53" t="s">
        <v>840</v>
      </c>
      <c r="S53" t="s">
        <v>652</v>
      </c>
      <c r="T53" t="s">
        <v>960</v>
      </c>
      <c r="U53" s="58">
        <v>42735</v>
      </c>
      <c r="V53" s="58">
        <v>42766</v>
      </c>
      <c r="W53" t="s">
        <v>884</v>
      </c>
    </row>
    <row r="54" spans="1:23" hidden="1" x14ac:dyDescent="0.25">
      <c r="A54" t="s">
        <v>961</v>
      </c>
      <c r="B54" t="s">
        <v>840</v>
      </c>
      <c r="C54" t="s">
        <v>646</v>
      </c>
      <c r="D54" t="s">
        <v>962</v>
      </c>
      <c r="E54" s="58">
        <v>42735</v>
      </c>
      <c r="F54" s="58">
        <v>42761</v>
      </c>
      <c r="G54" s="59" t="s">
        <v>842</v>
      </c>
      <c r="H54" t="b">
        <f t="shared" si="0"/>
        <v>1</v>
      </c>
      <c r="I54" t="s">
        <v>961</v>
      </c>
      <c r="J54" t="s">
        <v>840</v>
      </c>
      <c r="K54" s="59" t="s">
        <v>646</v>
      </c>
      <c r="L54" t="s">
        <v>962</v>
      </c>
      <c r="M54" s="58">
        <v>42735</v>
      </c>
      <c r="N54" s="58">
        <v>42761</v>
      </c>
      <c r="O54" t="s">
        <v>842</v>
      </c>
      <c r="P54" t="b">
        <f t="shared" si="1"/>
        <v>1</v>
      </c>
      <c r="Q54" t="s">
        <v>961</v>
      </c>
      <c r="R54" t="s">
        <v>840</v>
      </c>
      <c r="S54" t="s">
        <v>646</v>
      </c>
      <c r="T54" t="s">
        <v>962</v>
      </c>
      <c r="U54" s="58">
        <v>42735</v>
      </c>
      <c r="V54" t="s">
        <v>880</v>
      </c>
      <c r="W54" t="s">
        <v>881</v>
      </c>
    </row>
    <row r="55" spans="1:23" hidden="1" x14ac:dyDescent="0.25">
      <c r="A55" t="s">
        <v>963</v>
      </c>
      <c r="B55" t="s">
        <v>840</v>
      </c>
      <c r="C55" t="s">
        <v>707</v>
      </c>
      <c r="D55" t="s">
        <v>964</v>
      </c>
      <c r="E55" s="58">
        <v>42735</v>
      </c>
      <c r="F55" s="58">
        <v>42760</v>
      </c>
      <c r="G55" s="59" t="s">
        <v>842</v>
      </c>
      <c r="H55" t="b">
        <f t="shared" si="0"/>
        <v>1</v>
      </c>
      <c r="I55" t="s">
        <v>963</v>
      </c>
      <c r="J55" t="s">
        <v>840</v>
      </c>
      <c r="K55" s="59" t="s">
        <v>707</v>
      </c>
      <c r="L55" t="s">
        <v>964</v>
      </c>
      <c r="M55" s="58">
        <v>42735</v>
      </c>
      <c r="N55" s="58">
        <v>42760</v>
      </c>
      <c r="O55" t="s">
        <v>842</v>
      </c>
      <c r="P55" t="b">
        <f t="shared" si="1"/>
        <v>1</v>
      </c>
      <c r="Q55" t="s">
        <v>963</v>
      </c>
      <c r="R55" t="s">
        <v>840</v>
      </c>
      <c r="S55" t="s">
        <v>707</v>
      </c>
      <c r="T55" t="s">
        <v>964</v>
      </c>
      <c r="U55" s="58">
        <v>42735</v>
      </c>
      <c r="V55" s="58">
        <v>42760</v>
      </c>
      <c r="W55" t="s">
        <v>884</v>
      </c>
    </row>
    <row r="56" spans="1:23" hidden="1" x14ac:dyDescent="0.25">
      <c r="A56" t="s">
        <v>965</v>
      </c>
      <c r="B56" t="s">
        <v>840</v>
      </c>
      <c r="C56" t="s">
        <v>708</v>
      </c>
      <c r="D56" t="s">
        <v>966</v>
      </c>
      <c r="E56" s="58">
        <v>42735</v>
      </c>
      <c r="F56" s="58">
        <v>42768</v>
      </c>
      <c r="G56" s="66" t="s">
        <v>842</v>
      </c>
      <c r="H56" t="b">
        <f t="shared" si="0"/>
        <v>0</v>
      </c>
      <c r="I56" t="s">
        <v>965</v>
      </c>
      <c r="J56" t="s">
        <v>840</v>
      </c>
      <c r="K56" t="s">
        <v>708</v>
      </c>
      <c r="L56" t="s">
        <v>966</v>
      </c>
      <c r="M56" s="58">
        <v>42735</v>
      </c>
      <c r="N56" s="58">
        <v>42768</v>
      </c>
      <c r="O56" t="s">
        <v>896</v>
      </c>
      <c r="P56" t="b">
        <f t="shared" si="1"/>
        <v>1</v>
      </c>
      <c r="Q56" t="s">
        <v>965</v>
      </c>
      <c r="R56" t="s">
        <v>840</v>
      </c>
      <c r="S56" t="s">
        <v>708</v>
      </c>
      <c r="T56" t="s">
        <v>966</v>
      </c>
      <c r="U56" s="58">
        <v>42735</v>
      </c>
      <c r="V56" t="s">
        <v>880</v>
      </c>
      <c r="W56" t="s">
        <v>881</v>
      </c>
    </row>
    <row r="57" spans="1:23" hidden="1" x14ac:dyDescent="0.25">
      <c r="A57" t="s">
        <v>967</v>
      </c>
      <c r="B57" t="s">
        <v>840</v>
      </c>
      <c r="C57" t="s">
        <v>709</v>
      </c>
      <c r="D57" t="s">
        <v>968</v>
      </c>
      <c r="E57" s="58">
        <v>42735</v>
      </c>
      <c r="F57" s="58">
        <v>42762</v>
      </c>
      <c r="G57" s="59" t="s">
        <v>842</v>
      </c>
      <c r="H57" t="b">
        <f t="shared" si="0"/>
        <v>1</v>
      </c>
      <c r="I57" t="s">
        <v>967</v>
      </c>
      <c r="J57" t="s">
        <v>840</v>
      </c>
      <c r="K57" s="59" t="s">
        <v>709</v>
      </c>
      <c r="L57" t="s">
        <v>968</v>
      </c>
      <c r="M57" s="58">
        <v>42735</v>
      </c>
      <c r="N57" s="58">
        <v>42762</v>
      </c>
      <c r="O57" t="s">
        <v>842</v>
      </c>
      <c r="P57" t="b">
        <f t="shared" si="1"/>
        <v>1</v>
      </c>
      <c r="Q57" t="s">
        <v>967</v>
      </c>
      <c r="R57" t="s">
        <v>840</v>
      </c>
      <c r="S57" t="s">
        <v>709</v>
      </c>
      <c r="T57" t="s">
        <v>968</v>
      </c>
      <c r="U57" s="58">
        <v>42735</v>
      </c>
      <c r="V57" s="58">
        <v>42762</v>
      </c>
      <c r="W57" t="s">
        <v>884</v>
      </c>
    </row>
    <row r="58" spans="1:23" hidden="1" x14ac:dyDescent="0.25">
      <c r="A58" t="s">
        <v>969</v>
      </c>
      <c r="B58" t="s">
        <v>840</v>
      </c>
      <c r="C58" t="s">
        <v>670</v>
      </c>
      <c r="D58" t="s">
        <v>970</v>
      </c>
      <c r="E58" s="58">
        <v>42735</v>
      </c>
      <c r="F58" s="58">
        <v>42765</v>
      </c>
      <c r="G58" s="59" t="s">
        <v>842</v>
      </c>
      <c r="H58" t="b">
        <f t="shared" si="0"/>
        <v>1</v>
      </c>
      <c r="I58" t="s">
        <v>969</v>
      </c>
      <c r="J58" t="s">
        <v>840</v>
      </c>
      <c r="K58" t="s">
        <v>670</v>
      </c>
      <c r="L58" t="s">
        <v>970</v>
      </c>
      <c r="M58" s="58">
        <v>42735</v>
      </c>
      <c r="N58" s="58">
        <v>42765</v>
      </c>
      <c r="O58" t="s">
        <v>842</v>
      </c>
      <c r="P58" t="b">
        <f t="shared" si="1"/>
        <v>1</v>
      </c>
      <c r="Q58" t="s">
        <v>969</v>
      </c>
      <c r="R58" t="s">
        <v>840</v>
      </c>
      <c r="S58" s="59" t="s">
        <v>670</v>
      </c>
      <c r="T58" t="s">
        <v>970</v>
      </c>
      <c r="U58" s="58">
        <v>42735</v>
      </c>
      <c r="V58" s="58">
        <v>42765</v>
      </c>
      <c r="W58" t="s">
        <v>842</v>
      </c>
    </row>
    <row r="59" spans="1:23" hidden="1" x14ac:dyDescent="0.25">
      <c r="A59" t="s">
        <v>858</v>
      </c>
      <c r="B59" t="s">
        <v>840</v>
      </c>
      <c r="C59" t="s">
        <v>660</v>
      </c>
      <c r="D59" t="s">
        <v>859</v>
      </c>
      <c r="E59" s="58">
        <v>42735</v>
      </c>
      <c r="F59" s="58">
        <v>42753</v>
      </c>
      <c r="G59" s="59" t="s">
        <v>842</v>
      </c>
      <c r="H59" t="b">
        <f t="shared" si="0"/>
        <v>1</v>
      </c>
      <c r="I59" t="s">
        <v>858</v>
      </c>
      <c r="J59" t="s">
        <v>840</v>
      </c>
      <c r="K59" t="s">
        <v>660</v>
      </c>
      <c r="L59" t="s">
        <v>859</v>
      </c>
      <c r="M59" s="58">
        <v>42735</v>
      </c>
      <c r="N59" s="58">
        <v>42753</v>
      </c>
      <c r="O59" t="s">
        <v>842</v>
      </c>
      <c r="P59" t="b">
        <f t="shared" si="1"/>
        <v>1</v>
      </c>
      <c r="Q59" t="s">
        <v>858</v>
      </c>
      <c r="R59" t="s">
        <v>840</v>
      </c>
      <c r="S59" s="59" t="s">
        <v>660</v>
      </c>
      <c r="T59" t="s">
        <v>859</v>
      </c>
      <c r="U59" s="58">
        <v>42735</v>
      </c>
      <c r="V59" s="58">
        <v>42753</v>
      </c>
      <c r="W59" t="s">
        <v>842</v>
      </c>
    </row>
    <row r="60" spans="1:23" hidden="1" x14ac:dyDescent="0.25">
      <c r="A60" t="s">
        <v>860</v>
      </c>
      <c r="B60" t="s">
        <v>840</v>
      </c>
      <c r="C60" t="s">
        <v>661</v>
      </c>
      <c r="D60" t="s">
        <v>861</v>
      </c>
      <c r="E60" s="58">
        <v>42735</v>
      </c>
      <c r="F60" s="58">
        <v>42753</v>
      </c>
      <c r="G60" s="59" t="s">
        <v>842</v>
      </c>
      <c r="H60" t="b">
        <f t="shared" si="0"/>
        <v>1</v>
      </c>
      <c r="I60" t="s">
        <v>860</v>
      </c>
      <c r="J60" t="s">
        <v>840</v>
      </c>
      <c r="K60" t="s">
        <v>661</v>
      </c>
      <c r="L60" t="s">
        <v>861</v>
      </c>
      <c r="M60" s="58">
        <v>42735</v>
      </c>
      <c r="N60" s="58">
        <v>42753</v>
      </c>
      <c r="O60" t="s">
        <v>842</v>
      </c>
      <c r="P60" t="b">
        <f t="shared" si="1"/>
        <v>1</v>
      </c>
      <c r="Q60" t="s">
        <v>860</v>
      </c>
      <c r="R60" t="s">
        <v>840</v>
      </c>
      <c r="S60" s="59" t="s">
        <v>661</v>
      </c>
      <c r="T60" t="s">
        <v>861</v>
      </c>
      <c r="U60" s="58">
        <v>42735</v>
      </c>
      <c r="V60" s="58">
        <v>42753</v>
      </c>
      <c r="W60" t="s">
        <v>842</v>
      </c>
    </row>
    <row r="61" spans="1:23" hidden="1" x14ac:dyDescent="0.25">
      <c r="A61" t="s">
        <v>862</v>
      </c>
      <c r="B61" t="s">
        <v>840</v>
      </c>
      <c r="C61" t="s">
        <v>662</v>
      </c>
      <c r="D61" t="s">
        <v>863</v>
      </c>
      <c r="E61" s="58">
        <v>42735</v>
      </c>
      <c r="F61" s="58">
        <v>42753</v>
      </c>
      <c r="G61" s="59" t="s">
        <v>842</v>
      </c>
      <c r="H61" t="b">
        <f t="shared" si="0"/>
        <v>1</v>
      </c>
      <c r="I61" t="s">
        <v>862</v>
      </c>
      <c r="J61" t="s">
        <v>840</v>
      </c>
      <c r="K61" t="s">
        <v>662</v>
      </c>
      <c r="L61" t="s">
        <v>863</v>
      </c>
      <c r="M61" s="58">
        <v>42735</v>
      </c>
      <c r="N61" s="58">
        <v>42753</v>
      </c>
      <c r="O61" t="s">
        <v>842</v>
      </c>
      <c r="P61" t="b">
        <f t="shared" si="1"/>
        <v>1</v>
      </c>
      <c r="Q61" t="s">
        <v>862</v>
      </c>
      <c r="R61" t="s">
        <v>840</v>
      </c>
      <c r="S61" s="59" t="s">
        <v>662</v>
      </c>
      <c r="T61" t="s">
        <v>863</v>
      </c>
      <c r="U61" s="58">
        <v>42735</v>
      </c>
      <c r="V61" s="58">
        <v>42753</v>
      </c>
      <c r="W61" t="s">
        <v>842</v>
      </c>
    </row>
    <row r="62" spans="1:23" hidden="1" x14ac:dyDescent="0.25">
      <c r="A62" t="s">
        <v>864</v>
      </c>
      <c r="B62" t="s">
        <v>840</v>
      </c>
      <c r="C62" t="s">
        <v>663</v>
      </c>
      <c r="D62" t="s">
        <v>865</v>
      </c>
      <c r="E62" s="58">
        <v>42735</v>
      </c>
      <c r="F62" s="58">
        <v>42753</v>
      </c>
      <c r="G62" s="59" t="s">
        <v>842</v>
      </c>
      <c r="H62" t="b">
        <f t="shared" si="0"/>
        <v>1</v>
      </c>
      <c r="I62" t="s">
        <v>864</v>
      </c>
      <c r="J62" t="s">
        <v>840</v>
      </c>
      <c r="K62" t="s">
        <v>663</v>
      </c>
      <c r="L62" t="s">
        <v>865</v>
      </c>
      <c r="M62" s="58">
        <v>42735</v>
      </c>
      <c r="N62" s="58">
        <v>42753</v>
      </c>
      <c r="O62" t="s">
        <v>842</v>
      </c>
      <c r="P62" t="b">
        <f t="shared" si="1"/>
        <v>1</v>
      </c>
      <c r="Q62" t="s">
        <v>864</v>
      </c>
      <c r="R62" t="s">
        <v>840</v>
      </c>
      <c r="S62" s="59" t="s">
        <v>663</v>
      </c>
      <c r="T62" t="s">
        <v>865</v>
      </c>
      <c r="U62" s="58">
        <v>42735</v>
      </c>
      <c r="V62" s="58">
        <v>42753</v>
      </c>
      <c r="W62" t="s">
        <v>842</v>
      </c>
    </row>
    <row r="63" spans="1:23" hidden="1" x14ac:dyDescent="0.25">
      <c r="A63" t="s">
        <v>866</v>
      </c>
      <c r="B63" t="s">
        <v>840</v>
      </c>
      <c r="C63" t="s">
        <v>664</v>
      </c>
      <c r="D63" t="s">
        <v>867</v>
      </c>
      <c r="E63" s="58">
        <v>42735</v>
      </c>
      <c r="F63" s="58">
        <v>42753</v>
      </c>
      <c r="G63" s="59" t="s">
        <v>842</v>
      </c>
      <c r="H63" t="b">
        <f t="shared" si="0"/>
        <v>1</v>
      </c>
      <c r="I63" t="s">
        <v>866</v>
      </c>
      <c r="J63" t="s">
        <v>840</v>
      </c>
      <c r="K63" t="s">
        <v>664</v>
      </c>
      <c r="L63" t="s">
        <v>867</v>
      </c>
      <c r="M63" s="58">
        <v>42735</v>
      </c>
      <c r="N63" s="58">
        <v>42753</v>
      </c>
      <c r="O63" t="s">
        <v>842</v>
      </c>
      <c r="P63" t="b">
        <f t="shared" si="1"/>
        <v>1</v>
      </c>
      <c r="Q63" t="s">
        <v>866</v>
      </c>
      <c r="R63" t="s">
        <v>840</v>
      </c>
      <c r="S63" s="59" t="s">
        <v>664</v>
      </c>
      <c r="T63" t="s">
        <v>867</v>
      </c>
      <c r="U63" s="58">
        <v>42735</v>
      </c>
      <c r="V63" s="58">
        <v>42753</v>
      </c>
      <c r="W63" t="s">
        <v>842</v>
      </c>
    </row>
    <row r="64" spans="1:23" hidden="1" x14ac:dyDescent="0.25">
      <c r="A64" t="s">
        <v>868</v>
      </c>
      <c r="B64" t="s">
        <v>840</v>
      </c>
      <c r="C64" t="s">
        <v>665</v>
      </c>
      <c r="D64" t="s">
        <v>869</v>
      </c>
      <c r="E64" s="58">
        <v>42735</v>
      </c>
      <c r="F64" s="58">
        <v>42753</v>
      </c>
      <c r="G64" s="59" t="s">
        <v>842</v>
      </c>
      <c r="H64" t="b">
        <f t="shared" si="0"/>
        <v>1</v>
      </c>
      <c r="I64" t="s">
        <v>868</v>
      </c>
      <c r="J64" t="s">
        <v>840</v>
      </c>
      <c r="K64" t="s">
        <v>665</v>
      </c>
      <c r="L64" t="s">
        <v>869</v>
      </c>
      <c r="M64" s="58">
        <v>42735</v>
      </c>
      <c r="N64" s="58">
        <v>42753</v>
      </c>
      <c r="O64" t="s">
        <v>842</v>
      </c>
      <c r="P64" t="b">
        <f t="shared" si="1"/>
        <v>1</v>
      </c>
      <c r="Q64" t="s">
        <v>868</v>
      </c>
      <c r="R64" t="s">
        <v>840</v>
      </c>
      <c r="S64" s="59" t="s">
        <v>665</v>
      </c>
      <c r="T64" t="s">
        <v>869</v>
      </c>
      <c r="U64" s="58">
        <v>42735</v>
      </c>
      <c r="V64" s="58">
        <v>42753</v>
      </c>
      <c r="W64" t="s">
        <v>842</v>
      </c>
    </row>
    <row r="65" spans="1:23" x14ac:dyDescent="0.25">
      <c r="A65" t="s">
        <v>971</v>
      </c>
      <c r="B65" t="s">
        <v>840</v>
      </c>
      <c r="C65" t="s">
        <v>671</v>
      </c>
      <c r="D65" t="s">
        <v>972</v>
      </c>
      <c r="E65" s="58">
        <v>42735</v>
      </c>
      <c r="F65" s="58">
        <v>42772</v>
      </c>
      <c r="G65" t="s">
        <v>884</v>
      </c>
      <c r="H65" t="b">
        <f t="shared" si="0"/>
        <v>1</v>
      </c>
      <c r="I65" t="s">
        <v>971</v>
      </c>
      <c r="J65" t="s">
        <v>840</v>
      </c>
      <c r="K65" t="s">
        <v>671</v>
      </c>
      <c r="L65" t="s">
        <v>972</v>
      </c>
      <c r="M65" s="58">
        <v>42735</v>
      </c>
      <c r="N65" s="58">
        <v>42772</v>
      </c>
      <c r="O65" t="s">
        <v>884</v>
      </c>
      <c r="P65" t="b">
        <f t="shared" si="1"/>
        <v>1</v>
      </c>
      <c r="Q65" t="s">
        <v>971</v>
      </c>
      <c r="R65" t="s">
        <v>840</v>
      </c>
      <c r="S65" t="s">
        <v>671</v>
      </c>
      <c r="T65" t="s">
        <v>972</v>
      </c>
      <c r="U65" s="58">
        <v>42735</v>
      </c>
      <c r="V65" t="s">
        <v>880</v>
      </c>
      <c r="W65" t="s">
        <v>881</v>
      </c>
    </row>
    <row r="66" spans="1:23" hidden="1" x14ac:dyDescent="0.25">
      <c r="A66" t="s">
        <v>973</v>
      </c>
      <c r="B66" t="s">
        <v>840</v>
      </c>
      <c r="C66" t="s">
        <v>658</v>
      </c>
      <c r="D66" t="s">
        <v>974</v>
      </c>
      <c r="E66" s="58">
        <v>42735</v>
      </c>
      <c r="F66" s="58">
        <v>42767</v>
      </c>
      <c r="G66" s="59" t="s">
        <v>842</v>
      </c>
      <c r="H66" t="b">
        <f t="shared" si="0"/>
        <v>1</v>
      </c>
      <c r="I66" t="s">
        <v>973</v>
      </c>
      <c r="J66" t="s">
        <v>840</v>
      </c>
      <c r="K66" t="s">
        <v>658</v>
      </c>
      <c r="L66" t="s">
        <v>974</v>
      </c>
      <c r="M66" s="58">
        <v>42735</v>
      </c>
      <c r="N66" s="58">
        <v>42767</v>
      </c>
      <c r="O66" t="s">
        <v>842</v>
      </c>
      <c r="P66" t="b">
        <f t="shared" si="1"/>
        <v>1</v>
      </c>
      <c r="Q66" t="s">
        <v>973</v>
      </c>
      <c r="R66" t="s">
        <v>840</v>
      </c>
      <c r="S66" s="59" t="s">
        <v>658</v>
      </c>
      <c r="T66" t="s">
        <v>974</v>
      </c>
      <c r="U66" s="58">
        <v>42735</v>
      </c>
      <c r="V66" s="58">
        <v>42767</v>
      </c>
      <c r="W66" t="s">
        <v>842</v>
      </c>
    </row>
    <row r="67" spans="1:23" hidden="1" x14ac:dyDescent="0.25">
      <c r="A67" t="s">
        <v>975</v>
      </c>
      <c r="B67" t="s">
        <v>840</v>
      </c>
      <c r="C67" t="s">
        <v>659</v>
      </c>
      <c r="D67" t="s">
        <v>976</v>
      </c>
      <c r="E67" s="58">
        <v>42735</v>
      </c>
      <c r="F67" s="58">
        <v>42766</v>
      </c>
      <c r="G67" s="59" t="s">
        <v>842</v>
      </c>
      <c r="H67" t="b">
        <f t="shared" ref="H67:H75" si="2">G67=O67</f>
        <v>1</v>
      </c>
      <c r="I67" t="s">
        <v>975</v>
      </c>
      <c r="J67" t="s">
        <v>840</v>
      </c>
      <c r="K67" t="s">
        <v>659</v>
      </c>
      <c r="L67" t="s">
        <v>976</v>
      </c>
      <c r="M67" s="58">
        <v>42735</v>
      </c>
      <c r="N67" s="58">
        <v>42766</v>
      </c>
      <c r="O67" t="s">
        <v>842</v>
      </c>
      <c r="P67" t="b">
        <f t="shared" ref="P67:P75" si="3">K67=S67</f>
        <v>1</v>
      </c>
      <c r="Q67" t="s">
        <v>975</v>
      </c>
      <c r="R67" t="s">
        <v>840</v>
      </c>
      <c r="S67" s="59" t="s">
        <v>659</v>
      </c>
      <c r="T67" t="s">
        <v>976</v>
      </c>
      <c r="U67" s="58">
        <v>42735</v>
      </c>
      <c r="V67" s="58">
        <v>42766</v>
      </c>
      <c r="W67" t="s">
        <v>842</v>
      </c>
    </row>
    <row r="68" spans="1:23" hidden="1" x14ac:dyDescent="0.25">
      <c r="A68" t="s">
        <v>977</v>
      </c>
      <c r="B68" t="s">
        <v>840</v>
      </c>
      <c r="C68" t="s">
        <v>710</v>
      </c>
      <c r="D68" t="s">
        <v>978</v>
      </c>
      <c r="E68" s="58">
        <v>42735</v>
      </c>
      <c r="F68" s="58">
        <v>42787</v>
      </c>
      <c r="G68" s="66" t="s">
        <v>842</v>
      </c>
      <c r="H68" t="b">
        <f t="shared" si="2"/>
        <v>0</v>
      </c>
      <c r="I68" t="s">
        <v>977</v>
      </c>
      <c r="J68" t="s">
        <v>840</v>
      </c>
      <c r="K68" t="s">
        <v>710</v>
      </c>
      <c r="L68" t="s">
        <v>978</v>
      </c>
      <c r="M68" s="58">
        <v>42735</v>
      </c>
      <c r="N68" t="s">
        <v>880</v>
      </c>
      <c r="O68" t="s">
        <v>881</v>
      </c>
      <c r="P68" t="b">
        <f t="shared" si="3"/>
        <v>1</v>
      </c>
      <c r="Q68" t="s">
        <v>977</v>
      </c>
      <c r="R68" t="s">
        <v>840</v>
      </c>
      <c r="S68" t="s">
        <v>710</v>
      </c>
      <c r="T68" t="s">
        <v>978</v>
      </c>
      <c r="U68" s="58">
        <v>42735</v>
      </c>
      <c r="V68" t="s">
        <v>880</v>
      </c>
      <c r="W68" t="s">
        <v>881</v>
      </c>
    </row>
    <row r="69" spans="1:23" hidden="1" x14ac:dyDescent="0.25">
      <c r="A69" t="s">
        <v>979</v>
      </c>
      <c r="B69" t="s">
        <v>840</v>
      </c>
      <c r="C69" t="s">
        <v>668</v>
      </c>
      <c r="D69" t="s">
        <v>980</v>
      </c>
      <c r="E69" s="58">
        <v>42735</v>
      </c>
      <c r="F69" s="58">
        <v>42768</v>
      </c>
      <c r="G69" s="66" t="s">
        <v>842</v>
      </c>
      <c r="H69" t="b">
        <f t="shared" si="2"/>
        <v>0</v>
      </c>
      <c r="I69" t="s">
        <v>979</v>
      </c>
      <c r="J69" t="s">
        <v>840</v>
      </c>
      <c r="K69" t="s">
        <v>668</v>
      </c>
      <c r="L69" t="s">
        <v>980</v>
      </c>
      <c r="M69" s="58">
        <v>42735</v>
      </c>
      <c r="N69" s="58">
        <v>42768</v>
      </c>
      <c r="O69" t="s">
        <v>884</v>
      </c>
      <c r="P69" t="b">
        <f t="shared" si="3"/>
        <v>1</v>
      </c>
      <c r="Q69" t="s">
        <v>979</v>
      </c>
      <c r="R69" t="s">
        <v>840</v>
      </c>
      <c r="S69" t="s">
        <v>668</v>
      </c>
      <c r="T69" t="s">
        <v>980</v>
      </c>
      <c r="U69" s="58">
        <v>42735</v>
      </c>
      <c r="V69" t="s">
        <v>880</v>
      </c>
      <c r="W69" t="s">
        <v>881</v>
      </c>
    </row>
    <row r="70" spans="1:23" hidden="1" x14ac:dyDescent="0.25">
      <c r="A70" t="s">
        <v>870</v>
      </c>
      <c r="B70" t="s">
        <v>840</v>
      </c>
      <c r="C70" t="s">
        <v>672</v>
      </c>
      <c r="D70" t="s">
        <v>871</v>
      </c>
      <c r="E70" s="58">
        <v>42735</v>
      </c>
      <c r="F70" s="58">
        <v>42753</v>
      </c>
      <c r="G70" s="59" t="s">
        <v>842</v>
      </c>
      <c r="H70" t="b">
        <f t="shared" si="2"/>
        <v>1</v>
      </c>
      <c r="I70" t="s">
        <v>870</v>
      </c>
      <c r="J70" t="s">
        <v>840</v>
      </c>
      <c r="K70" t="s">
        <v>672</v>
      </c>
      <c r="L70" t="s">
        <v>871</v>
      </c>
      <c r="M70" s="58">
        <v>42735</v>
      </c>
      <c r="N70" s="58">
        <v>42753</v>
      </c>
      <c r="O70" t="s">
        <v>842</v>
      </c>
      <c r="P70" t="b">
        <f t="shared" si="3"/>
        <v>1</v>
      </c>
      <c r="Q70" t="s">
        <v>870</v>
      </c>
      <c r="R70" t="s">
        <v>840</v>
      </c>
      <c r="S70" s="59" t="s">
        <v>672</v>
      </c>
      <c r="T70" t="s">
        <v>871</v>
      </c>
      <c r="U70" s="58">
        <v>42735</v>
      </c>
      <c r="V70" s="58">
        <v>42753</v>
      </c>
      <c r="W70" t="s">
        <v>842</v>
      </c>
    </row>
    <row r="71" spans="1:23" hidden="1" x14ac:dyDescent="0.25">
      <c r="A71" t="s">
        <v>1000</v>
      </c>
      <c r="B71" t="s">
        <v>840</v>
      </c>
      <c r="C71" t="s">
        <v>667</v>
      </c>
      <c r="D71" t="s">
        <v>1001</v>
      </c>
      <c r="E71" s="58">
        <v>42735</v>
      </c>
      <c r="F71" s="58">
        <v>42782</v>
      </c>
      <c r="G71" s="66" t="s">
        <v>842</v>
      </c>
      <c r="H71" t="b">
        <f t="shared" si="2"/>
        <v>0</v>
      </c>
      <c r="I71" t="s">
        <v>1000</v>
      </c>
      <c r="J71" t="s">
        <v>840</v>
      </c>
      <c r="K71" t="s">
        <v>667</v>
      </c>
      <c r="L71" t="s">
        <v>1001</v>
      </c>
      <c r="M71" s="58">
        <v>42735</v>
      </c>
      <c r="N71" t="s">
        <v>880</v>
      </c>
      <c r="O71" t="s">
        <v>881</v>
      </c>
      <c r="P71" t="b">
        <f t="shared" si="3"/>
        <v>0</v>
      </c>
      <c r="S71" s="59"/>
      <c r="U71" s="58"/>
      <c r="V71" s="58"/>
    </row>
    <row r="72" spans="1:23" hidden="1" x14ac:dyDescent="0.25">
      <c r="A72" t="s">
        <v>981</v>
      </c>
      <c r="B72" t="s">
        <v>840</v>
      </c>
      <c r="C72" t="s">
        <v>669</v>
      </c>
      <c r="D72" t="s">
        <v>982</v>
      </c>
      <c r="E72" s="58">
        <v>42735</v>
      </c>
      <c r="F72" s="58">
        <v>42766</v>
      </c>
      <c r="G72" s="59" t="s">
        <v>842</v>
      </c>
      <c r="H72" t="b">
        <f t="shared" si="2"/>
        <v>1</v>
      </c>
      <c r="I72" t="s">
        <v>981</v>
      </c>
      <c r="J72" t="s">
        <v>840</v>
      </c>
      <c r="K72" t="s">
        <v>669</v>
      </c>
      <c r="L72" t="s">
        <v>982</v>
      </c>
      <c r="M72" s="58">
        <v>42735</v>
      </c>
      <c r="N72" s="58">
        <v>42766</v>
      </c>
      <c r="O72" t="s">
        <v>842</v>
      </c>
      <c r="P72" t="b">
        <f t="shared" si="3"/>
        <v>1</v>
      </c>
      <c r="Q72" t="s">
        <v>981</v>
      </c>
      <c r="R72" t="s">
        <v>840</v>
      </c>
      <c r="S72" s="59" t="s">
        <v>669</v>
      </c>
      <c r="T72" t="s">
        <v>982</v>
      </c>
      <c r="U72" s="58">
        <v>42735</v>
      </c>
      <c r="V72" s="58">
        <v>42766</v>
      </c>
      <c r="W72" t="s">
        <v>842</v>
      </c>
    </row>
    <row r="73" spans="1:23" hidden="1" x14ac:dyDescent="0.25">
      <c r="A73" t="s">
        <v>872</v>
      </c>
      <c r="B73" t="s">
        <v>840</v>
      </c>
      <c r="C73" t="s">
        <v>711</v>
      </c>
      <c r="D73" t="s">
        <v>873</v>
      </c>
      <c r="E73" s="58">
        <v>42735</v>
      </c>
      <c r="F73" s="58">
        <v>42762</v>
      </c>
      <c r="G73" s="59" t="s">
        <v>842</v>
      </c>
      <c r="H73" t="b">
        <f t="shared" si="2"/>
        <v>1</v>
      </c>
      <c r="I73" t="s">
        <v>872</v>
      </c>
      <c r="J73" t="s">
        <v>840</v>
      </c>
      <c r="K73" t="s">
        <v>711</v>
      </c>
      <c r="L73" t="s">
        <v>873</v>
      </c>
      <c r="M73" s="58">
        <v>42735</v>
      </c>
      <c r="N73" s="58">
        <v>42762</v>
      </c>
      <c r="O73" t="s">
        <v>842</v>
      </c>
      <c r="P73" t="b">
        <f t="shared" si="3"/>
        <v>1</v>
      </c>
      <c r="Q73" t="s">
        <v>872</v>
      </c>
      <c r="R73" t="s">
        <v>840</v>
      </c>
      <c r="S73" s="59" t="s">
        <v>711</v>
      </c>
      <c r="T73" t="s">
        <v>873</v>
      </c>
      <c r="U73" s="58">
        <v>42735</v>
      </c>
      <c r="V73" s="58">
        <v>42762</v>
      </c>
      <c r="W73" t="s">
        <v>842</v>
      </c>
    </row>
    <row r="74" spans="1:23" hidden="1" x14ac:dyDescent="0.25">
      <c r="A74" t="s">
        <v>874</v>
      </c>
      <c r="B74" t="s">
        <v>840</v>
      </c>
      <c r="C74" t="s">
        <v>666</v>
      </c>
      <c r="D74" t="s">
        <v>875</v>
      </c>
      <c r="E74" s="58">
        <v>42735</v>
      </c>
      <c r="F74" s="58">
        <v>42753</v>
      </c>
      <c r="G74" s="59" t="s">
        <v>842</v>
      </c>
      <c r="H74" t="b">
        <f t="shared" si="2"/>
        <v>1</v>
      </c>
      <c r="I74" t="s">
        <v>874</v>
      </c>
      <c r="J74" t="s">
        <v>840</v>
      </c>
      <c r="K74" t="s">
        <v>666</v>
      </c>
      <c r="L74" t="s">
        <v>875</v>
      </c>
      <c r="M74" s="58">
        <v>42735</v>
      </c>
      <c r="N74" s="58">
        <v>42753</v>
      </c>
      <c r="O74" t="s">
        <v>842</v>
      </c>
      <c r="P74" t="b">
        <f t="shared" si="3"/>
        <v>1</v>
      </c>
      <c r="Q74" t="s">
        <v>874</v>
      </c>
      <c r="R74" t="s">
        <v>840</v>
      </c>
      <c r="S74" s="59" t="s">
        <v>666</v>
      </c>
      <c r="T74" t="s">
        <v>875</v>
      </c>
      <c r="U74" s="58">
        <v>42735</v>
      </c>
      <c r="V74" s="58">
        <v>42753</v>
      </c>
      <c r="W74" t="s">
        <v>842</v>
      </c>
    </row>
    <row r="75" spans="1:23" hidden="1" x14ac:dyDescent="0.25">
      <c r="A75" t="s">
        <v>983</v>
      </c>
      <c r="B75" t="s">
        <v>840</v>
      </c>
      <c r="C75" t="s">
        <v>712</v>
      </c>
      <c r="D75" t="s">
        <v>714</v>
      </c>
      <c r="E75" s="58">
        <v>42735</v>
      </c>
      <c r="F75" s="58">
        <v>42758</v>
      </c>
      <c r="G75" s="59" t="s">
        <v>842</v>
      </c>
      <c r="H75" t="b">
        <f t="shared" si="2"/>
        <v>1</v>
      </c>
      <c r="I75" t="s">
        <v>983</v>
      </c>
      <c r="J75" t="s">
        <v>840</v>
      </c>
      <c r="K75" t="s">
        <v>712</v>
      </c>
      <c r="L75" t="s">
        <v>714</v>
      </c>
      <c r="M75" s="58">
        <v>42735</v>
      </c>
      <c r="N75" s="58">
        <v>42758</v>
      </c>
      <c r="O75" t="s">
        <v>842</v>
      </c>
      <c r="P75" t="b">
        <f t="shared" si="3"/>
        <v>1</v>
      </c>
      <c r="Q75" t="s">
        <v>983</v>
      </c>
      <c r="R75" t="s">
        <v>840</v>
      </c>
      <c r="S75" s="59" t="s">
        <v>712</v>
      </c>
      <c r="T75" t="s">
        <v>714</v>
      </c>
      <c r="U75" s="58">
        <v>42735</v>
      </c>
      <c r="V75" s="58">
        <v>42758</v>
      </c>
      <c r="W75" t="s">
        <v>842</v>
      </c>
    </row>
  </sheetData>
  <autoFilter ref="A1:W75">
    <filterColumn colId="6">
      <colorFilter dxfId="19"/>
    </filterColumn>
  </autoFilter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workbookViewId="0">
      <selection activeCell="D6" sqref="D6"/>
    </sheetView>
  </sheetViews>
  <sheetFormatPr defaultRowHeight="15" x14ac:dyDescent="0.25"/>
  <cols>
    <col min="1" max="1" width="3.28515625" customWidth="1"/>
    <col min="2" max="2" width="5.28515625" customWidth="1"/>
    <col min="3" max="3" width="42" customWidth="1"/>
    <col min="4" max="8" width="11.140625" customWidth="1"/>
  </cols>
  <sheetData>
    <row r="2" spans="2:10" ht="38.25" x14ac:dyDescent="0.25">
      <c r="B2" s="95" t="s">
        <v>0</v>
      </c>
      <c r="C2" s="88" t="s">
        <v>5</v>
      </c>
      <c r="D2" s="88" t="s">
        <v>462</v>
      </c>
      <c r="E2" s="88" t="s">
        <v>493</v>
      </c>
      <c r="F2" s="88" t="s">
        <v>557</v>
      </c>
      <c r="G2" s="88" t="s">
        <v>582</v>
      </c>
      <c r="H2" s="96" t="s">
        <v>1083</v>
      </c>
    </row>
    <row r="3" spans="2:10" x14ac:dyDescent="0.25">
      <c r="B3" s="92">
        <v>1</v>
      </c>
      <c r="C3" s="8" t="s">
        <v>79</v>
      </c>
      <c r="D3" s="89" t="s">
        <v>467</v>
      </c>
      <c r="E3" s="5">
        <v>8632</v>
      </c>
      <c r="F3" s="14">
        <f>'Výstup programu'!H3</f>
        <v>56934.209000000003</v>
      </c>
      <c r="G3" s="5">
        <f>'Výstup programu'!I3</f>
        <v>400.59000000000003</v>
      </c>
      <c r="H3" s="93">
        <f>SUMIF('1.1.1'!G5:G176,"31.7.2017",'1.1.1'!BA5:BA176)+SUMIF('1.1.1'!G5:G176,"31.8.2017",'1.1.1'!BA5:BA176)+SUMIF('1.1.1'!G5:G176,"30.9.2017",'1.1.1'!BA5:BA176)+SUMIF('1.1.1'!G5:G176,"31.10.2017",'1.1.1'!BA5:BA176)+SUMIF('1.1.1'!G5:G176,"30.11.2017",'1.1.1'!BA5:BA176)+SUMIF('1.1.1'!G5:G176,"31.12.2017",'1.1.1'!BA5:BA176)+SUMIF('1.1.1'!G5:G176,"31.1.2018",'1.1.1'!BA5:BA176)+SUMIF('1.1.1'!G5:G176,"28.2.2018",'1.1.1'!BA5:BA176)+SUMIF('1.1.1'!G5:G176,"31.3.2018",'1.1.1'!BA5:BA176)+SUMIF('1.1.1'!G5:G176,"30.4.2018",'1.1.1'!BA5:BA176)+SUMIF('1.1.1'!G5:G176,"31.5.2018",'1.1.1'!BA5:BA176)+SUMIF('1.1.1'!G5:G176,"30.6.2018",'1.1.1'!BA5:BA176)+SUMIF('1.1.1'!G5:G176,"31.7.2018",'1.1.1'!BA5:BA176)+SUMIF('1.1.1'!G5:G176,"31.8.2018",'1.1.1'!BA5:BA176)+SUMIF('1.1.1'!G5:G176,"30.9.2018",'1.1.1'!BA5:BA176)+SUMIF('1.1.1'!G5:G176,"31.10.2018",'1.1.1'!BA5:BA176)</f>
        <v>42661.067999999999</v>
      </c>
    </row>
    <row r="4" spans="2:10" x14ac:dyDescent="0.25">
      <c r="B4" s="92">
        <v>1</v>
      </c>
      <c r="C4" s="8" t="s">
        <v>81</v>
      </c>
      <c r="D4" s="89" t="s">
        <v>467</v>
      </c>
      <c r="E4" s="5">
        <v>34579</v>
      </c>
      <c r="F4" s="5">
        <f>'Výstup programu'!H4</f>
        <v>186265.5</v>
      </c>
      <c r="G4" s="5">
        <f>'Výstup programu'!I4</f>
        <v>120</v>
      </c>
      <c r="H4" s="93">
        <f ca="1">SUMIF('1.1.1'!G5:G176,"31.7.2017",'1.1.1'!BD5:BD176)+SUMIF('1.1.1'!G5:G176,"31.8.2017",'1.1.1'!BD5:BD176)+SUMIF('1.1.1'!G5:G176,"30.9.2017",'1.1.1'!BD5:BD176)+SUMIF('1.1.1'!G5:G176,"31.10.2017",'1.1.1'!BD5:BD176)+SUMIF('1.1.1'!G5:G176,"30.11.2017",'1.1.1'!BD5:BD176)+SUMIF('1.1.1'!G5:G176,"31.12.2017",'1.1.1'!BD5:BD176)+SUMIF('1.1.1'!G5:G176,"31.1.2018",'1.1.1'!BD5:BD176)+SUMIF('1.1.1'!G5:G176,"28.2.2018",'1.1.1'!BD5:BD176)+SUMIF('1.1.1'!G5:G176,"31.3.2018",'1.1.1'!BD5:BD176)+SUMIF('1.1.1'!G5:G176,"30.4.2018",'1.1.1'!BD5:BD176)+SUMIF('1.1.1'!G5:G176,"31.5.2018",'1.1.1'!BD5:BD176)+SUMIF('1.1.1'!G5:G176,"30.6.2018",'1.1.1'!BD5:BD176)+SUMIF('1.1.1'!G5:G176,"31.7.2018",'1.1.1'!BD5:BD176)+SUMIF('1.1.1'!G5:G176,"31.8.2018",'1.1.1'!BD5:BD176)+SUMIF('1.1.1'!G5:G176,"30.9.2018",'1.1.1'!BD5:BD176)+SUMIF('1.1.1'!G5:G176,"31.10.2018",'1.1.1'!BD5:BD176)+SUMIF('1.1.1'!G5:G176,"31.7.2017",'1.1.1'!BG5:BG176)+SUMIF('1.1.1'!G5:G176,"31.8.2017",'1.1.1'!BG5:BG176)+SUMIF('1.1.1'!G5:G176,"30.9.2017",'1.1.1'!BG5:BG176)+SUMIF('1.1.1'!G5:G176,"31.10.2017",'1.1.1'!BG5:BG176)+SUMIF('1.1.1'!G5:G176,"30.11.2017",'1.1.1'!BG5:BG176)+SUMIF('1.1.1'!G5:G176,"31.12.2017",'1.1.1'!BG5:BG176)+SUMIF('1.1.1'!G5:G176,"31.1.2018",'1.1.1'!BG5:BG176)+SUMIF('1.1.1'!G5:G176,"28.2.2018",'1.1.1'!BG5:BG176)+SUMIF('1.1.1'!G5:G176,"31.3.2018",'1.1.1'!BG5:BG176)+SUMIF('1.1.1'!G5:G176,"30.4.2018",'1.1.1'!BG5:BG176)+SUMIF('1.1.1'!G5:G176,"31.5.2018",'1.1.1'!BG5:BG76)+SUMIF('1.1.1'!G5:G176,"30.6.2018",'1.1.1'!BG5:BG176)+SUMIF('1.1.1'!G5:G176,"31.7.2018",'1.1.1'!BG5:BG176)+SUMIF('1.1.1'!G5:G176,"31.8.2018",'1.1.1'!BG5:BG176)+SUMIF('1.1.1'!G5:G176,"30.9.2018",'1.1.1'!BG5:BG176)+SUMIF('1.1.1'!G5:G176,"31.10.2018",'1.1.1'!BG5:BG176)</f>
        <v>35136.5</v>
      </c>
    </row>
    <row r="5" spans="2:10" ht="25.5" x14ac:dyDescent="0.25">
      <c r="B5" s="92">
        <v>1</v>
      </c>
      <c r="C5" s="8" t="s">
        <v>116</v>
      </c>
      <c r="D5" s="89" t="s">
        <v>486</v>
      </c>
      <c r="E5" s="5">
        <v>15</v>
      </c>
      <c r="F5" s="5">
        <f>'Výstup programu'!H25</f>
        <v>0</v>
      </c>
      <c r="G5" s="5">
        <f>'Výstup programu'!I25</f>
        <v>0</v>
      </c>
      <c r="H5" s="94">
        <v>0</v>
      </c>
    </row>
    <row r="6" spans="2:10" ht="38.25" x14ac:dyDescent="0.25">
      <c r="B6" s="92">
        <v>1</v>
      </c>
      <c r="C6" s="8" t="s">
        <v>494</v>
      </c>
      <c r="D6" s="89" t="s">
        <v>471</v>
      </c>
      <c r="E6" s="5">
        <v>20508</v>
      </c>
      <c r="F6" s="5">
        <f>'Výstup programu'!H7</f>
        <v>258357</v>
      </c>
      <c r="G6" s="5">
        <f>'Výstup programu'!I7</f>
        <v>118171</v>
      </c>
      <c r="H6" s="94">
        <f>SUMIF('1.2.1+1.2.2'!G5:G40,"31.12.2016",'1.2.1+1.2.2'!T5:T40)+SUMIF('1.2.1+1.2.2'!G5:G40,"31.3.2018",'1.2.1+1.2.2'!T5:T40)+SUMIF('1.2.1+1.2.2'!G5:G40,"30.4.2018",'1.2.1+1.2.2'!T5:T40)+SUMIF('1.2.1+1.2.2'!G5:G40,"31.5.2018",'1.2.1+1.2.2'!T5:T40)+SUMIF('1.2.1+1.2.2'!G5:G40,"30.6.2018",'1.2.1+1.2.2'!T5:T40)+SUMIF('1.2.1+1.2.2'!G5:G40,"31.7.2018",'1.2.1+1.2.2'!T5:T40)+SUMIF('1.2.1+1.2.2'!G5:G40,"31.8.2018",'1.2.1+1.2.2'!T5:T40)+SUMIF('1.2.1+1.2.2'!G5:G40,"30.9.2018",'1.2.1+1.2.2'!T5:T40)+SUMIF('1.2.1+1.2.2'!G5:G40,"31.10.2018",'1.2.1+1.2.2'!T5:T40)-'1.2.1+1.2.2'!T10-'1.2.1+1.2.2'!T24-'1.2.1+1.2.2'!T26-'1.2.1+1.2.2'!T39-'1.2.1+1.2.2'!T40</f>
        <v>22774</v>
      </c>
      <c r="J6" s="91" t="s">
        <v>1084</v>
      </c>
    </row>
    <row r="7" spans="2:10" ht="38.25" x14ac:dyDescent="0.25">
      <c r="B7" s="92">
        <v>2</v>
      </c>
      <c r="C7" s="8" t="s">
        <v>502</v>
      </c>
      <c r="D7" s="89" t="s">
        <v>470</v>
      </c>
      <c r="E7" s="5">
        <v>5735</v>
      </c>
      <c r="F7" s="5">
        <v>0</v>
      </c>
      <c r="G7" s="5">
        <v>0</v>
      </c>
      <c r="H7" s="94">
        <v>4400</v>
      </c>
    </row>
    <row r="8" spans="2:10" ht="25.5" x14ac:dyDescent="0.25">
      <c r="B8" s="97">
        <v>3</v>
      </c>
      <c r="C8" s="98" t="s">
        <v>116</v>
      </c>
      <c r="D8" s="99" t="s">
        <v>486</v>
      </c>
      <c r="E8" s="100">
        <v>77</v>
      </c>
      <c r="F8" s="100">
        <v>0</v>
      </c>
      <c r="G8" s="100">
        <v>0</v>
      </c>
      <c r="H8" s="101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P24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24" sqref="J24"/>
    </sheetView>
  </sheetViews>
  <sheetFormatPr defaultRowHeight="15" x14ac:dyDescent="0.25"/>
  <cols>
    <col min="1" max="1" width="3.140625" bestFit="1" customWidth="1"/>
    <col min="3" max="3" width="9.7109375" style="4" customWidth="1"/>
    <col min="4" max="4" width="10" bestFit="1" customWidth="1"/>
    <col min="5" max="5" width="57.7109375" bestFit="1" customWidth="1"/>
    <col min="6" max="6" width="7.5703125" bestFit="1" customWidth="1"/>
    <col min="7" max="7" width="10.85546875" bestFit="1" customWidth="1"/>
    <col min="8" max="8" width="12.28515625" customWidth="1"/>
    <col min="9" max="11" width="10.85546875" customWidth="1"/>
    <col min="12" max="12" width="10.85546875" bestFit="1" customWidth="1"/>
    <col min="13" max="13" width="13.140625" customWidth="1"/>
    <col min="14" max="14" width="10.85546875" customWidth="1"/>
    <col min="15" max="15" width="26.85546875" bestFit="1" customWidth="1"/>
    <col min="16" max="16" width="8.28515625" style="11" bestFit="1" customWidth="1"/>
  </cols>
  <sheetData>
    <row r="1" spans="1:16" ht="90" thickBot="1" x14ac:dyDescent="0.3">
      <c r="A1" s="934" t="s">
        <v>0</v>
      </c>
      <c r="B1" s="934" t="s">
        <v>1</v>
      </c>
      <c r="C1" s="934" t="s">
        <v>498</v>
      </c>
      <c r="D1" s="934" t="s">
        <v>6</v>
      </c>
      <c r="E1" s="934" t="s">
        <v>2210</v>
      </c>
      <c r="F1" s="934" t="s">
        <v>462</v>
      </c>
      <c r="G1" s="935" t="s">
        <v>2211</v>
      </c>
      <c r="H1" s="934" t="s">
        <v>1994</v>
      </c>
      <c r="I1" s="934" t="s">
        <v>2198</v>
      </c>
      <c r="J1" s="934" t="s">
        <v>1086</v>
      </c>
      <c r="K1" s="934" t="s">
        <v>2199</v>
      </c>
      <c r="L1" s="936" t="s">
        <v>2212</v>
      </c>
      <c r="M1" s="934" t="s">
        <v>1993</v>
      </c>
      <c r="N1" s="934" t="s">
        <v>2200</v>
      </c>
      <c r="O1" s="934" t="s">
        <v>474</v>
      </c>
      <c r="P1" s="934" t="s">
        <v>514</v>
      </c>
    </row>
    <row r="2" spans="1:16" x14ac:dyDescent="0.25">
      <c r="A2" s="1010">
        <v>1</v>
      </c>
      <c r="B2" s="946" t="s">
        <v>3</v>
      </c>
      <c r="C2" s="947" t="s">
        <v>500</v>
      </c>
      <c r="D2" s="946" t="s">
        <v>78</v>
      </c>
      <c r="E2" s="948" t="s">
        <v>79</v>
      </c>
      <c r="F2" s="947" t="s">
        <v>467</v>
      </c>
      <c r="G2" s="984">
        <v>8632</v>
      </c>
      <c r="H2" s="997">
        <f>GETPIVOTDATA("Súčet z Skutočný stav k 31.12.2017",'Vystup programu 12-2017'!$B$5,"Špecifický cieľ","1.1.1","Merná jednotka","t/rok","Kód ukazovateľa výstupu programu","O0002","Názov ukazovateľa výstupu programu","Zvýšená kapacita pre triedenie komunálnych odpadov")</f>
        <v>400.59000000000003</v>
      </c>
      <c r="I2" s="995">
        <f>H2/G2</f>
        <v>4.6407553290083413E-2</v>
      </c>
      <c r="J2" s="997">
        <f>GETPIVOTDATA("Súčet z Očakávaný stav k 31.12.2018",'Vystup programu 12-2017'!$B$5,"Špecifický cieľ","1.1.1","Merná jednotka","t/rok","Kód ukazovateľa výstupu programu","O0002","Názov ukazovateľa výstupu programu","Zvýšená kapacita pre triedenie komunálnych odpadov")</f>
        <v>47958.648000000016</v>
      </c>
      <c r="K2" s="970">
        <f>J2/G2</f>
        <v>5.5559138090824858</v>
      </c>
      <c r="L2" s="984">
        <v>21579</v>
      </c>
      <c r="M2" s="997">
        <f>GETPIVOTDATA("Súčet z Zazmluvnená hodnota k 31.12.2017",'Vystup programu 12-2017'!$B$5,"Špecifický cieľ","1.1.1","Merná jednotka","t/rok","Kód ukazovateľa výstupu programu","O0002","Názov ukazovateľa výstupu programu","Zvýšená kapacita pre triedenie komunálnych odpadov")</f>
        <v>56934.209000000003</v>
      </c>
      <c r="N2" s="970">
        <f>M2/L2</f>
        <v>2.6384081282728582</v>
      </c>
      <c r="O2" s="948" t="s">
        <v>481</v>
      </c>
      <c r="P2" s="947" t="s">
        <v>517</v>
      </c>
    </row>
    <row r="3" spans="1:16" x14ac:dyDescent="0.25">
      <c r="A3" s="1011"/>
      <c r="B3" s="940" t="s">
        <v>3</v>
      </c>
      <c r="C3" s="941" t="s">
        <v>500</v>
      </c>
      <c r="D3" s="940" t="s">
        <v>80</v>
      </c>
      <c r="E3" s="933" t="s">
        <v>81</v>
      </c>
      <c r="F3" s="941" t="s">
        <v>467</v>
      </c>
      <c r="G3" s="985">
        <v>34579</v>
      </c>
      <c r="H3" s="998">
        <f>GETPIVOTDATA("Súčet z Skutočný stav k 31.12.2017",'Vystup programu 12-2017'!$B$5,"Špecifický cieľ","1.1.1","Merná jednotka","t/rok","Kód ukazovateľa výstupu programu","O0003","Názov ukazovateľa výstupu programu","Zvýšená kapacita pre zhodnocovanie odpadov")</f>
        <v>120</v>
      </c>
      <c r="I3" s="975">
        <f t="shared" ref="I3:I17" si="0">H3/G3</f>
        <v>3.4703143526417768E-3</v>
      </c>
      <c r="J3" s="998">
        <f>GETPIVOTDATA("Súčet z Očakávaný stav k 31.12.2018",'Vystup programu 12-2017'!$B$5,"Špecifický cieľ","1.1.1","Merná jednotka","t/rok","Kód ukazovateľa výstupu programu","O0003","Názov ukazovateľa výstupu programu","Zvýšená kapacita pre zhodnocovanie odpadov")</f>
        <v>124386.5</v>
      </c>
      <c r="K3" s="971">
        <f t="shared" ref="K3:K17" si="1">J3/G3</f>
        <v>3.5971688018739698</v>
      </c>
      <c r="L3" s="985">
        <v>329676</v>
      </c>
      <c r="M3" s="998">
        <f>GETPIVOTDATA("Súčet z Zazmluvnená hodnota k 31.12.2017",'Vystup programu 12-2017'!$B$5,"Špecifický cieľ","1.1.1","Merná jednotka","t/rok","Kód ukazovateľa výstupu programu","O0003","Názov ukazovateľa výstupu programu","Zvýšená kapacita pre zhodnocovanie odpadov")</f>
        <v>186265.5</v>
      </c>
      <c r="N3" s="975">
        <f t="shared" ref="N3:N17" si="2">M3/L3</f>
        <v>0.56499563207512826</v>
      </c>
      <c r="O3" s="942" t="s">
        <v>481</v>
      </c>
      <c r="P3" s="941" t="s">
        <v>517</v>
      </c>
    </row>
    <row r="4" spans="1:16" x14ac:dyDescent="0.25">
      <c r="A4" s="1011"/>
      <c r="B4" s="940" t="s">
        <v>2</v>
      </c>
      <c r="C4" s="941" t="s">
        <v>500</v>
      </c>
      <c r="D4" s="940" t="s">
        <v>2039</v>
      </c>
      <c r="E4" s="942" t="s">
        <v>87</v>
      </c>
      <c r="F4" s="941" t="s">
        <v>471</v>
      </c>
      <c r="G4" s="985">
        <v>20508</v>
      </c>
      <c r="H4" s="998">
        <f>GETPIVOTDATA("Súčet z Skutočný stav k 31.12.2017",'Vystup programu 12-2017'!$B$5,"Špecifický cieľ","1.2.1","Merná jednotka","EO","Kód ukazovateľa výstupu programu","CO19/K0007","Názov ukazovateľa výstupu programu","Zvýšený počet obyvateľov so zlepšeným čistením komunálnych odpadových vôd")</f>
        <v>118171</v>
      </c>
      <c r="I4" s="971">
        <f t="shared" si="0"/>
        <v>5.7621903647357131</v>
      </c>
      <c r="J4" s="998">
        <f>GETPIVOTDATA("Súčet z Očakávaný stav k 31.12.2018",'Vystup programu 12-2017'!$B$5,"Špecifický cieľ","1.2.1","Merná jednotka","EO","Kód ukazovateľa výstupu programu","CO19/K0007","Názov ukazovateľa výstupu programu","Zvýšený počet obyvateľov so zlepšeným čistením komunálnych odpadových vôd")</f>
        <v>151893</v>
      </c>
      <c r="K4" s="971">
        <f t="shared" si="1"/>
        <v>7.4065242832065534</v>
      </c>
      <c r="L4" s="985">
        <v>205046</v>
      </c>
      <c r="M4" s="998">
        <f>GETPIVOTDATA("Súčet z Zazmluvnená hodnota k 31.12.2017",'Vystup programu 12-2017'!$B$5,"Špecifický cieľ","1.2.1","Merná jednotka","EO","Kód ukazovateľa výstupu programu","CO19/K0007","Názov ukazovateľa výstupu programu","Zvýšený počet obyvateľov so zlepšeným čistením komunálnych odpadových vôd")</f>
        <v>258357</v>
      </c>
      <c r="N4" s="971">
        <f t="shared" si="2"/>
        <v>1.259995318123738</v>
      </c>
      <c r="O4" s="942" t="s">
        <v>481</v>
      </c>
      <c r="P4" s="941" t="s">
        <v>517</v>
      </c>
    </row>
    <row r="5" spans="1:16" x14ac:dyDescent="0.25">
      <c r="A5" s="1011"/>
      <c r="B5" s="940" t="s">
        <v>31</v>
      </c>
      <c r="C5" s="941" t="s">
        <v>500</v>
      </c>
      <c r="D5" s="940" t="s">
        <v>115</v>
      </c>
      <c r="E5" s="942" t="s">
        <v>116</v>
      </c>
      <c r="F5" s="941" t="s">
        <v>486</v>
      </c>
      <c r="G5" s="985">
        <v>15</v>
      </c>
      <c r="H5" s="998">
        <f>GETPIVOTDATA("Súčet z Skutočný stav k 31.12.2017",'Vystup programu 12-2017'!$B$5,"Špecifický cieľ","1.4.2","Merná jednotka","ha","Kód ukazovateľa výstupu programu","CO22","Názov ukazovateľa výstupu programu","Celkový povrch rekultivovanej pôdy")</f>
        <v>0</v>
      </c>
      <c r="I5" s="975">
        <f>H5/G5</f>
        <v>0</v>
      </c>
      <c r="J5" s="998">
        <f>GETPIVOTDATA("Súčet z Očakávaný stav k 31.12.2018",'Vystup programu 12-2017'!$B$5,"Špecifický cieľ","1.4.2","Merná jednotka","ha","Kód ukazovateľa výstupu programu","CO22","Názov ukazovateľa výstupu programu","Celkový povrch rekultivovanej pôdy")</f>
        <v>0</v>
      </c>
      <c r="K5" s="975">
        <f t="shared" si="1"/>
        <v>0</v>
      </c>
      <c r="L5" s="985">
        <v>125</v>
      </c>
      <c r="M5" s="998">
        <f>GETPIVOTDATA("Súčet z Zazmluvnená hodnota k 31.12.2017",'Vystup programu 12-2017'!$B$5,"Špecifický cieľ","1.4.2","Merná jednotka","ha","Kód ukazovateľa výstupu programu","CO22","Názov ukazovateľa výstupu programu","Celkový povrch rekultivovanej pôdy")</f>
        <v>0</v>
      </c>
      <c r="N5" s="975">
        <f t="shared" si="2"/>
        <v>0</v>
      </c>
      <c r="O5" s="942" t="s">
        <v>481</v>
      </c>
      <c r="P5" s="941" t="s">
        <v>517</v>
      </c>
    </row>
    <row r="6" spans="1:16" ht="15.75" thickBot="1" x14ac:dyDescent="0.3">
      <c r="A6" s="1012"/>
      <c r="B6" s="943" t="s">
        <v>534</v>
      </c>
      <c r="C6" s="944" t="s">
        <v>499</v>
      </c>
      <c r="D6" s="943" t="s">
        <v>495</v>
      </c>
      <c r="E6" s="945" t="s">
        <v>496</v>
      </c>
      <c r="F6" s="944" t="s">
        <v>497</v>
      </c>
      <c r="G6" s="986">
        <v>430000000</v>
      </c>
      <c r="H6" s="1008">
        <v>125387387.62</v>
      </c>
      <c r="I6" s="976">
        <f t="shared" si="0"/>
        <v>0.29159857586046511</v>
      </c>
      <c r="J6" s="999"/>
      <c r="K6" s="976">
        <f t="shared" si="1"/>
        <v>0</v>
      </c>
      <c r="L6" s="986">
        <v>1802207500</v>
      </c>
      <c r="M6" s="1008">
        <v>843054210.74000001</v>
      </c>
      <c r="N6" s="976">
        <f t="shared" si="2"/>
        <v>0.46778975824925823</v>
      </c>
      <c r="O6" s="945" t="s">
        <v>481</v>
      </c>
      <c r="P6" s="944" t="s">
        <v>517</v>
      </c>
    </row>
    <row r="7" spans="1:16" x14ac:dyDescent="0.25">
      <c r="A7" s="1013">
        <v>2</v>
      </c>
      <c r="B7" s="949" t="s">
        <v>33</v>
      </c>
      <c r="C7" s="950" t="s">
        <v>500</v>
      </c>
      <c r="D7" s="949" t="s">
        <v>2208</v>
      </c>
      <c r="E7" s="951" t="s">
        <v>122</v>
      </c>
      <c r="F7" s="950" t="s">
        <v>470</v>
      </c>
      <c r="G7" s="987">
        <v>5735</v>
      </c>
      <c r="H7" s="1000">
        <f>GETPIVOTDATA("Súčet z Skutočný stav k 31.12.2017",'Vystup programu 12-2017'!$B$5,"Špecifický cieľ","2.1.1","Merná jednotka","počet","Kód ukazovateľa výstupu programu","CO20","Názov ukazovateľa výstupu programu","Počet obyvateľov využívajúcich opatrenia protipovodňovej ochrany ")</f>
        <v>0</v>
      </c>
      <c r="I7" s="977">
        <f t="shared" si="0"/>
        <v>0</v>
      </c>
      <c r="J7" s="1000">
        <f>GETPIVOTDATA("Súčet z Očakávaný stav k 31.12.2018",'Vystup programu 12-2017'!$B$5,"Špecifický cieľ","2.1.1","Merná jednotka","počet","Kód ukazovateľa výstupu programu","CO20","Názov ukazovateľa výstupu programu","Počet obyvateľov využívajúcich opatrenia protipovodňovej ochrany ")</f>
        <v>0</v>
      </c>
      <c r="K7" s="977">
        <f t="shared" si="1"/>
        <v>0</v>
      </c>
      <c r="L7" s="987">
        <v>12744</v>
      </c>
      <c r="M7" s="1000">
        <f>GETPIVOTDATA("Súčet z Zazmluvnená hodnota k 31.12.2017",'Vystup programu 12-2017'!$B$5,"Špecifický cieľ","2.1.1","Merná jednotka","počet","Kód ukazovateľa výstupu programu","CO20","Názov ukazovateľa výstupu programu","Počet obyvateľov využívajúcich opatrenia protipovodňovej ochrany ")</f>
        <v>0</v>
      </c>
      <c r="N7" s="977">
        <f t="shared" si="2"/>
        <v>0</v>
      </c>
      <c r="O7" s="951" t="s">
        <v>481</v>
      </c>
      <c r="P7" s="950" t="s">
        <v>517</v>
      </c>
    </row>
    <row r="8" spans="1:16" ht="15.75" thickBot="1" x14ac:dyDescent="0.3">
      <c r="A8" s="1014"/>
      <c r="B8" s="937" t="s">
        <v>540</v>
      </c>
      <c r="C8" s="938" t="s">
        <v>499</v>
      </c>
      <c r="D8" s="937" t="s">
        <v>495</v>
      </c>
      <c r="E8" s="939" t="s">
        <v>496</v>
      </c>
      <c r="F8" s="938" t="s">
        <v>497</v>
      </c>
      <c r="G8" s="988">
        <v>118000000</v>
      </c>
      <c r="H8" s="1001">
        <v>0</v>
      </c>
      <c r="I8" s="978">
        <f t="shared" si="0"/>
        <v>0</v>
      </c>
      <c r="J8" s="1001"/>
      <c r="K8" s="978">
        <f t="shared" si="1"/>
        <v>0</v>
      </c>
      <c r="L8" s="988">
        <v>493348542</v>
      </c>
      <c r="M8" s="1001">
        <v>0</v>
      </c>
      <c r="N8" s="978">
        <f t="shared" si="2"/>
        <v>0</v>
      </c>
      <c r="O8" s="939" t="s">
        <v>481</v>
      </c>
      <c r="P8" s="938" t="s">
        <v>517</v>
      </c>
    </row>
    <row r="9" spans="1:16" x14ac:dyDescent="0.25">
      <c r="A9" s="1015">
        <v>3</v>
      </c>
      <c r="B9" s="959" t="s">
        <v>45</v>
      </c>
      <c r="C9" s="955" t="s">
        <v>500</v>
      </c>
      <c r="D9" s="959" t="s">
        <v>131</v>
      </c>
      <c r="E9" s="960" t="s">
        <v>132</v>
      </c>
      <c r="F9" s="955" t="s">
        <v>464</v>
      </c>
      <c r="G9" s="989">
        <v>1</v>
      </c>
      <c r="H9" s="1002">
        <f>GETPIVOTDATA("Súčet z Skutočný stav k 31.12.2017",'Vystup programu 12-2017'!$B$5,"Špecifický cieľ","3.1.1","Merná jednotka","počet","Kód ukazovateľa výstupu programu","O0023","Názov ukazovateľa výstupu programu","Počet systémov včasného varovania ")</f>
        <v>0</v>
      </c>
      <c r="I9" s="996">
        <f t="shared" si="0"/>
        <v>0</v>
      </c>
      <c r="J9" s="1002">
        <f>GETPIVOTDATA("Súčet z Očakávaný stav k 31.12.2018",'Vystup programu 12-2017'!$B$5,"Špecifický cieľ","3.1.1","Merná jednotka","počet","Kód ukazovateľa výstupu programu","O0023","Názov ukazovateľa výstupu programu","Počet systémov včasného varovania ")</f>
        <v>1</v>
      </c>
      <c r="K9" s="972">
        <f t="shared" si="1"/>
        <v>1</v>
      </c>
      <c r="L9" s="989">
        <v>2</v>
      </c>
      <c r="M9" s="1002">
        <f>GETPIVOTDATA("Súčet z Zazmluvnená hodnota k 31.12.2017",'Vystup programu 12-2017'!$B$5,"Špecifický cieľ","3.1.1","Merná jednotka","počet","Kód ukazovateľa výstupu programu","O0023","Názov ukazovateľa výstupu programu","Počet systémov včasného varovania ")</f>
        <v>1</v>
      </c>
      <c r="N9" s="996">
        <f t="shared" si="2"/>
        <v>0.5</v>
      </c>
      <c r="O9" s="960" t="s">
        <v>481</v>
      </c>
      <c r="P9" s="955" t="s">
        <v>2206</v>
      </c>
    </row>
    <row r="10" spans="1:16" ht="15" customHeight="1" x14ac:dyDescent="0.25">
      <c r="A10" s="1016"/>
      <c r="B10" s="952" t="s">
        <v>48</v>
      </c>
      <c r="C10" s="953" t="s">
        <v>500</v>
      </c>
      <c r="D10" s="952" t="s">
        <v>115</v>
      </c>
      <c r="E10" s="954" t="s">
        <v>116</v>
      </c>
      <c r="F10" s="953" t="s">
        <v>486</v>
      </c>
      <c r="G10" s="990">
        <v>77</v>
      </c>
      <c r="H10" s="1003">
        <f>GETPIVOTDATA("Súčet z Skutočný stav k 31.12.2017",'Vystup programu 12-2017'!$B$5,"Špecifický cieľ","3.1.2","Merná jednotka","ha","Kód ukazovateľa výstupu programu","CO22","Názov ukazovateľa výstupu programu","Celkový povrch rekultivovanej pôdy")</f>
        <v>0</v>
      </c>
      <c r="I10" s="979">
        <f t="shared" si="0"/>
        <v>0</v>
      </c>
      <c r="J10" s="1003">
        <f>GETPIVOTDATA("Súčet z Očakávaný stav k 31.12.2018",'Vystup programu 12-2017'!$B$5,"Špecifický cieľ","3.1.2","Merná jednotka","ha","Kód ukazovateľa výstupu programu","CO22","Názov ukazovateľa výstupu programu","Celkový povrch rekultivovanej pôdy")</f>
        <v>0</v>
      </c>
      <c r="K10" s="979">
        <f t="shared" si="1"/>
        <v>0</v>
      </c>
      <c r="L10" s="990">
        <v>219</v>
      </c>
      <c r="M10" s="1003">
        <f>GETPIVOTDATA("Súčet z Zazmluvnená hodnota k 31.12.2017",'Vystup programu 12-2017'!$B$5,"Špecifický cieľ","3.1.2","Merná jednotka","ha","Kód ukazovateľa výstupu programu","CO22","Názov ukazovateľa výstupu programu","Celkový povrch rekultivovanej pôdy")</f>
        <v>0</v>
      </c>
      <c r="N10" s="979">
        <f t="shared" si="2"/>
        <v>0</v>
      </c>
      <c r="O10" s="954" t="s">
        <v>481</v>
      </c>
      <c r="P10" s="953" t="s">
        <v>2206</v>
      </c>
    </row>
    <row r="11" spans="1:16" x14ac:dyDescent="0.25">
      <c r="A11" s="1016"/>
      <c r="B11" s="952" t="s">
        <v>49</v>
      </c>
      <c r="C11" s="953" t="s">
        <v>500</v>
      </c>
      <c r="D11" s="952" t="s">
        <v>139</v>
      </c>
      <c r="E11" s="954" t="s">
        <v>140</v>
      </c>
      <c r="F11" s="953" t="s">
        <v>464</v>
      </c>
      <c r="G11" s="990">
        <v>1</v>
      </c>
      <c r="H11" s="1003">
        <f>GETPIVOTDATA("Súčet z Skutočný stav k 31.12.2017",'Vystup programu 12-2017'!$B$5,"Špecifický cieľ","3.1.3","Merná jednotka","počet","Kód ukazovateľa výstupu programu","O0027","Názov ukazovateľa výstupu programu","Počet vytvorených špecializovaných  záchranných modulov ")</f>
        <v>0</v>
      </c>
      <c r="I11" s="979">
        <f t="shared" si="0"/>
        <v>0</v>
      </c>
      <c r="J11" s="1003">
        <f>GETPIVOTDATA("Súčet z Očakávaný stav k 31.12.2018",'Vystup programu 12-2017'!$B$5,"Špecifický cieľ","3.1.3","Merná jednotka","počet","Kód ukazovateľa výstupu programu","O0027","Názov ukazovateľa výstupu programu","Počet vytvorených špecializovaných  záchranných modulov ")</f>
        <v>2.8289078523456057</v>
      </c>
      <c r="K11" s="973">
        <f t="shared" si="1"/>
        <v>2.8289078523456057</v>
      </c>
      <c r="L11" s="990">
        <v>4</v>
      </c>
      <c r="M11" s="1003">
        <f>GETPIVOTDATA("Súčet z Zazmluvnená hodnota k 31.12.2017",'Vystup programu 12-2017'!$B$5,"Špecifický cieľ","3.1.3","Merná jednotka","počet","Kód ukazovateľa výstupu programu","O0027","Názov ukazovateľa výstupu programu","Počet vytvorených špecializovaných  záchranných modulov ")</f>
        <v>4</v>
      </c>
      <c r="N11" s="973">
        <f t="shared" si="2"/>
        <v>1</v>
      </c>
      <c r="O11" s="954" t="s">
        <v>481</v>
      </c>
      <c r="P11" s="953" t="s">
        <v>2206</v>
      </c>
    </row>
    <row r="12" spans="1:16" ht="15.75" thickBot="1" x14ac:dyDescent="0.3">
      <c r="A12" s="1017"/>
      <c r="B12" s="956" t="s">
        <v>561</v>
      </c>
      <c r="C12" s="957" t="s">
        <v>499</v>
      </c>
      <c r="D12" s="956" t="s">
        <v>495</v>
      </c>
      <c r="E12" s="958" t="s">
        <v>2209</v>
      </c>
      <c r="F12" s="957" t="s">
        <v>497</v>
      </c>
      <c r="G12" s="991">
        <v>74603549</v>
      </c>
      <c r="H12" s="1004"/>
      <c r="I12" s="980">
        <f t="shared" si="0"/>
        <v>0</v>
      </c>
      <c r="J12" s="1004"/>
      <c r="K12" s="980">
        <f t="shared" si="1"/>
        <v>0</v>
      </c>
      <c r="L12" s="991">
        <v>306942787</v>
      </c>
      <c r="M12" s="1004">
        <v>85686609.469999999</v>
      </c>
      <c r="N12" s="980">
        <f t="shared" si="2"/>
        <v>0.27916150207497792</v>
      </c>
      <c r="O12" s="958" t="s">
        <v>481</v>
      </c>
      <c r="P12" s="957" t="s">
        <v>2206</v>
      </c>
    </row>
    <row r="13" spans="1:16" x14ac:dyDescent="0.25">
      <c r="A13" s="1018">
        <v>4</v>
      </c>
      <c r="B13" s="961" t="s">
        <v>46</v>
      </c>
      <c r="C13" s="962" t="s">
        <v>500</v>
      </c>
      <c r="D13" s="961" t="s">
        <v>143</v>
      </c>
      <c r="E13" s="963" t="s">
        <v>144</v>
      </c>
      <c r="F13" s="962" t="s">
        <v>491</v>
      </c>
      <c r="G13" s="992">
        <v>160</v>
      </c>
      <c r="H13" s="1005">
        <f>GETPIVOTDATA("Súčet z Skutočný stav k 31.12.2017",'Vystup programu 12-2017'!$B$5,"Špecifický cieľ","4.1.1","Merná jednotka","MW","Kód ukazovateľa výstupu programu","CO30 (MRR)","Názov ukazovateľa výstupu programu","Zvýšená kapacita výroby energie z obnoviteľných zdrojov (MRR)")</f>
        <v>74.993200000000002</v>
      </c>
      <c r="I13" s="981">
        <f t="shared" si="0"/>
        <v>0.4687075</v>
      </c>
      <c r="J13" s="1005">
        <f>GETPIVOTDATA("Súčet z Skutočný stav k 31.12.2017",'Vystup programu 12-2017'!$B$5,"Špecifický cieľ","4.1.1","Merná jednotka","MW","Kód ukazovateľa výstupu programu","CO30 (MRR)","Názov ukazovateľa výstupu programu","Zvýšená kapacita výroby energie z obnoviteľných zdrojov (MRR)")</f>
        <v>74.993200000000002</v>
      </c>
      <c r="K13" s="981">
        <f t="shared" si="1"/>
        <v>0.4687075</v>
      </c>
      <c r="L13" s="992">
        <v>570</v>
      </c>
      <c r="M13" s="1005">
        <f>GETPIVOTDATA("Súčet z Zazmluvnená hodnota k 31.12.2017",'Vystup programu 12-2017'!$B$5,"Špecifický cieľ","4.1.1","Merná jednotka","MW","Kód ukazovateľa výstupu programu","CO30 (MRR)","Názov ukazovateľa výstupu programu","Zvýšená kapacita výroby energie z obnoviteľných zdrojov (MRR)")</f>
        <v>90</v>
      </c>
      <c r="N13" s="981">
        <f t="shared" si="2"/>
        <v>0.15789473684210525</v>
      </c>
      <c r="O13" s="963" t="s">
        <v>481</v>
      </c>
      <c r="P13" s="962" t="s">
        <v>2206</v>
      </c>
    </row>
    <row r="14" spans="1:16" x14ac:dyDescent="0.25">
      <c r="A14" s="1019"/>
      <c r="B14" s="964" t="s">
        <v>56</v>
      </c>
      <c r="C14" s="965" t="s">
        <v>500</v>
      </c>
      <c r="D14" s="964" t="s">
        <v>143</v>
      </c>
      <c r="E14" s="966" t="s">
        <v>144</v>
      </c>
      <c r="F14" s="965" t="s">
        <v>491</v>
      </c>
      <c r="G14" s="993">
        <v>1</v>
      </c>
      <c r="H14" s="1006">
        <f>GETPIVOTDATA("Súčet z Skutočný stav k 31.12.2017",'Vystup programu 12-2017'!$B$5,"Špecifický cieľ","4.1.2","Merná jednotka","MW","Kód ukazovateľa výstupu programu","CO30 (VRR)","Názov ukazovateľa výstupu programu","Zvýšená kapacita výroby energie z obnoviteľných zdrojov")</f>
        <v>3.7764000000000002</v>
      </c>
      <c r="I14" s="974">
        <f t="shared" si="0"/>
        <v>3.7764000000000002</v>
      </c>
      <c r="J14" s="1006">
        <f>GETPIVOTDATA("Súčet z Skutočný stav k 31.12.2017",'Vystup programu 12-2017'!$B$5,"Špecifický cieľ","4.1.2","Merná jednotka","MW","Kód ukazovateľa výstupu programu","CO30 (VRR)","Názov ukazovateľa výstupu programu","Zvýšená kapacita výroby energie z obnoviteľných zdrojov")</f>
        <v>3.7764000000000002</v>
      </c>
      <c r="K14" s="974">
        <f t="shared" si="1"/>
        <v>3.7764000000000002</v>
      </c>
      <c r="L14" s="993">
        <v>5</v>
      </c>
      <c r="M14" s="1006">
        <f>GETPIVOTDATA("Súčet z Zazmluvnená hodnota k 31.12.2017",'Vystup programu 12-2017'!$B$5,"Špecifický cieľ","4.1.2","Merná jednotka","MW","Kód ukazovateľa výstupu programu","CO30 (VRR)","Názov ukazovateľa výstupu programu","Zvýšená kapacita výroby energie z obnoviteľných zdrojov")</f>
        <v>5</v>
      </c>
      <c r="N14" s="974">
        <f t="shared" si="2"/>
        <v>1</v>
      </c>
      <c r="O14" s="966" t="s">
        <v>481</v>
      </c>
      <c r="P14" s="965" t="s">
        <v>2207</v>
      </c>
    </row>
    <row r="15" spans="1:16" x14ac:dyDescent="0.25">
      <c r="A15" s="1019"/>
      <c r="B15" s="964" t="s">
        <v>58</v>
      </c>
      <c r="C15" s="965" t="s">
        <v>500</v>
      </c>
      <c r="D15" s="964" t="s">
        <v>169</v>
      </c>
      <c r="E15" s="966" t="s">
        <v>170</v>
      </c>
      <c r="F15" s="965" t="s">
        <v>527</v>
      </c>
      <c r="G15" s="993">
        <v>187200</v>
      </c>
      <c r="H15" s="1006">
        <f>GETPIVOTDATA("Súčet z Skutočný stav k 31.12.2017",'Vystup programu 12-2017'!$B$5,"Špecifický cieľ","4.3.1","Merná jednotka",,"Kód ukazovateľa výstupu programu","O0183","Názov ukazovateľa výstupu programu","Podlahová plocha budov obnovených nad rámec minimálnych požiadaviek")</f>
        <v>33464.870000000003</v>
      </c>
      <c r="I15" s="982">
        <f t="shared" si="0"/>
        <v>0.17876533119658122</v>
      </c>
      <c r="J15" s="1006">
        <f>GETPIVOTDATA("Súčet z Skutočný stav k 31.12.2017",'Vystup programu 12-2017'!$B$5,"Špecifický cieľ","4.3.1","Merná jednotka",,"Kód ukazovateľa výstupu programu","O0183","Názov ukazovateľa výstupu programu","Podlahová plocha budov obnovených nad rámec minimálnych požiadaviek")</f>
        <v>33464.870000000003</v>
      </c>
      <c r="K15" s="982">
        <f t="shared" si="1"/>
        <v>0.17876533119658122</v>
      </c>
      <c r="L15" s="993">
        <v>1248000</v>
      </c>
      <c r="M15" s="1006">
        <f>GETPIVOTDATA("Súčet z Zazmluvnená hodnota k 31.12.2017",'Vystup programu 12-2017'!$B$5,"Špecifický cieľ","4.3.1","Merná jednotka",,"Kód ukazovateľa výstupu programu","O0183","Názov ukazovateľa výstupu programu","Podlahová plocha budov obnovených nad rámec minimálnych požiadaviek")</f>
        <v>508122.97139999998</v>
      </c>
      <c r="N15" s="982">
        <f t="shared" si="2"/>
        <v>0.40714981682692308</v>
      </c>
      <c r="O15" s="966" t="s">
        <v>481</v>
      </c>
      <c r="P15" s="965" t="s">
        <v>2206</v>
      </c>
    </row>
    <row r="16" spans="1:16" x14ac:dyDescent="0.25">
      <c r="A16" s="1019"/>
      <c r="B16" s="964" t="s">
        <v>541</v>
      </c>
      <c r="C16" s="965" t="s">
        <v>499</v>
      </c>
      <c r="D16" s="964" t="s">
        <v>495</v>
      </c>
      <c r="E16" s="966" t="s">
        <v>2209</v>
      </c>
      <c r="F16" s="965" t="s">
        <v>497</v>
      </c>
      <c r="G16" s="993">
        <v>499866335</v>
      </c>
      <c r="H16" s="1006">
        <v>65094376.270000003</v>
      </c>
      <c r="I16" s="982">
        <f t="shared" si="0"/>
        <v>0.13022356520568645</v>
      </c>
      <c r="J16" s="1006"/>
      <c r="K16" s="982">
        <f t="shared" si="1"/>
        <v>0</v>
      </c>
      <c r="L16" s="993">
        <v>1612472049</v>
      </c>
      <c r="M16" s="1006">
        <v>274855666.06999999</v>
      </c>
      <c r="N16" s="982">
        <f t="shared" si="2"/>
        <v>0.17045608092273976</v>
      </c>
      <c r="O16" s="966" t="s">
        <v>481</v>
      </c>
      <c r="P16" s="965" t="s">
        <v>2206</v>
      </c>
    </row>
    <row r="17" spans="1:16" ht="15.75" thickBot="1" x14ac:dyDescent="0.3">
      <c r="A17" s="1020"/>
      <c r="B17" s="967" t="s">
        <v>541</v>
      </c>
      <c r="C17" s="968" t="s">
        <v>499</v>
      </c>
      <c r="D17" s="967" t="s">
        <v>495</v>
      </c>
      <c r="E17" s="969" t="s">
        <v>496</v>
      </c>
      <c r="F17" s="968" t="s">
        <v>497</v>
      </c>
      <c r="G17" s="994">
        <v>823491</v>
      </c>
      <c r="H17" s="1007">
        <v>1776548.11</v>
      </c>
      <c r="I17" s="1009">
        <f t="shared" si="0"/>
        <v>2.1573376151044759</v>
      </c>
      <c r="J17" s="1007"/>
      <c r="K17" s="983">
        <f t="shared" si="1"/>
        <v>0</v>
      </c>
      <c r="L17" s="994">
        <v>2656424</v>
      </c>
      <c r="M17" s="1007">
        <v>2656423.9900000002</v>
      </c>
      <c r="N17" s="1009">
        <f t="shared" si="2"/>
        <v>0.99999999623554081</v>
      </c>
      <c r="O17" s="969" t="s">
        <v>481</v>
      </c>
      <c r="P17" s="968" t="s">
        <v>2207</v>
      </c>
    </row>
    <row r="19" spans="1:16" x14ac:dyDescent="0.25">
      <c r="G19" s="90"/>
    </row>
    <row r="20" spans="1:16" x14ac:dyDescent="0.25">
      <c r="G20" s="90"/>
    </row>
    <row r="22" spans="1:16" x14ac:dyDescent="0.25">
      <c r="G22" s="90"/>
    </row>
    <row r="23" spans="1:16" x14ac:dyDescent="0.25">
      <c r="G23" s="90"/>
      <c r="M23" s="90"/>
      <c r="N23" s="90"/>
    </row>
    <row r="24" spans="1:16" x14ac:dyDescent="0.25">
      <c r="M24" s="90"/>
      <c r="N24" s="90"/>
    </row>
  </sheetData>
  <autoFilter ref="A1:P17"/>
  <sortState ref="A2:K19">
    <sortCondition ref="A1"/>
  </sortState>
  <mergeCells count="4">
    <mergeCell ref="A2:A6"/>
    <mergeCell ref="A7:A8"/>
    <mergeCell ref="A9:A12"/>
    <mergeCell ref="A13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96"/>
  <sheetViews>
    <sheetView zoomScaleNormal="100" workbookViewId="0">
      <selection activeCell="F126" sqref="F126"/>
    </sheetView>
  </sheetViews>
  <sheetFormatPr defaultRowHeight="15" x14ac:dyDescent="0.25"/>
  <cols>
    <col min="1" max="1" width="8.85546875" customWidth="1"/>
    <col min="2" max="2" width="22" customWidth="1"/>
    <col min="3" max="3" width="16.42578125" customWidth="1"/>
    <col min="4" max="4" width="64.5703125" customWidth="1"/>
    <col min="5" max="5" width="17.5703125" customWidth="1"/>
    <col min="6" max="6" width="13.140625" customWidth="1"/>
    <col min="7" max="7" width="14.5703125" customWidth="1"/>
    <col min="8" max="8" width="15.5703125" customWidth="1"/>
    <col min="9" max="9" width="12.42578125" style="869" customWidth="1"/>
    <col min="10" max="10" width="11.42578125" customWidth="1"/>
    <col min="11" max="11" width="12.7109375" customWidth="1"/>
    <col min="12" max="12" width="13.28515625" style="869" customWidth="1"/>
    <col min="13" max="13" width="11.5703125" customWidth="1"/>
    <col min="14" max="14" width="3.140625" customWidth="1"/>
    <col min="15" max="15" width="6.140625" customWidth="1"/>
    <col min="16" max="17" width="7.140625" customWidth="1"/>
    <col min="18" max="18" width="12.28515625" customWidth="1"/>
    <col min="19" max="19" width="7.140625" customWidth="1"/>
    <col min="20" max="20" width="12.28515625" customWidth="1"/>
    <col min="21" max="21" width="9.5703125" customWidth="1"/>
    <col min="22" max="22" width="13.28515625" customWidth="1"/>
    <col min="23" max="23" width="6.5703125" customWidth="1"/>
    <col min="24" max="24" width="12.42578125" bestFit="1" customWidth="1"/>
    <col min="25" max="25" width="11.85546875" bestFit="1" customWidth="1"/>
    <col min="26" max="26" width="12.42578125" bestFit="1" customWidth="1"/>
    <col min="27" max="27" width="11.85546875" bestFit="1" customWidth="1"/>
    <col min="28" max="32" width="6.5703125" customWidth="1"/>
    <col min="33" max="33" width="12.42578125" bestFit="1" customWidth="1"/>
    <col min="34" max="34" width="11.85546875" bestFit="1" customWidth="1"/>
    <col min="35" max="35" width="6.5703125" customWidth="1"/>
    <col min="36" max="36" width="12.42578125" bestFit="1" customWidth="1"/>
    <col min="37" max="37" width="11.85546875" bestFit="1" customWidth="1"/>
    <col min="38" max="38" width="9.5703125" bestFit="1" customWidth="1"/>
    <col min="39" max="39" width="13.28515625" bestFit="1" customWidth="1"/>
  </cols>
  <sheetData>
    <row r="5" spans="2:13" ht="90" customHeight="1" x14ac:dyDescent="0.25">
      <c r="B5" s="859" t="s">
        <v>2004</v>
      </c>
      <c r="C5" s="859" t="s">
        <v>2190</v>
      </c>
      <c r="D5" s="859" t="s">
        <v>2192</v>
      </c>
      <c r="E5" s="859" t="s">
        <v>462</v>
      </c>
      <c r="F5" s="889" t="s">
        <v>2166</v>
      </c>
      <c r="G5" s="889" t="s">
        <v>2167</v>
      </c>
      <c r="H5" s="889" t="s">
        <v>2168</v>
      </c>
      <c r="I5" s="907" t="s">
        <v>2197</v>
      </c>
      <c r="J5" s="890" t="s">
        <v>2198</v>
      </c>
      <c r="K5" s="890" t="s">
        <v>2199</v>
      </c>
      <c r="L5" s="908" t="s">
        <v>2006</v>
      </c>
      <c r="M5" s="890" t="s">
        <v>2200</v>
      </c>
    </row>
    <row r="6" spans="2:13" hidden="1" x14ac:dyDescent="0.25">
      <c r="B6" s="873" t="s">
        <v>3</v>
      </c>
      <c r="C6" s="873" t="s">
        <v>76</v>
      </c>
      <c r="D6" s="873" t="s">
        <v>2032</v>
      </c>
      <c r="E6" s="873" t="s">
        <v>467</v>
      </c>
      <c r="F6" s="924">
        <v>0</v>
      </c>
      <c r="G6" s="902">
        <v>84100</v>
      </c>
      <c r="H6" s="925">
        <v>119565</v>
      </c>
      <c r="I6" s="882"/>
      <c r="J6" s="900"/>
      <c r="K6" s="900"/>
      <c r="L6" s="882">
        <v>197466</v>
      </c>
      <c r="M6" s="900">
        <f>GETPIVOTDATA("Súčet z Zazmluvnená hodnota k 31.12.2017",$B$5,"Špecifický cieľ","1.1.1","Merná jednotka","t/rok","Kód ukazovateľa výstupu programu","CO17","Názov ukazovateľa výstupu programu","Zvýšená kapacita recyklácie odpadu ")/L6</f>
        <v>0.60549664245996782</v>
      </c>
    </row>
    <row r="7" spans="2:13" ht="16.5" customHeight="1" x14ac:dyDescent="0.25">
      <c r="B7" s="896" t="s">
        <v>3</v>
      </c>
      <c r="C7" s="896" t="s">
        <v>78</v>
      </c>
      <c r="D7" s="896" t="s">
        <v>79</v>
      </c>
      <c r="E7" s="896" t="s">
        <v>467</v>
      </c>
      <c r="F7" s="926">
        <v>400.59000000000003</v>
      </c>
      <c r="G7" s="897">
        <v>47958.648000000016</v>
      </c>
      <c r="H7" s="927">
        <v>56934.209000000003</v>
      </c>
      <c r="I7" s="197">
        <v>8632</v>
      </c>
      <c r="J7" s="901">
        <f>GETPIVOTDATA("Súčet z Skutočný stav k 31.12.2017",$B$5,"Špecifický cieľ","1.1.1","Merná jednotka","t/rok","Kód ukazovateľa výstupu programu","O0002","Názov ukazovateľa výstupu programu","Zvýšená kapacita pre triedenie komunálnych odpadov")/I7</f>
        <v>4.6407553290083413E-2</v>
      </c>
      <c r="K7" s="901">
        <f>GETPIVOTDATA("Súčet z Očakávaný stav k 31.12.2018",$B$5,"Špecifický cieľ","1.1.1","Merná jednotka","t/rok","Kód ukazovateľa výstupu programu","O0002","Názov ukazovateľa výstupu programu","Zvýšená kapacita pre triedenie komunálnych odpadov")/I7</f>
        <v>5.5559138090824858</v>
      </c>
      <c r="L7" s="197">
        <v>21579</v>
      </c>
      <c r="M7" s="901">
        <f>GETPIVOTDATA("Súčet z Zazmluvnená hodnota k 31.12.2017",$B$5,"Špecifický cieľ","1.1.1","Merná jednotka","t/rok","Kód ukazovateľa výstupu programu","O0002","Názov ukazovateľa výstupu programu","Zvýšená kapacita pre triedenie komunálnych odpadov")/L7</f>
        <v>2.6384081282728582</v>
      </c>
    </row>
    <row r="8" spans="2:13" x14ac:dyDescent="0.25">
      <c r="B8" s="896" t="s">
        <v>3</v>
      </c>
      <c r="C8" s="896" t="s">
        <v>80</v>
      </c>
      <c r="D8" s="896" t="s">
        <v>81</v>
      </c>
      <c r="E8" s="896" t="s">
        <v>467</v>
      </c>
      <c r="F8" s="926">
        <v>120</v>
      </c>
      <c r="G8" s="897">
        <v>124386.5</v>
      </c>
      <c r="H8" s="927">
        <v>186265.5</v>
      </c>
      <c r="I8" s="197">
        <v>34579</v>
      </c>
      <c r="J8" s="901">
        <f>GETPIVOTDATA("Súčet z Skutočný stav k 31.12.2017",$B$5,"Špecifický cieľ","1.1.1","Merná jednotka","t/rok","Kód ukazovateľa výstupu programu","O0003","Názov ukazovateľa výstupu programu","Zvýšená kapacita pre zhodnocovanie odpadov")/I8</f>
        <v>3.4703143526417768E-3</v>
      </c>
      <c r="K8" s="901">
        <f>GETPIVOTDATA("Súčet z Očakávaný stav k 31.12.2018",$B$5,"Špecifický cieľ","1.1.1","Merná jednotka","t/rok","Kód ukazovateľa výstupu programu","O0003","Názov ukazovateľa výstupu programu","Zvýšená kapacita pre zhodnocovanie odpadov")/I8</f>
        <v>3.5971688018739698</v>
      </c>
      <c r="L8" s="197">
        <v>329676</v>
      </c>
      <c r="M8" s="901">
        <f>GETPIVOTDATA("Súčet z Zazmluvnená hodnota k 31.12.2017",$B$5,"Špecifický cieľ","1.1.1","Merná jednotka","t/rok","Kód ukazovateľa výstupu programu","O0003","Názov ukazovateľa výstupu programu","Zvýšená kapacita pre zhodnocovanie odpadov")/L8</f>
        <v>0.56499563207512826</v>
      </c>
    </row>
    <row r="9" spans="2:13" hidden="1" x14ac:dyDescent="0.25">
      <c r="B9" s="873" t="s">
        <v>3</v>
      </c>
      <c r="C9" s="873" t="s">
        <v>82</v>
      </c>
      <c r="D9" s="873" t="s">
        <v>83</v>
      </c>
      <c r="E9" s="873" t="s">
        <v>464</v>
      </c>
      <c r="F9" s="928">
        <v>0</v>
      </c>
      <c r="G9" s="891">
        <v>0</v>
      </c>
      <c r="H9" s="929">
        <v>1</v>
      </c>
      <c r="I9" s="882"/>
      <c r="J9" s="900"/>
      <c r="K9" s="900"/>
      <c r="L9" s="882">
        <v>1</v>
      </c>
      <c r="M9" s="900">
        <f>GETPIVOTDATA("Súčet z Zazmluvnená hodnota k 31.12.2017",$B$5,"Špecifický cieľ","1.1.1","Merná jednotka","počet","Kód ukazovateľa výstupu programu","O0004","Názov ukazovateľa výstupu programu","Vybudovaný jednotný environmentálny monitorovací a informačný systém v odpadovom hospodárstve")/L9</f>
        <v>1</v>
      </c>
    </row>
    <row r="10" spans="2:13" hidden="1" x14ac:dyDescent="0.25">
      <c r="B10" s="873" t="s">
        <v>3</v>
      </c>
      <c r="C10" s="873" t="s">
        <v>84</v>
      </c>
      <c r="D10" s="873" t="s">
        <v>216</v>
      </c>
      <c r="E10" s="873" t="s">
        <v>464</v>
      </c>
      <c r="F10" s="930">
        <v>7</v>
      </c>
      <c r="G10" s="931">
        <v>204</v>
      </c>
      <c r="H10" s="932">
        <v>207</v>
      </c>
      <c r="I10" s="882"/>
      <c r="J10" s="900"/>
      <c r="K10" s="900"/>
      <c r="L10" s="882">
        <v>322</v>
      </c>
      <c r="M10" s="900">
        <f>GETPIVOTDATA("Súčet z Zazmluvnená hodnota k 31.12.2017",$B$5,"Špecifický cieľ","1.1.1","Merná jednotka","počet","Kód ukazovateľa výstupu programu","O0178","Názov ukazovateľa výstupu programu","Počet zrealizovaných informačných aktivít")/L10</f>
        <v>0.6428571428571429</v>
      </c>
    </row>
    <row r="11" spans="2:13" hidden="1" x14ac:dyDescent="0.25">
      <c r="B11" s="873" t="s">
        <v>2169</v>
      </c>
      <c r="C11" s="873"/>
      <c r="D11" s="873"/>
      <c r="E11" s="873"/>
      <c r="F11" s="894">
        <v>527.59</v>
      </c>
      <c r="G11" s="894">
        <v>256649.14800000002</v>
      </c>
      <c r="H11" s="894">
        <v>362972.70900000003</v>
      </c>
      <c r="I11" s="892"/>
      <c r="J11" s="892"/>
      <c r="K11" s="892"/>
      <c r="L11" s="892"/>
      <c r="M11" s="892"/>
    </row>
    <row r="12" spans="2:13" x14ac:dyDescent="0.25">
      <c r="B12" s="896" t="s">
        <v>2</v>
      </c>
      <c r="C12" s="896" t="s">
        <v>2039</v>
      </c>
      <c r="D12" s="896" t="s">
        <v>87</v>
      </c>
      <c r="E12" s="896" t="s">
        <v>471</v>
      </c>
      <c r="F12" s="899">
        <v>118171</v>
      </c>
      <c r="G12" s="899">
        <v>151893</v>
      </c>
      <c r="H12" s="899">
        <v>258357</v>
      </c>
      <c r="I12" s="197">
        <v>20505</v>
      </c>
      <c r="J12" s="901">
        <f>GETPIVOTDATA("Súčet z Skutočný stav k 31.12.2017",$B$5,"Špecifický cieľ","1.2.1","Merná jednotka","EO","Kód ukazovateľa výstupu programu","CO19/K0007","Názov ukazovateľa výstupu programu","Zvýšený počet obyvateľov so zlepšeným čistením komunálnych odpadových vôd")/I12</f>
        <v>5.7630334064862225</v>
      </c>
      <c r="K12" s="901">
        <f>GETPIVOTDATA("Súčet z Očakávaný stav k 31.12.2018",$B$5,"Špecifický cieľ","1.2.1","Merná jednotka","EO","Kód ukazovateľa výstupu programu","CO19/K0007","Názov ukazovateľa výstupu programu","Zvýšený počet obyvateľov so zlepšeným čistením komunálnych odpadových vôd")/I12</f>
        <v>7.4076079005120699</v>
      </c>
      <c r="L12" s="197">
        <v>205046</v>
      </c>
      <c r="M12" s="901">
        <f>GETPIVOTDATA("Súčet z Zazmluvnená hodnota k 31.12.2017",$B$5,"Špecifický cieľ","1.2.1","Merná jednotka","EO","Kód ukazovateľa výstupu programu","CO19/K0007","Názov ukazovateľa výstupu programu","Zvýšený počet obyvateľov so zlepšeným čistením komunálnych odpadových vôd")/L12</f>
        <v>1.259995318123738</v>
      </c>
    </row>
    <row r="13" spans="2:13" hidden="1" x14ac:dyDescent="0.25">
      <c r="B13" s="873" t="s">
        <v>2170</v>
      </c>
      <c r="C13" s="873"/>
      <c r="D13" s="873"/>
      <c r="E13" s="873"/>
      <c r="F13" s="894">
        <v>118171</v>
      </c>
      <c r="G13" s="894">
        <v>151893</v>
      </c>
      <c r="H13" s="894">
        <v>258357</v>
      </c>
      <c r="I13" s="892"/>
      <c r="J13" s="892"/>
      <c r="K13" s="892"/>
      <c r="L13" s="892"/>
      <c r="M13" s="892"/>
    </row>
    <row r="14" spans="2:13" hidden="1" x14ac:dyDescent="0.25">
      <c r="B14" s="873" t="s">
        <v>10</v>
      </c>
      <c r="C14" s="873" t="s">
        <v>88</v>
      </c>
      <c r="D14" s="873" t="s">
        <v>233</v>
      </c>
      <c r="E14" s="873" t="s">
        <v>470</v>
      </c>
      <c r="F14" s="891">
        <v>0</v>
      </c>
      <c r="G14" s="891">
        <v>140</v>
      </c>
      <c r="H14" s="891">
        <v>2540</v>
      </c>
      <c r="I14" s="882"/>
      <c r="J14" s="900"/>
      <c r="K14" s="900"/>
      <c r="L14" s="882">
        <v>86079</v>
      </c>
      <c r="M14" s="900">
        <f>GETPIVOTDATA("Súčet z Zazmluvnená hodnota k 31.12.2017",$B$5,"Špecifický cieľ","1.2.2","Merná jednotka","osoby","Kód ukazovateľa výstupu programu","CO18","Názov ukazovateľa výstupu programu","Zvýšený počet obyvateľov so zlepšenou dodávkou pitnej vody")/L14</f>
        <v>2.9507777739053661E-2</v>
      </c>
    </row>
    <row r="15" spans="2:13" hidden="1" x14ac:dyDescent="0.25">
      <c r="B15" s="873" t="s">
        <v>2171</v>
      </c>
      <c r="C15" s="873"/>
      <c r="D15" s="873"/>
      <c r="E15" s="873"/>
      <c r="F15" s="894">
        <v>0</v>
      </c>
      <c r="G15" s="894">
        <v>140</v>
      </c>
      <c r="H15" s="894">
        <v>2540</v>
      </c>
      <c r="I15" s="892"/>
      <c r="J15" s="892"/>
      <c r="K15" s="892"/>
      <c r="L15" s="892"/>
      <c r="M15" s="892"/>
    </row>
    <row r="16" spans="2:13" hidden="1" x14ac:dyDescent="0.25">
      <c r="B16" s="873" t="s">
        <v>11</v>
      </c>
      <c r="C16" s="873" t="s">
        <v>89</v>
      </c>
      <c r="D16" s="873" t="s">
        <v>90</v>
      </c>
      <c r="E16" s="873" t="s">
        <v>464</v>
      </c>
      <c r="F16" s="891">
        <v>0</v>
      </c>
      <c r="G16" s="891">
        <v>0</v>
      </c>
      <c r="H16" s="891">
        <v>0</v>
      </c>
      <c r="I16" s="909"/>
      <c r="J16" s="910"/>
      <c r="K16" s="910"/>
      <c r="L16" s="883">
        <v>2295</v>
      </c>
      <c r="M16" s="919">
        <f>GETPIVOTDATA("Súčet z Zazmluvnená hodnota k 31.12.2017",$B$5,"Špecifický cieľ","1.2.3","Merná jednotka","počet","Kód ukazovateľa výstupu programu","O0006","Názov ukazovateľa výstupu programu","Počet podporených objektov monitorovacej siete povrchových a podzemných vôd")/L16</f>
        <v>0</v>
      </c>
    </row>
    <row r="17" spans="2:13" hidden="1" x14ac:dyDescent="0.25">
      <c r="B17" s="873" t="s">
        <v>11</v>
      </c>
      <c r="C17" s="873" t="s">
        <v>91</v>
      </c>
      <c r="D17" s="873" t="s">
        <v>2045</v>
      </c>
      <c r="E17" s="873" t="s">
        <v>464</v>
      </c>
      <c r="F17" s="891">
        <v>322</v>
      </c>
      <c r="G17" s="891">
        <v>0</v>
      </c>
      <c r="H17" s="891">
        <v>1632</v>
      </c>
      <c r="I17" s="909"/>
      <c r="J17" s="910"/>
      <c r="K17" s="910"/>
      <c r="L17" s="883">
        <v>1835</v>
      </c>
      <c r="M17" s="919">
        <f>GETPIVOTDATA("Súčet z Zazmluvnená hodnota k 31.12.2017",$B$5,"Špecifický cieľ","1.2.3","Merná jednotka","počet","Kód ukazovateľa výstupu programu","O0007","Názov ukazovateľa výstupu programu","Počet vyhodnotených vodných útvarov  povrchových a podzemných vôd")/L17</f>
        <v>0.88937329700272483</v>
      </c>
    </row>
    <row r="18" spans="2:13" hidden="1" x14ac:dyDescent="0.25">
      <c r="B18" s="873" t="s">
        <v>11</v>
      </c>
      <c r="C18" s="873" t="s">
        <v>93</v>
      </c>
      <c r="D18" s="873" t="s">
        <v>94</v>
      </c>
      <c r="E18" s="873" t="s">
        <v>464</v>
      </c>
      <c r="F18" s="891">
        <v>0</v>
      </c>
      <c r="G18" s="891">
        <v>0</v>
      </c>
      <c r="H18" s="891">
        <v>0</v>
      </c>
      <c r="I18" s="909"/>
      <c r="J18" s="910"/>
      <c r="K18" s="910"/>
      <c r="L18" s="883">
        <v>345</v>
      </c>
      <c r="M18" s="919">
        <f>GETPIVOTDATA("Súčet z Zazmluvnená hodnota k 31.12.2017",$B$5,"Špecifický cieľ","1.2.3","Merná jednotka","počet","Kód ukazovateľa výstupu programu","O0008","Názov ukazovateľa výstupu programu","Počet opatrení na zabezpečenie spojitosti vodných tokov a odstraňovanie bariér vo vodných tokoch")/L18</f>
        <v>0</v>
      </c>
    </row>
    <row r="19" spans="2:13" hidden="1" x14ac:dyDescent="0.25">
      <c r="B19" s="873" t="s">
        <v>11</v>
      </c>
      <c r="C19" s="873" t="s">
        <v>95</v>
      </c>
      <c r="D19" s="873" t="s">
        <v>245</v>
      </c>
      <c r="E19" s="873" t="s">
        <v>464</v>
      </c>
      <c r="F19" s="891">
        <v>0</v>
      </c>
      <c r="G19" s="891">
        <v>0</v>
      </c>
      <c r="H19" s="891">
        <v>0</v>
      </c>
      <c r="I19" s="909"/>
      <c r="J19" s="910"/>
      <c r="K19" s="910"/>
      <c r="L19" s="883">
        <v>34</v>
      </c>
      <c r="M19" s="919">
        <f>GETPIVOTDATA("Súčet z Zazmluvnená hodnota k 31.12.2017",$B$5,"Špecifický cieľ","1.2.3","Merná jednotka","počet","Kód ukazovateľa výstupu programu","O0009","Názov ukazovateľa výstupu programu","Počet koncepčných, analytických a metodických materiálov")/L19</f>
        <v>0</v>
      </c>
    </row>
    <row r="20" spans="2:13" hidden="1" x14ac:dyDescent="0.25">
      <c r="B20" s="873" t="s">
        <v>11</v>
      </c>
      <c r="C20" s="873" t="s">
        <v>97</v>
      </c>
      <c r="D20" s="873" t="s">
        <v>2044</v>
      </c>
      <c r="E20" s="873" t="s">
        <v>464</v>
      </c>
      <c r="F20" s="891">
        <v>595940</v>
      </c>
      <c r="G20" s="891">
        <v>4763</v>
      </c>
      <c r="H20" s="891">
        <v>887546</v>
      </c>
      <c r="I20" s="909"/>
      <c r="J20" s="910"/>
      <c r="K20" s="910"/>
      <c r="L20" s="883">
        <v>786929</v>
      </c>
      <c r="M20" s="919">
        <f>GETPIVOTDATA("Súčet z Zazmluvnená hodnota k 31.12.2017",$B$5,"Špecifický cieľ","1.2.3","Merná jednotka","počet","Kód ukazovateľa výstupu programu","O0176","Názov ukazovateľa výstupu programu","Počet analyzovaných vzoriek povrchových a podzemných vôd")/L20</f>
        <v>1.1278603279330155</v>
      </c>
    </row>
    <row r="21" spans="2:13" hidden="1" x14ac:dyDescent="0.25">
      <c r="B21" s="873" t="s">
        <v>11</v>
      </c>
      <c r="C21" s="873" t="s">
        <v>84</v>
      </c>
      <c r="D21" s="873" t="s">
        <v>216</v>
      </c>
      <c r="E21" s="873" t="s">
        <v>464</v>
      </c>
      <c r="F21" s="891">
        <v>0</v>
      </c>
      <c r="G21" s="891">
        <v>0</v>
      </c>
      <c r="H21" s="891">
        <v>0</v>
      </c>
      <c r="I21" s="909"/>
      <c r="J21" s="910"/>
      <c r="K21" s="910"/>
      <c r="L21" s="883">
        <v>116</v>
      </c>
      <c r="M21" s="919">
        <f>GETPIVOTDATA("Súčet z Zazmluvnená hodnota k 31.12.2017",$B$5,"Špecifický cieľ","1.2.3","Merná jednotka","počet","Kód ukazovateľa výstupu programu","O0178","Názov ukazovateľa výstupu programu","Počet zrealizovaných informačných aktivít")/L21</f>
        <v>0</v>
      </c>
    </row>
    <row r="22" spans="2:13" hidden="1" x14ac:dyDescent="0.25">
      <c r="B22" s="873" t="s">
        <v>2172</v>
      </c>
      <c r="C22" s="873"/>
      <c r="D22" s="873"/>
      <c r="E22" s="873"/>
      <c r="F22" s="894">
        <v>596262</v>
      </c>
      <c r="G22" s="894">
        <v>4763</v>
      </c>
      <c r="H22" s="894">
        <v>889178</v>
      </c>
      <c r="I22" s="892"/>
      <c r="J22" s="892"/>
      <c r="K22" s="892"/>
      <c r="L22" s="892"/>
      <c r="M22" s="892"/>
    </row>
    <row r="23" spans="2:13" hidden="1" x14ac:dyDescent="0.25">
      <c r="B23" s="873" t="s">
        <v>20</v>
      </c>
      <c r="C23" s="873" t="s">
        <v>99</v>
      </c>
      <c r="D23" s="873" t="s">
        <v>264</v>
      </c>
      <c r="E23" s="873" t="s">
        <v>486</v>
      </c>
      <c r="F23" s="891">
        <v>0</v>
      </c>
      <c r="G23" s="891">
        <v>0</v>
      </c>
      <c r="H23" s="891">
        <v>0</v>
      </c>
      <c r="I23" s="909"/>
      <c r="J23" s="910"/>
      <c r="K23" s="910"/>
      <c r="L23" s="883">
        <v>20131</v>
      </c>
      <c r="M23" s="919">
        <f>GETPIVOTDATA("Súčet z Zazmluvnená hodnota k 31.12.2017",$B$5,"Špecifický cieľ","1.3.1","Merná jednotka","ha","Kód ukazovateľa výstupu programu","CO23","Názov ukazovateľa výstupu programu","Plocha biotopov podporených s cieľom dosiahnuť lepší stav ich ochrany")/L23</f>
        <v>0</v>
      </c>
    </row>
    <row r="24" spans="2:13" hidden="1" x14ac:dyDescent="0.25">
      <c r="B24" s="873" t="s">
        <v>20</v>
      </c>
      <c r="C24" s="873" t="s">
        <v>101</v>
      </c>
      <c r="D24" s="873" t="s">
        <v>102</v>
      </c>
      <c r="E24" s="873" t="s">
        <v>464</v>
      </c>
      <c r="F24" s="891">
        <v>0</v>
      </c>
      <c r="G24" s="891">
        <v>0</v>
      </c>
      <c r="H24" s="891">
        <v>0</v>
      </c>
      <c r="I24" s="909"/>
      <c r="J24" s="910"/>
      <c r="K24" s="910"/>
      <c r="L24" s="883">
        <v>390</v>
      </c>
      <c r="M24" s="919">
        <f>GETPIVOTDATA("Súčet z Zazmluvnená hodnota k 31.12.2017",$B$5,"Špecifický cieľ","1.3.1","Merná jednotka","počet","Kód ukazovateľa výstupu programu","O0010","Názov ukazovateľa výstupu programu","Počet realizovaných prvkov zelenej infraštruktúry")/L24</f>
        <v>0</v>
      </c>
    </row>
    <row r="25" spans="2:13" hidden="1" x14ac:dyDescent="0.25">
      <c r="B25" s="873" t="s">
        <v>20</v>
      </c>
      <c r="C25" s="873" t="s">
        <v>103</v>
      </c>
      <c r="D25" s="873" t="s">
        <v>104</v>
      </c>
      <c r="E25" s="873" t="s">
        <v>464</v>
      </c>
      <c r="F25" s="891">
        <v>0</v>
      </c>
      <c r="G25" s="891">
        <v>0</v>
      </c>
      <c r="H25" s="891">
        <v>0</v>
      </c>
      <c r="I25" s="909"/>
      <c r="J25" s="910"/>
      <c r="K25" s="910"/>
      <c r="L25" s="883">
        <v>700</v>
      </c>
      <c r="M25" s="919">
        <f>GETPIVOTDATA("Súčet z Zazmluvnená hodnota k 31.12.2017",$B$5,"Špecifický cieľ","1.3.1","Merná jednotka","počet","Kód ukazovateľa výstupu programu","O0011","Názov ukazovateľa výstupu programu","Počet novo zaradených monitorovaných lokalít")/L25</f>
        <v>0</v>
      </c>
    </row>
    <row r="26" spans="2:13" hidden="1" x14ac:dyDescent="0.25">
      <c r="B26" s="873" t="s">
        <v>20</v>
      </c>
      <c r="C26" s="873" t="s">
        <v>105</v>
      </c>
      <c r="D26" s="873" t="s">
        <v>270</v>
      </c>
      <c r="E26" s="873" t="s">
        <v>464</v>
      </c>
      <c r="F26" s="891">
        <v>0</v>
      </c>
      <c r="G26" s="891">
        <v>0</v>
      </c>
      <c r="H26" s="891">
        <v>0</v>
      </c>
      <c r="I26" s="909"/>
      <c r="J26" s="910"/>
      <c r="K26" s="910"/>
      <c r="L26" s="883">
        <v>3000</v>
      </c>
      <c r="M26" s="919">
        <f>GETPIVOTDATA("Súčet z Zazmluvnená hodnota k 31.12.2017",$B$5,"Špecifický cieľ","1.3.1","Merná jednotka","počet","Kód ukazovateľa výstupu programu","O0012","Názov ukazovateľa výstupu programu","Počet monitorovaných lokalít, kde došlo k zvýšeniu počtu monitorovaných druhov alebo biotopov")/L26</f>
        <v>0</v>
      </c>
    </row>
    <row r="27" spans="2:13" hidden="1" x14ac:dyDescent="0.25">
      <c r="B27" s="873" t="s">
        <v>20</v>
      </c>
      <c r="C27" s="873" t="s">
        <v>84</v>
      </c>
      <c r="D27" s="873" t="s">
        <v>216</v>
      </c>
      <c r="E27" s="873" t="s">
        <v>464</v>
      </c>
      <c r="F27" s="891">
        <v>0</v>
      </c>
      <c r="G27" s="891">
        <v>0</v>
      </c>
      <c r="H27" s="891">
        <v>0</v>
      </c>
      <c r="I27" s="909"/>
      <c r="J27" s="910"/>
      <c r="K27" s="910"/>
      <c r="L27" s="883">
        <v>645</v>
      </c>
      <c r="M27" s="919">
        <f>GETPIVOTDATA("Súčet z Zazmluvnená hodnota k 31.12.2017",$B$5,"Špecifický cieľ","1.3.1","Merná jednotka","počet","Kód ukazovateľa výstupu programu","O0178","Názov ukazovateľa výstupu programu","Počet zrealizovaných informačných aktivít")/L27</f>
        <v>0</v>
      </c>
    </row>
    <row r="28" spans="2:13" hidden="1" x14ac:dyDescent="0.25">
      <c r="B28" s="873" t="s">
        <v>2173</v>
      </c>
      <c r="C28" s="873"/>
      <c r="D28" s="873"/>
      <c r="E28" s="873"/>
      <c r="F28" s="894">
        <v>0</v>
      </c>
      <c r="G28" s="894">
        <v>0</v>
      </c>
      <c r="H28" s="894">
        <v>0</v>
      </c>
      <c r="I28" s="892"/>
      <c r="J28" s="892"/>
      <c r="K28" s="892"/>
      <c r="L28" s="892"/>
      <c r="M28" s="892"/>
    </row>
    <row r="29" spans="2:13" hidden="1" x14ac:dyDescent="0.25">
      <c r="B29" s="873" t="s">
        <v>25</v>
      </c>
      <c r="C29" s="873" t="s">
        <v>107</v>
      </c>
      <c r="D29" s="873" t="s">
        <v>108</v>
      </c>
      <c r="E29" s="873" t="s">
        <v>464</v>
      </c>
      <c r="F29" s="891">
        <v>0</v>
      </c>
      <c r="G29" s="891">
        <v>0</v>
      </c>
      <c r="H29" s="891">
        <v>0</v>
      </c>
      <c r="I29" s="909"/>
      <c r="J29" s="910"/>
      <c r="K29" s="910"/>
      <c r="L29" s="883">
        <v>131</v>
      </c>
      <c r="M29" s="919">
        <f>GETPIVOTDATA("Súčet z Zazmluvnená hodnota k 31.12.2017",$B$5,"Špecifický cieľ","1.4.1","Merná jednotka","počet","Kód ukazovateľa výstupu programu","O0015","Názov ukazovateľa výstupu programu","Počet podporených akreditovaných odberných miest NMSKO")/L29</f>
        <v>0</v>
      </c>
    </row>
    <row r="30" spans="2:13" hidden="1" x14ac:dyDescent="0.25">
      <c r="B30" s="873" t="s">
        <v>25</v>
      </c>
      <c r="C30" s="873" t="s">
        <v>109</v>
      </c>
      <c r="D30" s="873" t="s">
        <v>2060</v>
      </c>
      <c r="E30" s="873" t="s">
        <v>464</v>
      </c>
      <c r="F30" s="891">
        <v>0</v>
      </c>
      <c r="G30" s="891">
        <v>0</v>
      </c>
      <c r="H30" s="891">
        <v>0</v>
      </c>
      <c r="I30" s="909"/>
      <c r="J30" s="910"/>
      <c r="K30" s="910"/>
      <c r="L30" s="883">
        <v>3</v>
      </c>
      <c r="M30" s="919">
        <f>GETPIVOTDATA("Súčet z Zazmluvnená hodnota k 31.12.2017",$B$5,"Špecifický cieľ","1.4.1","Merná jednotka","počet","Kód ukazovateľa výstupu programu","O0016","Názov ukazovateľa výstupu programu","Počet aplikovaných modulov NEIS podľa požiadaviek na informovanie verejnosti a reportingových povinností ")/L30</f>
        <v>0</v>
      </c>
    </row>
    <row r="31" spans="2:13" hidden="1" x14ac:dyDescent="0.25">
      <c r="B31" s="873" t="s">
        <v>25</v>
      </c>
      <c r="C31" s="873" t="s">
        <v>111</v>
      </c>
      <c r="D31" s="873" t="s">
        <v>112</v>
      </c>
      <c r="E31" s="873" t="s">
        <v>491</v>
      </c>
      <c r="F31" s="891">
        <v>0</v>
      </c>
      <c r="G31" s="891">
        <v>0</v>
      </c>
      <c r="H31" s="891">
        <v>0</v>
      </c>
      <c r="I31" s="909"/>
      <c r="J31" s="910"/>
      <c r="K31" s="910"/>
      <c r="L31" s="883">
        <v>104</v>
      </c>
      <c r="M31" s="919">
        <f>GETPIVOTDATA("Súčet z Zazmluvnená hodnota k 31.12.2017",$B$5,"Špecifický cieľ","1.4.1","Merná jednotka","MW","Kód ukazovateľa výstupu programu","O0174","Názov ukazovateľa výstupu programu","Inštalovaný výkon nízkoemisných zariadení nahradzujúcich zastarané spaľovacie zariadenia na výrobu tepla na vykurovanie")/L31</f>
        <v>0</v>
      </c>
    </row>
    <row r="32" spans="2:13" hidden="1" x14ac:dyDescent="0.25">
      <c r="B32" s="873" t="s">
        <v>25</v>
      </c>
      <c r="C32" s="873" t="s">
        <v>113</v>
      </c>
      <c r="D32" s="873" t="s">
        <v>2058</v>
      </c>
      <c r="E32" s="873" t="s">
        <v>464</v>
      </c>
      <c r="F32" s="891">
        <v>1</v>
      </c>
      <c r="G32" s="891">
        <v>3</v>
      </c>
      <c r="H32" s="891">
        <v>22</v>
      </c>
      <c r="I32" s="909"/>
      <c r="J32" s="910"/>
      <c r="K32" s="910"/>
      <c r="L32" s="883">
        <v>20</v>
      </c>
      <c r="M32" s="919">
        <f>GETPIVOTDATA("Súčet z Zazmluvnená hodnota k 31.12.2017",$B$5,"Špecifický cieľ","1.4.1","Merná jednotka","počet","Kód ukazovateľa výstupu programu","O0177","Názov ukazovateľa výstupu programu","Počet podporených zariadení stredných a veľkých stacionárnych zdrojov znečisťovania ovzdušia za účelom zníženia emisií")/L32</f>
        <v>1.1000000000000001</v>
      </c>
    </row>
    <row r="33" spans="2:13" hidden="1" x14ac:dyDescent="0.25">
      <c r="B33" s="873" t="s">
        <v>25</v>
      </c>
      <c r="C33" s="873" t="s">
        <v>84</v>
      </c>
      <c r="D33" s="873" t="s">
        <v>216</v>
      </c>
      <c r="E33" s="873" t="s">
        <v>464</v>
      </c>
      <c r="F33" s="891">
        <v>0</v>
      </c>
      <c r="G33" s="891">
        <v>0</v>
      </c>
      <c r="H33" s="891">
        <v>0</v>
      </c>
      <c r="I33" s="909"/>
      <c r="J33" s="910"/>
      <c r="K33" s="910"/>
      <c r="L33" s="883">
        <v>322</v>
      </c>
      <c r="M33" s="919">
        <f>GETPIVOTDATA("Súčet z Zazmluvnená hodnota k 31.12.2017",$B$5,"Špecifický cieľ","1.4.1","Merná jednotka","počet","Kód ukazovateľa výstupu programu","O0178","Názov ukazovateľa výstupu programu","Počet zrealizovaných informačných aktivít")/L33</f>
        <v>0</v>
      </c>
    </row>
    <row r="34" spans="2:13" hidden="1" x14ac:dyDescent="0.25">
      <c r="B34" s="873" t="s">
        <v>2174</v>
      </c>
      <c r="C34" s="873"/>
      <c r="D34" s="873"/>
      <c r="E34" s="873"/>
      <c r="F34" s="894">
        <v>1</v>
      </c>
      <c r="G34" s="894">
        <v>3</v>
      </c>
      <c r="H34" s="894">
        <v>22</v>
      </c>
      <c r="I34" s="895"/>
      <c r="J34" s="895"/>
      <c r="K34" s="895"/>
      <c r="L34" s="895"/>
      <c r="M34" s="895"/>
    </row>
    <row r="35" spans="2:13" x14ac:dyDescent="0.25">
      <c r="B35" s="896" t="s">
        <v>31</v>
      </c>
      <c r="C35" s="896" t="s">
        <v>115</v>
      </c>
      <c r="D35" s="896" t="s">
        <v>313</v>
      </c>
      <c r="E35" s="896" t="s">
        <v>486</v>
      </c>
      <c r="F35" s="897">
        <v>0</v>
      </c>
      <c r="G35" s="897">
        <v>0</v>
      </c>
      <c r="H35" s="897">
        <v>0</v>
      </c>
      <c r="I35" s="331">
        <v>15</v>
      </c>
      <c r="J35" s="921">
        <f>GETPIVOTDATA("Súčet z Skutočný stav k 31.12.2017",$B$5,"Špecifický cieľ","1.4.2","Merná jednotka","ha","Kód ukazovateľa výstupu programu","CO22","Názov ukazovateľa výstupu programu","Celkový povrch rekultivovanej pôdy")/I35</f>
        <v>0</v>
      </c>
      <c r="K35" s="921">
        <f>GETPIVOTDATA("Súčet z Očakávaný stav k 31.12.2018",$B$5,"Špecifický cieľ","1.4.2","Merná jednotka","ha","Kód ukazovateľa výstupu programu","CO22","Názov ukazovateľa výstupu programu","Celkový povrch rekultivovanej pôdy")/I35</f>
        <v>0</v>
      </c>
      <c r="L35" s="331">
        <v>125</v>
      </c>
      <c r="M35" s="921">
        <f>GETPIVOTDATA("Súčet z Zazmluvnená hodnota k 31.12.2017",$B$5,"Špecifický cieľ","1.4.2","Merná jednotka","ha","Kód ukazovateľa výstupu programu","CO22","Názov ukazovateľa výstupu programu","Celkový povrch rekultivovanej pôdy")/L35</f>
        <v>0</v>
      </c>
    </row>
    <row r="36" spans="2:13" hidden="1" x14ac:dyDescent="0.25">
      <c r="B36" s="873" t="s">
        <v>31</v>
      </c>
      <c r="C36" s="873" t="s">
        <v>117</v>
      </c>
      <c r="D36" s="873" t="s">
        <v>118</v>
      </c>
      <c r="E36" s="873" t="s">
        <v>486</v>
      </c>
      <c r="F36" s="891">
        <v>0</v>
      </c>
      <c r="G36" s="891">
        <v>0</v>
      </c>
      <c r="H36" s="891">
        <v>12.46</v>
      </c>
      <c r="I36" s="909"/>
      <c r="J36" s="910"/>
      <c r="K36" s="910"/>
      <c r="L36" s="883">
        <v>36</v>
      </c>
      <c r="M36" s="919">
        <f>GETPIVOTDATA("Súčet z Zazmluvnená hodnota k 31.12.2017",$B$5,"Špecifický cieľ","1.4.2","Merná jednotka","ha","Kód ukazovateľa výstupu programu","O0017","Názov ukazovateľa výstupu programu","Plocha preskúmaných environmentálnych záťaží")/L36</f>
        <v>0.34611111111111115</v>
      </c>
    </row>
    <row r="37" spans="2:13" hidden="1" x14ac:dyDescent="0.25">
      <c r="B37" s="873" t="s">
        <v>31</v>
      </c>
      <c r="C37" s="873" t="s">
        <v>119</v>
      </c>
      <c r="D37" s="873" t="s">
        <v>120</v>
      </c>
      <c r="E37" s="873" t="s">
        <v>486</v>
      </c>
      <c r="F37" s="891">
        <v>205.1</v>
      </c>
      <c r="G37" s="891">
        <v>0</v>
      </c>
      <c r="H37" s="891">
        <v>205.1</v>
      </c>
      <c r="I37" s="909"/>
      <c r="J37" s="910"/>
      <c r="K37" s="910"/>
      <c r="L37" s="883">
        <v>446</v>
      </c>
      <c r="M37" s="919">
        <f>GETPIVOTDATA("Súčet z Zazmluvnená hodnota k 31.12.2017",$B$5,"Špecifický cieľ","1.4.2","Merná jednotka","ha","Kód ukazovateľa výstupu programu","O0018","Názov ukazovateľa výstupu programu","Plocha monitorovaných environmentálnych záťaží")/L37</f>
        <v>0.4598654708520179</v>
      </c>
    </row>
    <row r="38" spans="2:13" hidden="1" x14ac:dyDescent="0.25">
      <c r="B38" s="873" t="s">
        <v>31</v>
      </c>
      <c r="C38" s="873" t="s">
        <v>84</v>
      </c>
      <c r="D38" s="873" t="s">
        <v>216</v>
      </c>
      <c r="E38" s="873" t="s">
        <v>464</v>
      </c>
      <c r="F38" s="891">
        <v>0</v>
      </c>
      <c r="G38" s="891">
        <v>0</v>
      </c>
      <c r="H38" s="891">
        <v>0</v>
      </c>
      <c r="I38" s="909"/>
      <c r="J38" s="910"/>
      <c r="K38" s="910"/>
      <c r="L38" s="883">
        <v>193</v>
      </c>
      <c r="M38" s="919">
        <f>GETPIVOTDATA("Súčet z Zazmluvnená hodnota k 31.12.2017",$B$5,"Špecifický cieľ","1.4.2","Merná jednotka","počet","Kód ukazovateľa výstupu programu","O0178","Názov ukazovateľa výstupu programu","Počet zrealizovaných informačných aktivít")/L38</f>
        <v>0</v>
      </c>
    </row>
    <row r="39" spans="2:13" hidden="1" x14ac:dyDescent="0.25">
      <c r="B39" s="873" t="s">
        <v>2175</v>
      </c>
      <c r="C39" s="873"/>
      <c r="D39" s="873"/>
      <c r="E39" s="873"/>
      <c r="F39" s="894">
        <v>205.1</v>
      </c>
      <c r="G39" s="894">
        <v>0</v>
      </c>
      <c r="H39" s="894">
        <v>217.56</v>
      </c>
      <c r="I39" s="895"/>
      <c r="J39" s="895"/>
      <c r="K39" s="895"/>
      <c r="L39" s="895"/>
      <c r="M39" s="895"/>
    </row>
    <row r="40" spans="2:13" x14ac:dyDescent="0.25">
      <c r="B40" s="896" t="s">
        <v>33</v>
      </c>
      <c r="C40" s="896" t="s">
        <v>121</v>
      </c>
      <c r="D40" s="896" t="s">
        <v>2071</v>
      </c>
      <c r="E40" s="896" t="s">
        <v>464</v>
      </c>
      <c r="F40" s="897">
        <v>0</v>
      </c>
      <c r="G40" s="897">
        <v>0</v>
      </c>
      <c r="H40" s="897">
        <v>0</v>
      </c>
      <c r="I40" s="331">
        <v>5735</v>
      </c>
      <c r="J40" s="921">
        <f>GETPIVOTDATA("Súčet z Skutočný stav k 31.12.2017",$B$5,"Špecifický cieľ","2.1.1","Merná jednotka","počet","Kód ukazovateľa výstupu programu","CO20","Názov ukazovateľa výstupu programu","Počet obyvateľov využívajúcich opatrenia protipovodňovej ochrany ")/I40</f>
        <v>0</v>
      </c>
      <c r="K40" s="921">
        <f>GETPIVOTDATA("Súčet z Očakávaný stav k 31.12.2018",$B$5,"Špecifický cieľ","2.1.1","Merná jednotka","počet","Kód ukazovateľa výstupu programu","CO20","Názov ukazovateľa výstupu programu","Počet obyvateľov využívajúcich opatrenia protipovodňovej ochrany ")/I40</f>
        <v>0</v>
      </c>
      <c r="L40" s="331">
        <v>12744</v>
      </c>
      <c r="M40" s="921">
        <f>GETPIVOTDATA("Súčet z Zazmluvnená hodnota k 31.12.2017",$B$5,"Špecifický cieľ","2.1.1","Merná jednotka","počet","Kód ukazovateľa výstupu programu","CO20","Názov ukazovateľa výstupu programu","Počet obyvateľov využívajúcich opatrenia protipovodňovej ochrany ")/L40</f>
        <v>0</v>
      </c>
    </row>
    <row r="41" spans="2:13" hidden="1" x14ac:dyDescent="0.25">
      <c r="B41" s="873" t="s">
        <v>33</v>
      </c>
      <c r="C41" s="873" t="s">
        <v>123</v>
      </c>
      <c r="D41" s="873" t="s">
        <v>124</v>
      </c>
      <c r="E41" s="873" t="s">
        <v>464</v>
      </c>
      <c r="F41" s="891">
        <v>0</v>
      </c>
      <c r="G41" s="891">
        <v>0</v>
      </c>
      <c r="H41" s="891">
        <v>0</v>
      </c>
      <c r="I41" s="883"/>
      <c r="J41" s="919"/>
      <c r="K41" s="919"/>
      <c r="L41" s="883">
        <v>86</v>
      </c>
      <c r="M41" s="919">
        <f>GETPIVOTDATA("Súčet z Zazmluvnená hodnota k 31.12.2017",$B$5,"Špecifický cieľ","2.1.1","Merná jednotka","počet","Kód ukazovateľa výstupu programu","O0019","Názov ukazovateľa výstupu programu","Počet realizovaných vodozádržných opatrení")/L41</f>
        <v>0</v>
      </c>
    </row>
    <row r="42" spans="2:13" hidden="1" x14ac:dyDescent="0.25">
      <c r="B42" s="873" t="s">
        <v>33</v>
      </c>
      <c r="C42" s="873" t="s">
        <v>125</v>
      </c>
      <c r="D42" s="873" t="s">
        <v>126</v>
      </c>
      <c r="E42" s="873" t="s">
        <v>464</v>
      </c>
      <c r="F42" s="891">
        <v>0</v>
      </c>
      <c r="G42" s="891">
        <v>0</v>
      </c>
      <c r="H42" s="891">
        <v>0</v>
      </c>
      <c r="I42" s="883"/>
      <c r="J42" s="919"/>
      <c r="K42" s="919"/>
      <c r="L42" s="883">
        <v>4</v>
      </c>
      <c r="M42" s="919">
        <f>GETPIVOTDATA("Súčet z Zazmluvnená hodnota k 31.12.2017",$B$5,"Špecifický cieľ","2.1.1","Merná jednotka","počet","Kód ukazovateľa výstupu programu","O0019","Názov ukazovateľa výstupu programu","Počet realizovaných vodozádržných opatrení")/L42</f>
        <v>0</v>
      </c>
    </row>
    <row r="43" spans="2:13" hidden="1" x14ac:dyDescent="0.25">
      <c r="B43" s="873" t="s">
        <v>33</v>
      </c>
      <c r="C43" s="873" t="s">
        <v>127</v>
      </c>
      <c r="D43" s="873" t="s">
        <v>128</v>
      </c>
      <c r="E43" s="873" t="s">
        <v>464</v>
      </c>
      <c r="F43" s="891">
        <v>0</v>
      </c>
      <c r="G43" s="891">
        <v>0</v>
      </c>
      <c r="H43" s="891">
        <v>0</v>
      </c>
      <c r="I43" s="883"/>
      <c r="J43" s="919"/>
      <c r="K43" s="919"/>
      <c r="L43" s="883">
        <v>10</v>
      </c>
      <c r="M43" s="919">
        <f>GETPIVOTDATA("Súčet z Zazmluvnená hodnota k 31.12.2017",$B$5,"Špecifický cieľ","2.1.1","Merná jednotka","počet","Kód ukazovateľa výstupu programu","O0019","Názov ukazovateľa výstupu programu","Počet realizovaných vodozádržných opatrení")/L43</f>
        <v>0</v>
      </c>
    </row>
    <row r="44" spans="2:13" hidden="1" x14ac:dyDescent="0.25">
      <c r="B44" s="873" t="s">
        <v>33</v>
      </c>
      <c r="C44" s="873" t="s">
        <v>84</v>
      </c>
      <c r="D44" s="873" t="s">
        <v>216</v>
      </c>
      <c r="E44" s="873" t="s">
        <v>464</v>
      </c>
      <c r="F44" s="891">
        <v>0</v>
      </c>
      <c r="G44" s="891">
        <v>0</v>
      </c>
      <c r="H44" s="891">
        <v>0</v>
      </c>
      <c r="I44" s="883"/>
      <c r="J44" s="919"/>
      <c r="K44" s="919"/>
      <c r="L44" s="883">
        <v>193</v>
      </c>
      <c r="M44" s="919">
        <f>GETPIVOTDATA("Súčet z Zazmluvnená hodnota k 31.12.2017",$B$5,"Špecifický cieľ","2.1.1","Merná jednotka","počet","Kód ukazovateľa výstupu programu","O0019","Názov ukazovateľa výstupu programu","Počet realizovaných vodozádržných opatrení")/L44</f>
        <v>0</v>
      </c>
    </row>
    <row r="45" spans="2:13" hidden="1" x14ac:dyDescent="0.25">
      <c r="B45" s="873" t="s">
        <v>2176</v>
      </c>
      <c r="C45" s="873"/>
      <c r="D45" s="873"/>
      <c r="E45" s="873"/>
      <c r="F45" s="894">
        <v>0</v>
      </c>
      <c r="G45" s="894">
        <v>0</v>
      </c>
      <c r="H45" s="894">
        <v>0</v>
      </c>
      <c r="I45" s="895"/>
      <c r="J45" s="895"/>
      <c r="K45" s="895"/>
      <c r="L45" s="895"/>
      <c r="M45" s="895"/>
    </row>
    <row r="46" spans="2:13" hidden="1" x14ac:dyDescent="0.25">
      <c r="B46" s="873" t="s">
        <v>34</v>
      </c>
      <c r="C46" s="873" t="s">
        <v>115</v>
      </c>
      <c r="D46" s="873" t="s">
        <v>313</v>
      </c>
      <c r="E46" s="873" t="s">
        <v>486</v>
      </c>
      <c r="F46" s="891">
        <v>0</v>
      </c>
      <c r="G46" s="891">
        <v>0</v>
      </c>
      <c r="H46" s="891">
        <v>0</v>
      </c>
      <c r="I46" s="883"/>
      <c r="J46" s="919"/>
      <c r="K46" s="919"/>
      <c r="L46" s="883">
        <v>108</v>
      </c>
      <c r="M46" s="919">
        <f>GETPIVOTDATA("Súčet z Zazmluvnená hodnota k 31.12.2017",$B$5,"Špecifický cieľ","2.1.1","Merná jednotka","počet","Kód ukazovateľa výstupu programu","O0019","Názov ukazovateľa výstupu programu","Počet realizovaných vodozádržných opatrení")/L46</f>
        <v>0</v>
      </c>
    </row>
    <row r="47" spans="2:13" hidden="1" x14ac:dyDescent="0.25">
      <c r="B47" s="873" t="s">
        <v>2177</v>
      </c>
      <c r="C47" s="873"/>
      <c r="D47" s="873"/>
      <c r="E47" s="873"/>
      <c r="F47" s="894">
        <v>0</v>
      </c>
      <c r="G47" s="894">
        <v>0</v>
      </c>
      <c r="H47" s="894">
        <v>0</v>
      </c>
      <c r="I47" s="895"/>
      <c r="J47" s="895"/>
      <c r="K47" s="895"/>
      <c r="L47" s="895"/>
      <c r="M47" s="895"/>
    </row>
    <row r="48" spans="2:13" hidden="1" x14ac:dyDescent="0.25">
      <c r="B48" s="873" t="s">
        <v>45</v>
      </c>
      <c r="C48" s="873" t="s">
        <v>129</v>
      </c>
      <c r="D48" s="873" t="s">
        <v>2084</v>
      </c>
      <c r="E48" s="873" t="s">
        <v>464</v>
      </c>
      <c r="F48" s="891">
        <v>0</v>
      </c>
      <c r="G48" s="891">
        <v>0</v>
      </c>
      <c r="H48" s="891">
        <v>0</v>
      </c>
      <c r="I48" s="913"/>
      <c r="J48" s="910"/>
      <c r="K48" s="910"/>
      <c r="L48" s="883">
        <v>2</v>
      </c>
      <c r="M48" s="919">
        <f t="shared" ref="M48" si="0">GETPIVOTDATA("Súčet z Zazmluvnená hodnota k 31.12.2017",$B$5,"Špecifický cieľ","2.1.1","Merná jednotka","počet","Kód ukazovateľa výstupu programu","O0019","Názov ukazovateľa výstupu programu","Počet realizovaných vodozádržných opatrení")/L48</f>
        <v>0</v>
      </c>
    </row>
    <row r="49" spans="2:13" x14ac:dyDescent="0.25">
      <c r="B49" s="896" t="s">
        <v>45</v>
      </c>
      <c r="C49" s="896" t="s">
        <v>131</v>
      </c>
      <c r="D49" s="896" t="s">
        <v>2086</v>
      </c>
      <c r="E49" s="896" t="s">
        <v>464</v>
      </c>
      <c r="F49" s="897">
        <v>0</v>
      </c>
      <c r="G49" s="897">
        <v>1</v>
      </c>
      <c r="H49" s="897">
        <v>1</v>
      </c>
      <c r="I49" s="331">
        <v>1</v>
      </c>
      <c r="J49" s="921">
        <f>-GETPIVOTDATA("Súčet z Skutočný stav k 31.12.2017",$B$5,"Špecifický cieľ","3.1.1","Merná jednotka","počet","Kód ukazovateľa výstupu programu","O0023","Názov ukazovateľa výstupu programu","Počet systémov včasného varovania ")/I49</f>
        <v>0</v>
      </c>
      <c r="K49" s="921">
        <f>GETPIVOTDATA("Súčet z Očakávaný stav k 31.12.2018",$B$5,"Špecifický cieľ","3.1.1","Merná jednotka","počet","Kód ukazovateľa výstupu programu","O0023","Názov ukazovateľa výstupu programu","Počet systémov včasného varovania ")/I49</f>
        <v>1</v>
      </c>
      <c r="L49" s="331">
        <v>2</v>
      </c>
      <c r="M49" s="921">
        <f>GETPIVOTDATA("Súčet z Zazmluvnená hodnota k 31.12.2017",$B$5,"Špecifický cieľ","3.1.1","Merná jednotka","počet","Kód ukazovateľa výstupu programu","O0023","Názov ukazovateľa výstupu programu","Počet systémov včasného varovania ")/L49</f>
        <v>0.5</v>
      </c>
    </row>
    <row r="50" spans="2:13" hidden="1" x14ac:dyDescent="0.25">
      <c r="B50" s="896" t="s">
        <v>2178</v>
      </c>
      <c r="C50" s="896"/>
      <c r="D50" s="896"/>
      <c r="E50" s="896"/>
      <c r="F50" s="898">
        <v>0</v>
      </c>
      <c r="G50" s="898">
        <v>1</v>
      </c>
      <c r="H50" s="898">
        <v>1</v>
      </c>
      <c r="I50" s="920"/>
      <c r="J50" s="921"/>
      <c r="K50" s="921"/>
      <c r="L50" s="920"/>
      <c r="M50" s="921"/>
    </row>
    <row r="51" spans="2:13" x14ac:dyDescent="0.25">
      <c r="B51" s="896" t="s">
        <v>48</v>
      </c>
      <c r="C51" s="896" t="s">
        <v>115</v>
      </c>
      <c r="D51" s="896" t="s">
        <v>313</v>
      </c>
      <c r="E51" s="896" t="s">
        <v>486</v>
      </c>
      <c r="F51" s="897">
        <v>0</v>
      </c>
      <c r="G51" s="897">
        <v>0</v>
      </c>
      <c r="H51" s="897">
        <v>0</v>
      </c>
      <c r="I51" s="331">
        <v>77</v>
      </c>
      <c r="J51" s="921">
        <f>GETPIVOTDATA("Súčet z Skutočný stav k 31.12.2017",$B$5,"Špecifický cieľ","3.1.2","Merná jednotka","ha","Kód ukazovateľa výstupu programu","CO22","Názov ukazovateľa výstupu programu","Celkový povrch rekultivovanej pôdy")/I51</f>
        <v>0</v>
      </c>
      <c r="K51" s="921">
        <f>GETPIVOTDATA("Súčet z Očakávaný stav k 31.12.2018",$B$5,"Špecifický cieľ","3.1.2","Merná jednotka","ha","Kód ukazovateľa výstupu programu","CO22","Názov ukazovateľa výstupu programu","Celkový povrch rekultivovanej pôdy")/I51</f>
        <v>0</v>
      </c>
      <c r="L51" s="331">
        <v>219</v>
      </c>
      <c r="M51" s="921">
        <f>GETPIVOTDATA("Súčet z Zazmluvnená hodnota k 31.12.2017",$B$5,"Špecifický cieľ","3.1.2","Merná jednotka","ha","Kód ukazovateľa výstupu programu","CO22","Názov ukazovateľa výstupu programu","Celkový povrch rekultivovanej pôdy")/L51</f>
        <v>0</v>
      </c>
    </row>
    <row r="52" spans="2:13" hidden="1" x14ac:dyDescent="0.25">
      <c r="B52" s="873" t="s">
        <v>48</v>
      </c>
      <c r="C52" s="873" t="s">
        <v>133</v>
      </c>
      <c r="D52" s="873" t="s">
        <v>134</v>
      </c>
      <c r="E52" s="873" t="s">
        <v>486</v>
      </c>
      <c r="F52" s="891">
        <v>0</v>
      </c>
      <c r="G52" s="891">
        <v>0</v>
      </c>
      <c r="H52" s="891">
        <v>0</v>
      </c>
      <c r="I52" s="883"/>
      <c r="J52" s="919"/>
      <c r="K52" s="919"/>
      <c r="L52" s="883">
        <v>806</v>
      </c>
      <c r="M52" s="919">
        <f>GETPIVOTDATA("Súčet z Zazmluvnená hodnota k 31.12.2017",$B$5,"Špecifický cieľ","3.1.2","Merná jednotka","ha","Kód ukazovateľa výstupu programu","O0024","Názov ukazovateľa výstupu programu","Plocha preskúmaného zosuvného územia")/L52</f>
        <v>0</v>
      </c>
    </row>
    <row r="53" spans="2:13" hidden="1" x14ac:dyDescent="0.25">
      <c r="B53" s="873" t="s">
        <v>48</v>
      </c>
      <c r="C53" s="873" t="s">
        <v>135</v>
      </c>
      <c r="D53" s="873" t="s">
        <v>136</v>
      </c>
      <c r="E53" s="873" t="s">
        <v>486</v>
      </c>
      <c r="F53" s="891">
        <v>0</v>
      </c>
      <c r="G53" s="891">
        <v>0</v>
      </c>
      <c r="H53" s="891">
        <v>0</v>
      </c>
      <c r="I53" s="884"/>
      <c r="J53" s="919"/>
      <c r="K53" s="919"/>
      <c r="L53" s="883">
        <v>21965</v>
      </c>
      <c r="M53" s="919">
        <f>GETPIVOTDATA("Súčet z Zazmluvnená hodnota k 31.12.2017",$B$5,"Špecifický cieľ","3.1.2","Merná jednotka","ha","Kód ukazovateľa výstupu programu","O0024","Názov ukazovateľa výstupu programu","Plocha preskúmaného zosuvného územia")/L53</f>
        <v>0</v>
      </c>
    </row>
    <row r="54" spans="2:13" hidden="1" x14ac:dyDescent="0.25">
      <c r="B54" s="873" t="s">
        <v>2179</v>
      </c>
      <c r="C54" s="873"/>
      <c r="D54" s="873"/>
      <c r="E54" s="873"/>
      <c r="F54" s="894">
        <v>0</v>
      </c>
      <c r="G54" s="894">
        <v>0</v>
      </c>
      <c r="H54" s="894">
        <v>0</v>
      </c>
      <c r="I54" s="914"/>
      <c r="J54" s="915"/>
      <c r="K54" s="915"/>
      <c r="L54" s="914"/>
      <c r="M54" s="914"/>
    </row>
    <row r="55" spans="2:13" hidden="1" x14ac:dyDescent="0.25">
      <c r="B55" s="873" t="s">
        <v>49</v>
      </c>
      <c r="C55" s="873" t="s">
        <v>137</v>
      </c>
      <c r="D55" s="873" t="s">
        <v>2093</v>
      </c>
      <c r="E55" s="873" t="s">
        <v>464</v>
      </c>
      <c r="F55" s="891">
        <v>0</v>
      </c>
      <c r="G55" s="891">
        <v>0</v>
      </c>
      <c r="H55" s="891">
        <v>0</v>
      </c>
      <c r="I55" s="922"/>
      <c r="J55" s="919"/>
      <c r="K55" s="919"/>
      <c r="L55" s="883">
        <v>20</v>
      </c>
      <c r="M55" s="919">
        <f>GETPIVOTDATA("Súčet z Zazmluvnená hodnota k 31.12.2017",$B$5,"Špecifický cieľ","3.1.3","Merná jednotka","počet","Kód ukazovateľa výstupu programu","O0026","Názov ukazovateľa výstupu programu","Počet subjektov so zlepšeným vybavením intervenčnými kapacitami")/L55</f>
        <v>0</v>
      </c>
    </row>
    <row r="56" spans="2:13" x14ac:dyDescent="0.25">
      <c r="B56" s="896" t="s">
        <v>49</v>
      </c>
      <c r="C56" s="896" t="s">
        <v>139</v>
      </c>
      <c r="D56" s="896" t="s">
        <v>2095</v>
      </c>
      <c r="E56" s="896" t="s">
        <v>464</v>
      </c>
      <c r="F56" s="897">
        <v>0</v>
      </c>
      <c r="G56" s="897">
        <v>2.8289078523456057</v>
      </c>
      <c r="H56" s="897">
        <v>4</v>
      </c>
      <c r="I56" s="331">
        <v>1</v>
      </c>
      <c r="J56" s="921">
        <f>GETPIVOTDATA("Súčet z Skutočný stav k 31.12.2017",$B$5,"Špecifický cieľ","3.1.3","Merná jednotka","počet","Kód ukazovateľa výstupu programu","O0027","Názov ukazovateľa výstupu programu","Počet vytvorených špecializovaných  záchranných modulov ")/I56</f>
        <v>0</v>
      </c>
      <c r="K56" s="921">
        <f>GETPIVOTDATA("Súčet z Očakávaný stav k 31.12.2018",$B$5,"Špecifický cieľ","3.1.3","Merná jednotka","počet","Kód ukazovateľa výstupu programu","O0027","Názov ukazovateľa výstupu programu","Počet vytvorených špecializovaných  záchranných modulov ")/I56</f>
        <v>2.8289078523456057</v>
      </c>
      <c r="L56" s="331">
        <v>4</v>
      </c>
      <c r="M56" s="921">
        <f>GETPIVOTDATA("Súčet z Zazmluvnená hodnota k 31.12.2017",$B$5,"Špecifický cieľ","3.1.3","Merná jednotka","počet","Kód ukazovateľa výstupu programu","O0027","Názov ukazovateľa výstupu programu","Počet vytvorených špecializovaných  záchranných modulov ")/L56</f>
        <v>1</v>
      </c>
    </row>
    <row r="57" spans="2:13" hidden="1" x14ac:dyDescent="0.25">
      <c r="B57" s="873" t="s">
        <v>2180</v>
      </c>
      <c r="C57" s="873"/>
      <c r="D57" s="873"/>
      <c r="E57" s="873"/>
      <c r="F57" s="894">
        <v>0</v>
      </c>
      <c r="G57" s="894">
        <v>2.8289078523456057</v>
      </c>
      <c r="H57" s="894">
        <v>4</v>
      </c>
      <c r="I57" s="914"/>
      <c r="J57" s="915"/>
      <c r="K57" s="915"/>
      <c r="L57" s="914"/>
      <c r="M57" s="914"/>
    </row>
    <row r="58" spans="2:13" hidden="1" x14ac:dyDescent="0.25">
      <c r="B58" s="873" t="s">
        <v>46</v>
      </c>
      <c r="C58" s="873" t="s">
        <v>2193</v>
      </c>
      <c r="D58" s="873" t="s">
        <v>2112</v>
      </c>
      <c r="E58" s="873" t="s">
        <v>1105</v>
      </c>
      <c r="F58" s="891">
        <v>23712.209200000001</v>
      </c>
      <c r="G58" s="891">
        <v>26747.323303149245</v>
      </c>
      <c r="H58" s="891">
        <v>31809.02</v>
      </c>
      <c r="I58" s="883"/>
      <c r="J58" s="919"/>
      <c r="K58" s="919"/>
      <c r="L58" s="883">
        <v>260000</v>
      </c>
      <c r="M58" s="919">
        <f>GETPIVOTDATA("Súčet z Zazmluvnená hodnota k 31.12.2017",$B$5,"Špecifický cieľ","4.1.1","Merná jednotka","t ekviv. CO2","Kód ukazovateľa výstupu programu","CO34 (MRR)","Názov ukazovateľa výstupu programu","Odhadované ročné zníženie emisií skleníkových plynov (MRR)")/L58</f>
        <v>0.12234238461538462</v>
      </c>
    </row>
    <row r="59" spans="2:13" hidden="1" x14ac:dyDescent="0.25">
      <c r="B59" s="873" t="s">
        <v>46</v>
      </c>
      <c r="C59" s="873" t="s">
        <v>141</v>
      </c>
      <c r="D59" s="873" t="s">
        <v>399</v>
      </c>
      <c r="E59" s="873" t="s">
        <v>1106</v>
      </c>
      <c r="F59" s="891">
        <v>0</v>
      </c>
      <c r="G59" s="891">
        <v>0.33318119580100408</v>
      </c>
      <c r="H59" s="891">
        <v>2</v>
      </c>
      <c r="I59" s="886"/>
      <c r="J59" s="919"/>
      <c r="K59" s="919"/>
      <c r="L59" s="885">
        <v>35</v>
      </c>
      <c r="M59" s="919">
        <f>GETPIVOTDATA("Súčet z Zazmluvnená hodnota k 31.12.2017",$B$5,"Špecifický cieľ","4.1.1","Merná jednotka","podniky","Kód ukazovateľa výstupu programu","CO01","Názov ukazovateľa výstupu programu","Počet podnikov, ktorým sa poskytuje podpora")/L59</f>
        <v>5.7142857142857141E-2</v>
      </c>
    </row>
    <row r="60" spans="2:13" x14ac:dyDescent="0.25">
      <c r="B60" s="896" t="s">
        <v>46</v>
      </c>
      <c r="C60" s="896" t="s">
        <v>2110</v>
      </c>
      <c r="D60" s="896" t="s">
        <v>2111</v>
      </c>
      <c r="E60" s="896" t="s">
        <v>491</v>
      </c>
      <c r="F60" s="897">
        <v>74.993200000000002</v>
      </c>
      <c r="G60" s="897">
        <v>81.656823916020073</v>
      </c>
      <c r="H60" s="897">
        <v>90</v>
      </c>
      <c r="I60" s="529">
        <v>160</v>
      </c>
      <c r="J60" s="921">
        <f>GETPIVOTDATA("Súčet z Skutočný stav k 31.12.2017",$B$5,"Špecifický cieľ","4.1.1","Merná jednotka","MW","Kód ukazovateľa výstupu programu","CO30 (MRR)","Názov ukazovateľa výstupu programu","Zvýšená kapacita výroby energie z obnoviteľných zdrojov (MRR)")/I60</f>
        <v>0.4687075</v>
      </c>
      <c r="K60" s="921">
        <f>GETPIVOTDATA("Súčet z Očakávaný stav k 31.12.2018",$B$5,"Špecifický cieľ","4.1.1","Merná jednotka","MW","Kód ukazovateľa výstupu programu","CO30 (MRR)","Názov ukazovateľa výstupu programu","Zvýšená kapacita výroby energie z obnoviteľných zdrojov (MRR)")/I60</f>
        <v>0.5103551494751255</v>
      </c>
      <c r="L60" s="528">
        <v>570</v>
      </c>
      <c r="M60" s="921">
        <f>GETPIVOTDATA("Súčet z Zazmluvnená hodnota k 31.12.2017",$B$5,"Špecifický cieľ","4.1.1","Merná jednotka","MW","Kód ukazovateľa výstupu programu","CO30 (MRR)","Názov ukazovateľa výstupu programu","Zvýšená kapacita výroby energie z obnoviteľných zdrojov (MRR)")/L60</f>
        <v>0.15789473684210525</v>
      </c>
    </row>
    <row r="61" spans="2:13" hidden="1" x14ac:dyDescent="0.25">
      <c r="B61" s="873" t="s">
        <v>46</v>
      </c>
      <c r="C61" s="873" t="s">
        <v>2107</v>
      </c>
      <c r="D61" s="873" t="s">
        <v>2108</v>
      </c>
      <c r="E61" s="873" t="s">
        <v>516</v>
      </c>
      <c r="F61" s="891">
        <v>68.414900000000003</v>
      </c>
      <c r="G61" s="891">
        <v>74.245570926517573</v>
      </c>
      <c r="H61" s="891">
        <v>68</v>
      </c>
      <c r="I61" s="887"/>
      <c r="J61" s="919"/>
      <c r="K61" s="919"/>
      <c r="L61" s="885">
        <v>500</v>
      </c>
      <c r="M61" s="919">
        <f>GETPIVOTDATA("Súčet z Zazmluvnená hodnota k 31.12.2017",$B$5,"Špecifický cieľ","4.1.1","Merná jednotka","MWt","Kód ukazovateľa výstupu programu","O0189 (MRR)","Názov ukazovateľa výstupu programu","Zvýšená kapacita výroby tepla z obnoviteľných zdrojov (MRR)")/L61</f>
        <v>0.13600000000000001</v>
      </c>
    </row>
    <row r="62" spans="2:13" hidden="1" x14ac:dyDescent="0.25">
      <c r="B62" s="873" t="s">
        <v>46</v>
      </c>
      <c r="C62" s="873" t="s">
        <v>2101</v>
      </c>
      <c r="D62" s="873" t="s">
        <v>2102</v>
      </c>
      <c r="E62" s="873" t="s">
        <v>464</v>
      </c>
      <c r="F62" s="891">
        <v>10572</v>
      </c>
      <c r="G62" s="891">
        <v>13500</v>
      </c>
      <c r="H62" s="891">
        <v>13500</v>
      </c>
      <c r="I62" s="887"/>
      <c r="J62" s="919"/>
      <c r="K62" s="919"/>
      <c r="L62" s="885">
        <v>70000</v>
      </c>
      <c r="M62" s="919">
        <f>GETPIVOTDATA("Súčet z Zazmluvnená hodnota k 31.12.2017",$B$5,"Špecifický cieľ","4.1.1","Merná jednotka","počet","Kód ukazovateľa výstupu programu","O0028 (MRR)","Názov ukazovateľa výstupu programu","Počet malých zariadení na využívanie OZE (MRR)")/L62</f>
        <v>0.19285714285714287</v>
      </c>
    </row>
    <row r="63" spans="2:13" hidden="1" x14ac:dyDescent="0.25">
      <c r="B63" s="873" t="s">
        <v>46</v>
      </c>
      <c r="C63" s="873" t="s">
        <v>2103</v>
      </c>
      <c r="D63" s="873" t="s">
        <v>2104</v>
      </c>
      <c r="E63" s="873" t="s">
        <v>515</v>
      </c>
      <c r="F63" s="891">
        <v>6.5781999999999998</v>
      </c>
      <c r="G63" s="891">
        <v>17.666362391602007</v>
      </c>
      <c r="H63" s="891">
        <v>21</v>
      </c>
      <c r="I63" s="887"/>
      <c r="J63" s="919"/>
      <c r="K63" s="919"/>
      <c r="L63" s="885">
        <v>70</v>
      </c>
      <c r="M63" s="919">
        <f>GETPIVOTDATA("Súčet z Zazmluvnená hodnota k 31.12.2017",$B$5,"Špecifický cieľ","4.1.1","Merná jednotka","MWe","Kód ukazovateľa výstupu programu","O0188 (MRR)","Názov ukazovateľa výstupu programu","Zvýšená kapacita výroby elektriny z obnoviteľných zdrojov (MRR)")/L63</f>
        <v>0.3</v>
      </c>
    </row>
    <row r="64" spans="2:13" hidden="1" x14ac:dyDescent="0.25">
      <c r="B64" s="873" t="s">
        <v>2181</v>
      </c>
      <c r="C64" s="873"/>
      <c r="D64" s="873"/>
      <c r="E64" s="873"/>
      <c r="F64" s="894">
        <v>34434.195500000002</v>
      </c>
      <c r="G64" s="894">
        <v>40421.225241579181</v>
      </c>
      <c r="H64" s="894">
        <v>45490.020000000004</v>
      </c>
      <c r="I64" s="914"/>
      <c r="J64" s="915"/>
      <c r="K64" s="915"/>
      <c r="L64" s="914"/>
      <c r="M64" s="914"/>
    </row>
    <row r="65" spans="2:13" hidden="1" x14ac:dyDescent="0.25">
      <c r="B65" s="873" t="s">
        <v>56</v>
      </c>
      <c r="C65" s="873" t="s">
        <v>2118</v>
      </c>
      <c r="D65" s="873" t="s">
        <v>2119</v>
      </c>
      <c r="E65" s="873" t="s">
        <v>1105</v>
      </c>
      <c r="F65" s="891">
        <v>993.41150000000005</v>
      </c>
      <c r="G65" s="891">
        <v>1448.3</v>
      </c>
      <c r="H65" s="891">
        <v>1448.3</v>
      </c>
      <c r="I65" s="920"/>
      <c r="J65" s="919"/>
      <c r="K65" s="919"/>
      <c r="L65" s="885">
        <v>7000</v>
      </c>
      <c r="M65" s="919">
        <f>GETPIVOTDATA("Súčet z Zazmluvnená hodnota k 31.12.2017",$B$5,"Špecifický cieľ","4.1.2","Merná jednotka","t ekviv. CO2","Kód ukazovateľa výstupu programu","CO34 (VRR)","Názov ukazovateľa výstupu programu","Odhadované ročné zníženie emisií skleníkových plynov (VRR)")/L65</f>
        <v>0.2069</v>
      </c>
    </row>
    <row r="66" spans="2:13" x14ac:dyDescent="0.25">
      <c r="B66" s="896" t="s">
        <v>56</v>
      </c>
      <c r="C66" s="896" t="s">
        <v>2117</v>
      </c>
      <c r="D66" s="896" t="s">
        <v>144</v>
      </c>
      <c r="E66" s="896" t="s">
        <v>491</v>
      </c>
      <c r="F66" s="897">
        <v>3.7764000000000002</v>
      </c>
      <c r="G66" s="897">
        <v>5</v>
      </c>
      <c r="H66" s="897">
        <v>5</v>
      </c>
      <c r="I66" s="893">
        <v>1</v>
      </c>
      <c r="J66" s="921">
        <f>GETPIVOTDATA("Súčet z Skutočný stav k 31.12.2017",$B$5,"Špecifický cieľ","4.1.2","Merná jednotka","MW","Kód ukazovateľa výstupu programu","CO30 (VRR)","Názov ukazovateľa výstupu programu","Zvýšená kapacita výroby energie z obnoviteľných zdrojov")/I66</f>
        <v>3.7764000000000002</v>
      </c>
      <c r="K66" s="921">
        <f>GETPIVOTDATA("Súčet z Očakávaný stav k 31.12.2018",$B$5,"Špecifický cieľ","4.1.2","Merná jednotka","MW","Kód ukazovateľa výstupu programu","CO30 (VRR)","Názov ukazovateľa výstupu programu","Zvýšená kapacita výroby energie z obnoviteľných zdrojov")/I66</f>
        <v>5</v>
      </c>
      <c r="L66" s="528">
        <v>5</v>
      </c>
      <c r="M66" s="921">
        <f>GETPIVOTDATA("Súčet z Zazmluvnená hodnota k 31.12.2017",$B$5,"Špecifický cieľ","4.1.2","Merná jednotka","MW","Kód ukazovateľa výstupu programu","CO30 (VRR)","Názov ukazovateľa výstupu programu","Zvýšená kapacita výroby energie z obnoviteľných zdrojov")/L66</f>
        <v>1</v>
      </c>
    </row>
    <row r="67" spans="2:13" hidden="1" x14ac:dyDescent="0.25">
      <c r="B67" s="873" t="s">
        <v>56</v>
      </c>
      <c r="C67" s="873" t="s">
        <v>2120</v>
      </c>
      <c r="D67" s="873" t="s">
        <v>2121</v>
      </c>
      <c r="E67" s="873" t="s">
        <v>464</v>
      </c>
      <c r="F67" s="891">
        <v>719</v>
      </c>
      <c r="G67" s="891">
        <v>800</v>
      </c>
      <c r="H67" s="891">
        <v>800</v>
      </c>
      <c r="I67" s="920"/>
      <c r="J67" s="923"/>
      <c r="K67" s="923"/>
      <c r="L67" s="885">
        <v>3000</v>
      </c>
      <c r="M67" s="919">
        <f>GETPIVOTDATA("Súčet z Zazmluvnená hodnota k 31.12.2017",$B$5,"Špecifický cieľ","4.1.2","Merná jednotka","počet","Kód ukazovateľa výstupu programu","O0028 (VRR)","Názov ukazovateľa výstupu programu","Počet malých zariadení na využívanie OZE (VRR)")/L67</f>
        <v>0.26666666666666666</v>
      </c>
    </row>
    <row r="68" spans="2:13" hidden="1" x14ac:dyDescent="0.25">
      <c r="B68" s="873" t="s">
        <v>56</v>
      </c>
      <c r="C68" s="873" t="s">
        <v>2122</v>
      </c>
      <c r="D68" s="873" t="s">
        <v>2123</v>
      </c>
      <c r="E68" s="873" t="s">
        <v>515</v>
      </c>
      <c r="F68" s="891">
        <v>0.45590000000000003</v>
      </c>
      <c r="G68" s="891">
        <v>2</v>
      </c>
      <c r="H68" s="891">
        <v>2</v>
      </c>
      <c r="I68" s="887"/>
      <c r="J68" s="919"/>
      <c r="K68" s="919"/>
      <c r="L68" s="886">
        <v>0.75</v>
      </c>
      <c r="M68" s="919">
        <f>GETPIVOTDATA("Súčet z Zazmluvnená hodnota k 31.12.2017",$B$5,"Špecifický cieľ","4.1.2","Merná jednotka","MWe","Kód ukazovateľa výstupu programu","O0188 (VRR)","Názov ukazovateľa výstupu programu","Zvýšená kapacita výroby elektriny z obnoviteľných zdrojov (VRR)")/L68</f>
        <v>2.6666666666666665</v>
      </c>
    </row>
    <row r="69" spans="2:13" hidden="1" x14ac:dyDescent="0.25">
      <c r="B69" s="873" t="s">
        <v>56</v>
      </c>
      <c r="C69" s="873" t="s">
        <v>2125</v>
      </c>
      <c r="D69" s="873" t="s">
        <v>2126</v>
      </c>
      <c r="E69" s="873" t="s">
        <v>516</v>
      </c>
      <c r="F69" s="891">
        <v>3.3205</v>
      </c>
      <c r="G69" s="891">
        <v>3.3205</v>
      </c>
      <c r="H69" s="891">
        <v>3</v>
      </c>
      <c r="I69" s="887"/>
      <c r="J69" s="919"/>
      <c r="K69" s="919"/>
      <c r="L69" s="886">
        <v>4.25</v>
      </c>
      <c r="M69" s="919">
        <f>GETPIVOTDATA("Súčet z Zazmluvnená hodnota k 31.12.2017",$B$5,"Špecifický cieľ","4.1.2","Merná jednotka","MWt","Kód ukazovateľa výstupu programu","O0189 (VRR)","Názov ukazovateľa výstupu programu","Zvýšená kapacita výroby tepla z obnoviteľných zdrojov (VRR)")/L69</f>
        <v>0.70588235294117652</v>
      </c>
    </row>
    <row r="70" spans="2:13" hidden="1" x14ac:dyDescent="0.25">
      <c r="B70" s="873" t="s">
        <v>2182</v>
      </c>
      <c r="C70" s="873"/>
      <c r="D70" s="873"/>
      <c r="E70" s="873"/>
      <c r="F70" s="894">
        <v>1719.9642999999999</v>
      </c>
      <c r="G70" s="894">
        <v>2258.6205</v>
      </c>
      <c r="H70" s="894">
        <v>2258.3000000000002</v>
      </c>
      <c r="I70" s="914"/>
      <c r="J70" s="915"/>
      <c r="K70" s="915"/>
      <c r="L70" s="914"/>
      <c r="M70" s="914"/>
    </row>
    <row r="71" spans="2:13" hidden="1" x14ac:dyDescent="0.25">
      <c r="B71" s="873" t="s">
        <v>57</v>
      </c>
      <c r="C71" s="873" t="s">
        <v>141</v>
      </c>
      <c r="D71" s="873" t="s">
        <v>399</v>
      </c>
      <c r="E71" s="873" t="s">
        <v>1106</v>
      </c>
      <c r="F71" s="891">
        <v>0</v>
      </c>
      <c r="G71" s="891">
        <v>7.4965769055225921</v>
      </c>
      <c r="H71" s="891">
        <v>45</v>
      </c>
      <c r="I71" s="911"/>
      <c r="J71" s="910"/>
      <c r="K71" s="910"/>
      <c r="L71" s="885">
        <v>220</v>
      </c>
      <c r="M71" s="919">
        <f>GETPIVOTDATA("Súčet z Zazmluvnená hodnota k 31.12.2017",$B$5,"Špecifický cieľ","4.2.1","Merná jednotka","podniky","Kód ukazovateľa výstupu programu","CO01","Názov ukazovateľa výstupu programu","Počet podnikov, ktorým sa poskytuje podpora")/L71</f>
        <v>0.20454545454545456</v>
      </c>
    </row>
    <row r="72" spans="2:13" hidden="1" x14ac:dyDescent="0.25">
      <c r="B72" s="873" t="s">
        <v>57</v>
      </c>
      <c r="C72" s="873" t="s">
        <v>155</v>
      </c>
      <c r="D72" s="873" t="s">
        <v>156</v>
      </c>
      <c r="E72" s="873" t="s">
        <v>464</v>
      </c>
      <c r="F72" s="891">
        <v>0</v>
      </c>
      <c r="G72" s="891">
        <v>0</v>
      </c>
      <c r="H72" s="891">
        <v>0</v>
      </c>
      <c r="I72" s="887"/>
      <c r="J72" s="919"/>
      <c r="K72" s="919"/>
      <c r="L72" s="885">
        <v>200</v>
      </c>
      <c r="M72" s="919">
        <f>GETPIVOTDATA("Súčet z Zazmluvnená hodnota k 31.12.2017",$B$5,"Špecifický cieľ","4.2.1","Merná jednotka","počet","Kód ukazovateľa výstupu programu","O0030","Názov ukazovateľa výstupu programu","Počet energetických auditov")/L72</f>
        <v>0</v>
      </c>
    </row>
    <row r="73" spans="2:13" hidden="1" x14ac:dyDescent="0.25">
      <c r="B73" s="873" t="s">
        <v>57</v>
      </c>
      <c r="C73" s="873" t="s">
        <v>145</v>
      </c>
      <c r="D73" s="873" t="s">
        <v>146</v>
      </c>
      <c r="E73" s="873" t="s">
        <v>1105</v>
      </c>
      <c r="F73" s="891">
        <v>0</v>
      </c>
      <c r="G73" s="891">
        <v>3162.5559105431307</v>
      </c>
      <c r="H73" s="891">
        <v>18984</v>
      </c>
      <c r="I73" s="887"/>
      <c r="J73" s="919"/>
      <c r="K73" s="919"/>
      <c r="L73" s="885">
        <v>93000</v>
      </c>
      <c r="M73" s="919">
        <f>GETPIVOTDATA("Súčet z Zazmluvnená hodnota k 31.12.2017",$B$5,"Špecifický cieľ","4.2.1","Merná jednotka","t ekviv. CO2","Kód ukazovateľa výstupu programu","CO34","Názov ukazovateľa výstupu programu","Odhadované ročné zníženie emisií skleníkových plynov")/L73</f>
        <v>0.20412903225806453</v>
      </c>
    </row>
    <row r="74" spans="2:13" hidden="1" x14ac:dyDescent="0.25">
      <c r="B74" s="873" t="s">
        <v>57</v>
      </c>
      <c r="C74" s="873" t="s">
        <v>153</v>
      </c>
      <c r="D74" s="873" t="s">
        <v>2131</v>
      </c>
      <c r="E74" s="873" t="s">
        <v>464</v>
      </c>
      <c r="F74" s="891">
        <v>0</v>
      </c>
      <c r="G74" s="891">
        <v>9.1624828845276127</v>
      </c>
      <c r="H74" s="891">
        <v>55</v>
      </c>
      <c r="I74" s="920"/>
      <c r="J74" s="923"/>
      <c r="K74" s="923"/>
      <c r="L74" s="885">
        <v>270</v>
      </c>
      <c r="M74" s="919">
        <f>GETPIVOTDATA("Súčet z Zazmluvnená hodnota k 31.12.2017",$B$5,"Špecifický cieľ","4.2.1","Merná jednotka","počet","Kód ukazovateľa výstupu programu","O0029","Názov ukazovateľa výstupu programu","Počet opatrení energetickej efektívnosti realizovaných v podnikoch ")/L74</f>
        <v>0.20370370370370369</v>
      </c>
    </row>
    <row r="75" spans="2:13" hidden="1" x14ac:dyDescent="0.25">
      <c r="B75" s="873" t="s">
        <v>57</v>
      </c>
      <c r="C75" s="873" t="s">
        <v>159</v>
      </c>
      <c r="D75" s="873" t="s">
        <v>160</v>
      </c>
      <c r="E75" s="873" t="s">
        <v>464</v>
      </c>
      <c r="F75" s="891">
        <v>0</v>
      </c>
      <c r="G75" s="891">
        <v>1.3327247832040163</v>
      </c>
      <c r="H75" s="891">
        <v>8</v>
      </c>
      <c r="I75" s="887"/>
      <c r="J75" s="919"/>
      <c r="K75" s="919"/>
      <c r="L75" s="885">
        <v>30</v>
      </c>
      <c r="M75" s="919">
        <f>GETPIVOTDATA("Súčet z Zazmluvnená hodnota k 31.12.2017",$B$5,"Špecifický cieľ","4.2.1","Merná jednotka","počet","Kód ukazovateľa výstupu programu","O0032","Názov ukazovateľa výstupu programu","Počet podnikov s registrovaným EMAS a zavedeným systémom environmentálneho manažérstva")/L75</f>
        <v>0.26666666666666666</v>
      </c>
    </row>
    <row r="76" spans="2:13" hidden="1" x14ac:dyDescent="0.25">
      <c r="B76" s="873" t="s">
        <v>57</v>
      </c>
      <c r="C76" s="873" t="s">
        <v>157</v>
      </c>
      <c r="D76" s="873" t="s">
        <v>158</v>
      </c>
      <c r="E76" s="873" t="s">
        <v>464</v>
      </c>
      <c r="F76" s="891">
        <v>0</v>
      </c>
      <c r="G76" s="891">
        <v>0.66636239160200816</v>
      </c>
      <c r="H76" s="891">
        <v>4</v>
      </c>
      <c r="I76" s="887"/>
      <c r="J76" s="919"/>
      <c r="K76" s="919"/>
      <c r="L76" s="885">
        <v>30</v>
      </c>
      <c r="M76" s="919">
        <f>GETPIVOTDATA("Súčet z Zazmluvnená hodnota k 31.12.2017",$B$5,"Špecifický cieľ","4.2.1","Merná jednotka","počet","Kód ukazovateľa výstupu programu","O0031","Názov ukazovateľa výstupu programu","Počet zavedených systémov merania a riadenia")/L76</f>
        <v>0.13333333333333333</v>
      </c>
    </row>
    <row r="77" spans="2:13" hidden="1" x14ac:dyDescent="0.25">
      <c r="B77" s="873" t="s">
        <v>57</v>
      </c>
      <c r="C77" s="873" t="s">
        <v>161</v>
      </c>
      <c r="D77" s="873" t="s">
        <v>162</v>
      </c>
      <c r="E77" s="873" t="s">
        <v>521</v>
      </c>
      <c r="F77" s="891">
        <v>0</v>
      </c>
      <c r="G77" s="891">
        <v>8501.7845732542228</v>
      </c>
      <c r="H77" s="891">
        <v>51034</v>
      </c>
      <c r="I77" s="887"/>
      <c r="J77" s="919"/>
      <c r="K77" s="919"/>
      <c r="L77" s="885">
        <v>250000</v>
      </c>
      <c r="M77" s="919">
        <f>GETPIVOTDATA("Súčet z Zazmluvnená hodnota k 31.12.2017",$B$5,"Špecifický cieľ","4.2.1","Merná jednotka","MWh/rok","Kód ukazovateľa výstupu programu","O0184","Názov ukazovateľa výstupu programu","Predpokladaná úspora PEZ v podniku podľa energetického auditu")/L77</f>
        <v>0.20413600000000001</v>
      </c>
    </row>
    <row r="78" spans="2:13" hidden="1" x14ac:dyDescent="0.25">
      <c r="B78" s="873" t="s">
        <v>57</v>
      </c>
      <c r="C78" s="873" t="s">
        <v>163</v>
      </c>
      <c r="D78" s="873" t="s">
        <v>2132</v>
      </c>
      <c r="E78" s="873" t="s">
        <v>521</v>
      </c>
      <c r="F78" s="891">
        <v>0</v>
      </c>
      <c r="G78" s="891">
        <v>8501.7845732542228</v>
      </c>
      <c r="H78" s="891">
        <v>51034</v>
      </c>
      <c r="I78" s="887"/>
      <c r="J78" s="919"/>
      <c r="K78" s="919"/>
      <c r="L78" s="885">
        <v>250000</v>
      </c>
      <c r="M78" s="919">
        <f>GETPIVOTDATA("Súčet z Zazmluvnená hodnota k 31.12.2017",$B$5,"Špecifický cieľ","4.2.1","Merná jednotka","MWh/rok","Kód ukazovateľa výstupu programu","O0185","Názov ukazovateľa výstupu programu","Úspora PEZ v podniku ")/L78</f>
        <v>0.20413600000000001</v>
      </c>
    </row>
    <row r="79" spans="2:13" hidden="1" x14ac:dyDescent="0.25">
      <c r="B79" s="873" t="s">
        <v>57</v>
      </c>
      <c r="C79" s="873" t="s">
        <v>149</v>
      </c>
      <c r="D79" s="873" t="s">
        <v>150</v>
      </c>
      <c r="E79" s="873" t="s">
        <v>515</v>
      </c>
      <c r="F79" s="891">
        <v>0</v>
      </c>
      <c r="G79" s="891">
        <v>0.66636239160200816</v>
      </c>
      <c r="H79" s="891">
        <v>4</v>
      </c>
      <c r="I79" s="887"/>
      <c r="J79" s="919"/>
      <c r="K79" s="919"/>
      <c r="L79" s="885">
        <v>20</v>
      </c>
      <c r="M79" s="919">
        <f>GETPIVOTDATA("Súčet z Zazmluvnená hodnota k 31.12.2017",$B$5,"Špecifický cieľ","4.2.1","Merná jednotka","MWe","Kód ukazovateľa výstupu programu","O0188","Názov ukazovateľa výstupu programu","Zvýšená kapacita výroby elektriny z obnoviteľných zdrojov")/L79</f>
        <v>0.2</v>
      </c>
    </row>
    <row r="80" spans="2:13" hidden="1" x14ac:dyDescent="0.25">
      <c r="B80" s="873" t="s">
        <v>57</v>
      </c>
      <c r="C80" s="873" t="s">
        <v>143</v>
      </c>
      <c r="D80" s="873" t="s">
        <v>144</v>
      </c>
      <c r="E80" s="873" t="s">
        <v>491</v>
      </c>
      <c r="F80" s="891">
        <v>0</v>
      </c>
      <c r="G80" s="891">
        <v>1.6659059790050206</v>
      </c>
      <c r="H80" s="891">
        <v>10</v>
      </c>
      <c r="I80" s="887"/>
      <c r="J80" s="919"/>
      <c r="K80" s="919"/>
      <c r="L80" s="885">
        <v>47</v>
      </c>
      <c r="M80" s="919">
        <f>GETPIVOTDATA("Súčet z Zazmluvnená hodnota k 31.12.2017",$B$5,"Špecifický cieľ","4.2.1","Merná jednotka","MW","Kód ukazovateľa výstupu programu","CO30","Názov ukazovateľa výstupu programu","Zvýšená kapacita výroby energie z obnoviteľných zdrojov")/L80</f>
        <v>0.21276595744680851</v>
      </c>
    </row>
    <row r="81" spans="2:13" hidden="1" x14ac:dyDescent="0.25">
      <c r="B81" s="873" t="s">
        <v>57</v>
      </c>
      <c r="C81" s="873" t="s">
        <v>151</v>
      </c>
      <c r="D81" s="873" t="s">
        <v>152</v>
      </c>
      <c r="E81" s="873" t="s">
        <v>516</v>
      </c>
      <c r="F81" s="891">
        <v>0</v>
      </c>
      <c r="G81" s="891">
        <v>4</v>
      </c>
      <c r="H81" s="891">
        <v>0</v>
      </c>
      <c r="I81" s="887"/>
      <c r="J81" s="919"/>
      <c r="K81" s="919"/>
      <c r="L81" s="885">
        <v>27</v>
      </c>
      <c r="M81" s="919">
        <f>GETPIVOTDATA("Súčet z Zazmluvnená hodnota k 31.12.2017",$B$5,"Špecifický cieľ","4.2.1","Merná jednotka","MWt","Kód ukazovateľa výstupu programu","O0189","Názov ukazovateľa výstupu programu","Zvýšená kapacita výroby tepla z obnoviteľných zdrojov")/L81</f>
        <v>0</v>
      </c>
    </row>
    <row r="82" spans="2:13" hidden="1" x14ac:dyDescent="0.25">
      <c r="B82" s="873" t="s">
        <v>2183</v>
      </c>
      <c r="C82" s="873"/>
      <c r="D82" s="873"/>
      <c r="E82" s="873"/>
      <c r="F82" s="894">
        <v>0</v>
      </c>
      <c r="G82" s="894">
        <v>20191.115472387039</v>
      </c>
      <c r="H82" s="894">
        <v>121178</v>
      </c>
      <c r="I82" s="914"/>
      <c r="J82" s="915"/>
      <c r="K82" s="915"/>
      <c r="L82" s="914"/>
      <c r="M82" s="914"/>
    </row>
    <row r="83" spans="2:13" hidden="1" x14ac:dyDescent="0.25">
      <c r="B83" s="873" t="s">
        <v>58</v>
      </c>
      <c r="C83" s="873" t="s">
        <v>145</v>
      </c>
      <c r="D83" s="873" t="s">
        <v>146</v>
      </c>
      <c r="E83" s="873" t="s">
        <v>1105</v>
      </c>
      <c r="F83" s="891">
        <v>973.43690000000026</v>
      </c>
      <c r="G83" s="891">
        <v>12276.8189</v>
      </c>
      <c r="H83" s="891">
        <v>108603.19899999994</v>
      </c>
      <c r="I83" s="911"/>
      <c r="J83" s="910"/>
      <c r="K83" s="910"/>
      <c r="L83" s="885">
        <v>73500</v>
      </c>
      <c r="M83" s="919">
        <f>GETPIVOTDATA("Súčet z Zazmluvnená hodnota k 31.12.2017",$B$5,"Špecifický cieľ","4.3.1","Merná jednotka","t ekviv. CO2","Kód ukazovateľa výstupu programu","CO34","Názov ukazovateľa výstupu programu","Odhadované ročné zníženie emisií skleníkových plynov")/L83</f>
        <v>1.4775945442176861</v>
      </c>
    </row>
    <row r="84" spans="2:13" hidden="1" x14ac:dyDescent="0.25">
      <c r="B84" s="873" t="s">
        <v>58</v>
      </c>
      <c r="C84" s="873" t="s">
        <v>143</v>
      </c>
      <c r="D84" s="873" t="s">
        <v>144</v>
      </c>
      <c r="E84" s="873" t="s">
        <v>491</v>
      </c>
      <c r="F84" s="891">
        <v>1.7876999999999998</v>
      </c>
      <c r="G84" s="891">
        <v>141.19859999999994</v>
      </c>
      <c r="H84" s="891">
        <v>175.44729999999996</v>
      </c>
      <c r="I84" s="886"/>
      <c r="J84" s="919"/>
      <c r="K84" s="919"/>
      <c r="L84" s="885">
        <v>2</v>
      </c>
      <c r="M84" s="919">
        <f>GETPIVOTDATA("Súčet z Zazmluvnená hodnota k 31.12.2017",$B$5,"Špecifický cieľ","4.3.1","Merná jednotka","MW","Kód ukazovateľa výstupu programu","CO30","Názov ukazovateľa výstupu programu","Zvýšená kapacita výroby energie z obnoviteľných zdrojov")/L84</f>
        <v>87.723649999999978</v>
      </c>
    </row>
    <row r="85" spans="2:13" hidden="1" x14ac:dyDescent="0.25">
      <c r="B85" s="873" t="s">
        <v>58</v>
      </c>
      <c r="C85" s="873" t="s">
        <v>167</v>
      </c>
      <c r="D85" s="873" t="s">
        <v>168</v>
      </c>
      <c r="E85" s="873" t="s">
        <v>464</v>
      </c>
      <c r="F85" s="891">
        <v>26</v>
      </c>
      <c r="G85" s="891">
        <v>277</v>
      </c>
      <c r="H85" s="891">
        <v>322</v>
      </c>
      <c r="I85" s="886"/>
      <c r="J85" s="919"/>
      <c r="K85" s="919"/>
      <c r="L85" s="885">
        <v>550</v>
      </c>
      <c r="M85" s="919">
        <f>GETPIVOTDATA("Súčet z Zazmluvnená hodnota k 31.12.2017",$B$5,"Špecifický cieľ","4.3.1","Merná jednotka","počet","Kód ukazovateľa výstupu programu","O0180","Názov ukazovateľa výstupu programu","Počet verejných budov na úrovni nízkoenergetickej alebo ultranízkoenergetickej alebo s takmer nulovou potrebou energie")/L85</f>
        <v>0.58545454545454545</v>
      </c>
    </row>
    <row r="86" spans="2:13" x14ac:dyDescent="0.25">
      <c r="B86" s="896" t="s">
        <v>58</v>
      </c>
      <c r="C86" s="896" t="s">
        <v>169</v>
      </c>
      <c r="D86" s="896" t="s">
        <v>170</v>
      </c>
      <c r="E86" s="896" t="s">
        <v>2165</v>
      </c>
      <c r="F86" s="897">
        <v>33464.870000000003</v>
      </c>
      <c r="G86" s="897">
        <v>429689.78140000004</v>
      </c>
      <c r="H86" s="897">
        <v>508122.97139999998</v>
      </c>
      <c r="I86" s="529">
        <v>187200</v>
      </c>
      <c r="J86" s="921">
        <f>GETPIVOTDATA("Súčet z Skutočný stav k 31.12.2017",$B$5,"Špecifický cieľ","4.3.1","Merná jednotka",,"Kód ukazovateľa výstupu programu","O0183","Názov ukazovateľa výstupu programu","Podlahová plocha budov obnovených nad rámec minimálnych požiadaviek")/I86</f>
        <v>0.17876533119658122</v>
      </c>
      <c r="K86" s="921">
        <f>GETPIVOTDATA("Súčet z Očakávaný stav k 31.12.2018",$B$5,"Špecifický cieľ","4.3.1","Merná jednotka",,"Kód ukazovateľa výstupu programu","O0183","Názov ukazovateľa výstupu programu","Podlahová plocha budov obnovených nad rámec minimálnych požiadaviek")/I86</f>
        <v>2.2953513963675216</v>
      </c>
      <c r="L86" s="529">
        <v>1248000</v>
      </c>
      <c r="M86" s="921">
        <f>GETPIVOTDATA("Súčet z Zazmluvnená hodnota k 31.12.2017",$B$5,"Špecifický cieľ","4.3.1","Merná jednotka",,"Kód ukazovateľa výstupu programu","O0183","Názov ukazovateľa výstupu programu","Podlahová plocha budov obnovených nad rámec minimálnych požiadaviek")/L86</f>
        <v>0.40714981682692308</v>
      </c>
    </row>
    <row r="87" spans="2:13" hidden="1" x14ac:dyDescent="0.25">
      <c r="B87" s="873" t="s">
        <v>58</v>
      </c>
      <c r="C87" s="873" t="s">
        <v>165</v>
      </c>
      <c r="D87" s="873" t="s">
        <v>166</v>
      </c>
      <c r="E87" s="873" t="s">
        <v>2165</v>
      </c>
      <c r="F87" s="891">
        <v>51921.436999999998</v>
      </c>
      <c r="G87" s="891">
        <v>56671783.012999982</v>
      </c>
      <c r="H87" s="891">
        <v>81203302.442999989</v>
      </c>
      <c r="I87" s="917"/>
      <c r="J87" s="910"/>
      <c r="K87" s="910"/>
      <c r="L87" s="885">
        <v>278900000</v>
      </c>
      <c r="M87" s="919">
        <f>GETPIVOTDATA("Súčet z Zazmluvnená hodnota k 31.12.2017",$B$5,"Špecifický cieľ","4.3.1","Merná jednotka",,"Kód ukazovateľa výstupu programu","CO32","Názov ukazovateľa výstupu programu","Zníženie ročnej spotreby primárnej energie vo verejných budovách  ")/L87</f>
        <v>0.2911556200896378</v>
      </c>
    </row>
    <row r="88" spans="2:13" hidden="1" x14ac:dyDescent="0.25">
      <c r="B88" s="873" t="s">
        <v>58</v>
      </c>
      <c r="C88" s="873" t="s">
        <v>171</v>
      </c>
      <c r="D88" s="873" t="s">
        <v>2137</v>
      </c>
      <c r="E88" s="873" t="s">
        <v>2165</v>
      </c>
      <c r="F88" s="891">
        <v>52.237000000000002</v>
      </c>
      <c r="G88" s="891">
        <v>39365200.357000001</v>
      </c>
      <c r="H88" s="891">
        <v>53206003.8103</v>
      </c>
      <c r="I88" s="917"/>
      <c r="J88" s="910"/>
      <c r="K88" s="910"/>
      <c r="L88" s="885">
        <v>172000000</v>
      </c>
      <c r="M88" s="919">
        <f>GETPIVOTDATA("Súčet z Zazmluvnená hodnota k 31.12.2017",$B$5,"Špecifický cieľ","4.3.1","Merná jednotka",,"Kód ukazovateľa výstupu programu","O0187","Názov ukazovateľa výstupu programu","Zníženie konečnej spotreby energie vo verejných budovách  ")/L88</f>
        <v>0.30933723145523256</v>
      </c>
    </row>
    <row r="89" spans="2:13" hidden="1" x14ac:dyDescent="0.25">
      <c r="B89" s="873" t="s">
        <v>2184</v>
      </c>
      <c r="C89" s="873"/>
      <c r="D89" s="873"/>
      <c r="E89" s="873"/>
      <c r="F89" s="894">
        <v>86439.768599999996</v>
      </c>
      <c r="G89" s="894">
        <v>96479368.168899983</v>
      </c>
      <c r="H89" s="894">
        <v>135026529.87099999</v>
      </c>
      <c r="I89" s="914"/>
      <c r="J89" s="914"/>
      <c r="K89" s="914"/>
      <c r="L89" s="914"/>
      <c r="M89" s="914"/>
    </row>
    <row r="90" spans="2:13" hidden="1" x14ac:dyDescent="0.25">
      <c r="B90" s="873" t="s">
        <v>59</v>
      </c>
      <c r="C90" s="873" t="s">
        <v>84</v>
      </c>
      <c r="D90" s="873" t="s">
        <v>216</v>
      </c>
      <c r="E90" s="873" t="s">
        <v>464</v>
      </c>
      <c r="F90" s="891">
        <v>18</v>
      </c>
      <c r="G90" s="891">
        <v>0</v>
      </c>
      <c r="H90" s="891">
        <v>2500</v>
      </c>
      <c r="I90" s="911"/>
      <c r="J90" s="910"/>
      <c r="K90" s="910"/>
      <c r="L90" s="885">
        <v>2500</v>
      </c>
      <c r="M90" s="919">
        <f>GETPIVOTDATA("Súčet z Zazmluvnená hodnota k 31.12.2017",$B$5,"Špecifický cieľ","4.4.1","Merná jednotka","počet","Kód ukazovateľa výstupu programu","O0178","Názov ukazovateľa výstupu programu","Počet zrealizovaných informačných aktivít")/L90</f>
        <v>1</v>
      </c>
    </row>
    <row r="91" spans="2:13" hidden="1" x14ac:dyDescent="0.25">
      <c r="B91" s="873" t="s">
        <v>59</v>
      </c>
      <c r="C91" s="873" t="s">
        <v>155</v>
      </c>
      <c r="D91" s="873" t="s">
        <v>156</v>
      </c>
      <c r="E91" s="873" t="s">
        <v>464</v>
      </c>
      <c r="F91" s="891">
        <v>0</v>
      </c>
      <c r="G91" s="891">
        <v>0</v>
      </c>
      <c r="H91" s="891">
        <v>0</v>
      </c>
      <c r="I91" s="917"/>
      <c r="J91" s="910"/>
      <c r="K91" s="910"/>
      <c r="L91" s="888">
        <v>80</v>
      </c>
      <c r="M91" s="919">
        <f>GETPIVOTDATA("Súčet z Zazmluvnená hodnota k 31.12.2017",$B$5,"Špecifický cieľ","4.4.1","Merná jednotka","počet","Kód ukazovateľa výstupu programu","O0030","Názov ukazovateľa výstupu programu","Počet energetických auditov")/L91</f>
        <v>0</v>
      </c>
    </row>
    <row r="92" spans="2:13" hidden="1" x14ac:dyDescent="0.25">
      <c r="B92" s="873" t="s">
        <v>59</v>
      </c>
      <c r="C92" s="873" t="s">
        <v>179</v>
      </c>
      <c r="D92" s="873" t="s">
        <v>180</v>
      </c>
      <c r="E92" s="873" t="s">
        <v>464</v>
      </c>
      <c r="F92" s="891">
        <v>0</v>
      </c>
      <c r="G92" s="891">
        <v>0</v>
      </c>
      <c r="H92" s="891">
        <v>0</v>
      </c>
      <c r="I92" s="886"/>
      <c r="J92" s="919"/>
      <c r="K92" s="919"/>
      <c r="L92" s="888">
        <v>50</v>
      </c>
      <c r="M92" s="919">
        <f>GETPIVOTDATA("Súčet z Zazmluvnená hodnota k 31.12.2017",$B$5,"Špecifický cieľ","4.4.1","Merná jednotka","počet","Kód ukazovateľa výstupu programu","O0179","Názov ukazovateľa výstupu programu","Počet regionálnych a lokálnych nízkouhlíkových stratégií")/L92</f>
        <v>0</v>
      </c>
    </row>
    <row r="93" spans="2:13" hidden="1" x14ac:dyDescent="0.25">
      <c r="B93" s="873" t="s">
        <v>59</v>
      </c>
      <c r="C93" s="873" t="s">
        <v>177</v>
      </c>
      <c r="D93" s="873" t="s">
        <v>178</v>
      </c>
      <c r="E93" s="873" t="s">
        <v>464</v>
      </c>
      <c r="F93" s="891">
        <v>0</v>
      </c>
      <c r="G93" s="891">
        <v>0</v>
      </c>
      <c r="H93" s="891">
        <v>0</v>
      </c>
      <c r="I93" s="886"/>
      <c r="J93" s="919"/>
      <c r="K93" s="919"/>
      <c r="L93" s="888">
        <v>10</v>
      </c>
      <c r="M93" s="919">
        <f>GETPIVOTDATA("Súčet z Zazmluvnená hodnota k 31.12.2017",$B$5,"Špecifický cieľ","4.4.1","Merná jednotka","počet","Kód ukazovateľa výstupu programu","O0050","Názov ukazovateľa výstupu programu","Počet registrácií EMAS a zavedených systémov environmentálneho manažérstva")/L93</f>
        <v>0</v>
      </c>
    </row>
    <row r="94" spans="2:13" hidden="1" x14ac:dyDescent="0.25">
      <c r="B94" s="873" t="s">
        <v>59</v>
      </c>
      <c r="C94" s="873" t="s">
        <v>175</v>
      </c>
      <c r="D94" s="873" t="s">
        <v>176</v>
      </c>
      <c r="E94" s="873" t="s">
        <v>464</v>
      </c>
      <c r="F94" s="891">
        <v>0</v>
      </c>
      <c r="G94" s="891">
        <v>0</v>
      </c>
      <c r="H94" s="891">
        <v>0</v>
      </c>
      <c r="I94" s="886"/>
      <c r="J94" s="919"/>
      <c r="K94" s="919"/>
      <c r="L94" s="888">
        <v>80</v>
      </c>
      <c r="M94" s="919">
        <f>GETPIVOTDATA("Súčet z Zazmluvnená hodnota k 31.12.2017",$B$5,"Špecifický cieľ","4.4.1","Merná jednotka","počet","Kód ukazovateľa výstupu programu","O0036","Názov ukazovateľa výstupu programu","Počet zavedených systémov energetického manažérstva")/L94</f>
        <v>0</v>
      </c>
    </row>
    <row r="95" spans="2:13" hidden="1" x14ac:dyDescent="0.25">
      <c r="B95" s="873" t="s">
        <v>59</v>
      </c>
      <c r="C95" s="873" t="s">
        <v>173</v>
      </c>
      <c r="D95" s="873" t="s">
        <v>174</v>
      </c>
      <c r="E95" s="873" t="s">
        <v>464</v>
      </c>
      <c r="F95" s="891">
        <v>0</v>
      </c>
      <c r="G95" s="891">
        <v>0</v>
      </c>
      <c r="H95" s="891">
        <v>0</v>
      </c>
      <c r="I95" s="917"/>
      <c r="J95" s="910"/>
      <c r="K95" s="910"/>
      <c r="L95" s="888">
        <v>10</v>
      </c>
      <c r="M95" s="919">
        <f>GETPIVOTDATA("Súčet z Zazmluvnená hodnota k 31.12.2017",$B$5,"Špecifický cieľ","4.4.1","Merná jednotka","počet","Kód ukazovateľa výstupu programu","O0034","Názov ukazovateľa výstupu programu","Počet zavedených systémov kontinuálneho zvyšovania informovanosti")/L95</f>
        <v>0</v>
      </c>
    </row>
    <row r="96" spans="2:13" hidden="1" x14ac:dyDescent="0.25">
      <c r="B96" s="873" t="s">
        <v>2185</v>
      </c>
      <c r="C96" s="873"/>
      <c r="D96" s="873"/>
      <c r="E96" s="873"/>
      <c r="F96" s="894">
        <v>18</v>
      </c>
      <c r="G96" s="894">
        <v>0</v>
      </c>
      <c r="H96" s="894">
        <v>2500</v>
      </c>
      <c r="I96" s="914"/>
      <c r="J96" s="915"/>
      <c r="K96" s="915"/>
      <c r="L96" s="914"/>
      <c r="M96" s="914"/>
    </row>
    <row r="97" spans="2:13" hidden="1" x14ac:dyDescent="0.25">
      <c r="B97" s="873" t="s">
        <v>60</v>
      </c>
      <c r="C97" s="873" t="s">
        <v>145</v>
      </c>
      <c r="D97" s="873" t="s">
        <v>146</v>
      </c>
      <c r="E97" s="873" t="s">
        <v>2165</v>
      </c>
      <c r="F97" s="891">
        <v>0</v>
      </c>
      <c r="G97" s="891">
        <v>0</v>
      </c>
      <c r="H97" s="891">
        <v>2685.16</v>
      </c>
      <c r="I97" s="912"/>
      <c r="J97" s="910"/>
      <c r="K97" s="910"/>
      <c r="L97" s="885">
        <v>280000</v>
      </c>
      <c r="M97" s="919">
        <f>GETPIVOTDATA("Súčet z Zazmluvnená hodnota k 31.12.2017",$B$5,"Špecifický cieľ","4.5.1","Merná jednotka",,"Kód ukazovateľa výstupu programu","CO34","Názov ukazovateľa výstupu programu","Odhadované ročné zníženie emisií skleníkových plynov")/L97</f>
        <v>9.589857142857143E-3</v>
      </c>
    </row>
    <row r="98" spans="2:13" hidden="1" x14ac:dyDescent="0.25">
      <c r="B98" s="873" t="s">
        <v>60</v>
      </c>
      <c r="C98" s="873" t="s">
        <v>181</v>
      </c>
      <c r="D98" s="873" t="s">
        <v>182</v>
      </c>
      <c r="E98" s="873" t="s">
        <v>464</v>
      </c>
      <c r="F98" s="891">
        <v>0</v>
      </c>
      <c r="G98" s="891">
        <v>0</v>
      </c>
      <c r="H98" s="891">
        <v>4</v>
      </c>
      <c r="I98" s="886"/>
      <c r="J98" s="919"/>
      <c r="K98" s="919"/>
      <c r="L98" s="885">
        <v>25</v>
      </c>
      <c r="M98" s="919">
        <f>GETPIVOTDATA("Súčet z Zazmluvnená hodnota k 31.12.2017",$B$5,"Špecifický cieľ","4.5.1","Merná jednotka","počet","Kód ukazovateľa výstupu programu","O0037","Názov ukazovateľa výstupu programu","Počet systémov centralizovaného zásobovania teplom s vyššou účinnosťou")/L98</f>
        <v>0.16</v>
      </c>
    </row>
    <row r="99" spans="2:13" hidden="1" x14ac:dyDescent="0.25">
      <c r="B99" s="873" t="s">
        <v>60</v>
      </c>
      <c r="C99" s="873" t="s">
        <v>183</v>
      </c>
      <c r="D99" s="873" t="s">
        <v>184</v>
      </c>
      <c r="E99" s="873" t="s">
        <v>2165</v>
      </c>
      <c r="F99" s="891">
        <v>0</v>
      </c>
      <c r="G99" s="891">
        <v>0</v>
      </c>
      <c r="H99" s="891">
        <v>6565.5599999999995</v>
      </c>
      <c r="I99" s="886"/>
      <c r="J99" s="919"/>
      <c r="K99" s="919"/>
      <c r="L99" s="885">
        <v>1000000</v>
      </c>
      <c r="M99" s="919">
        <f>GETPIVOTDATA("Súčet z Zazmluvnená hodnota k 31.12.2017",$B$5,"Špecifický cieľ","4.5.1","Merná jednotka",,"Kód ukazovateľa výstupu programu","O0038","Názov ukazovateľa výstupu programu","Úspora PEZ v systémoch centralizovaného zásobovania teplom")/L99</f>
        <v>6.5655599999999998E-3</v>
      </c>
    </row>
    <row r="100" spans="2:13" hidden="1" x14ac:dyDescent="0.25">
      <c r="B100" s="873" t="s">
        <v>60</v>
      </c>
      <c r="C100" s="873" t="s">
        <v>185</v>
      </c>
      <c r="D100" s="873" t="s">
        <v>186</v>
      </c>
      <c r="E100" s="873" t="s">
        <v>2165</v>
      </c>
      <c r="F100" s="891">
        <v>0</v>
      </c>
      <c r="G100" s="891">
        <v>0</v>
      </c>
      <c r="H100" s="891">
        <v>0</v>
      </c>
      <c r="I100" s="917"/>
      <c r="J100" s="910"/>
      <c r="K100" s="910"/>
      <c r="L100" s="885">
        <v>400000</v>
      </c>
      <c r="M100" s="919">
        <f>GETPIVOTDATA("Súčet z Zazmluvnená hodnota k 31.12.2017",$B$5,"Špecifický cieľ","4.5.1","Merná jednotka",,"Kód ukazovateľa výstupu programu","O0039","Názov ukazovateľa výstupu programu","Množstvo tepla vyrobeného vysoko účinnou kombinovanou výrobou založenou na dopyte po využiteľnom teple")/L100</f>
        <v>0</v>
      </c>
    </row>
    <row r="101" spans="2:13" hidden="1" x14ac:dyDescent="0.25">
      <c r="B101" s="873" t="s">
        <v>60</v>
      </c>
      <c r="C101" s="873" t="s">
        <v>187</v>
      </c>
      <c r="D101" s="873" t="s">
        <v>188</v>
      </c>
      <c r="E101" s="873" t="s">
        <v>2165</v>
      </c>
      <c r="F101" s="891">
        <v>0</v>
      </c>
      <c r="G101" s="891">
        <v>0</v>
      </c>
      <c r="H101" s="891">
        <v>0</v>
      </c>
      <c r="I101" s="917"/>
      <c r="J101" s="910"/>
      <c r="K101" s="910"/>
      <c r="L101" s="885">
        <v>45</v>
      </c>
      <c r="M101" s="919">
        <f>GETPIVOTDATA("Súčet z Zazmluvnená hodnota k 31.12.2017",$B$5,"Špecifický cieľ","4.5.1","Merná jednotka",,"Kód ukazovateľa výstupu programu","O0040","Názov ukazovateľa výstupu programu","Zvýšenie inštalovaného výkonu zariadení na výrobu elektriny a tepla vysoko účinnou kombinovanou výrobou založenou na dopyte po využiteľnom teple")/L101</f>
        <v>0</v>
      </c>
    </row>
    <row r="102" spans="2:13" hidden="1" x14ac:dyDescent="0.25">
      <c r="B102" s="873" t="s">
        <v>2186</v>
      </c>
      <c r="C102" s="873"/>
      <c r="D102" s="873"/>
      <c r="E102" s="873"/>
      <c r="F102" s="894">
        <v>0</v>
      </c>
      <c r="G102" s="894">
        <v>0</v>
      </c>
      <c r="H102" s="894">
        <v>9254.7199999999993</v>
      </c>
      <c r="I102" s="914"/>
      <c r="J102" s="914"/>
      <c r="K102" s="914"/>
      <c r="L102" s="914"/>
      <c r="M102" s="914"/>
    </row>
    <row r="103" spans="2:13" hidden="1" x14ac:dyDescent="0.25">
      <c r="B103" s="873" t="s">
        <v>75</v>
      </c>
      <c r="C103" s="873" t="s">
        <v>84</v>
      </c>
      <c r="D103" s="873" t="s">
        <v>216</v>
      </c>
      <c r="E103" s="873" t="s">
        <v>464</v>
      </c>
      <c r="F103" s="891"/>
      <c r="G103" s="891"/>
      <c r="H103" s="891"/>
      <c r="I103" s="911"/>
      <c r="J103" s="910"/>
      <c r="K103" s="910"/>
      <c r="L103" s="911"/>
      <c r="M103" s="916"/>
    </row>
    <row r="104" spans="2:13" hidden="1" x14ac:dyDescent="0.25">
      <c r="B104" t="s">
        <v>2187</v>
      </c>
      <c r="F104" s="903"/>
      <c r="G104" s="903"/>
      <c r="H104" s="903"/>
      <c r="I104" s="918"/>
      <c r="J104" s="910"/>
      <c r="K104" s="910"/>
      <c r="L104" s="909"/>
      <c r="M104" s="916"/>
    </row>
    <row r="105" spans="2:13" hidden="1" x14ac:dyDescent="0.25">
      <c r="B105" t="s">
        <v>2164</v>
      </c>
      <c r="F105" s="860">
        <v>837778.61839999992</v>
      </c>
      <c r="G105" s="860">
        <v>96955691.107021809</v>
      </c>
      <c r="H105" s="860">
        <v>136720503.17999998</v>
      </c>
      <c r="I105" s="918"/>
      <c r="J105" s="910"/>
      <c r="K105" s="910"/>
      <c r="L105" s="909"/>
      <c r="M105" s="916"/>
    </row>
    <row r="106" spans="2:13" x14ac:dyDescent="0.25">
      <c r="B106" s="867"/>
      <c r="C106" s="860"/>
      <c r="D106" s="868"/>
      <c r="E106" s="868"/>
    </row>
    <row r="107" spans="2:13" x14ac:dyDescent="0.25">
      <c r="B107" s="866"/>
      <c r="C107" s="860"/>
      <c r="D107" s="868"/>
      <c r="E107" s="868"/>
    </row>
    <row r="108" spans="2:13" x14ac:dyDescent="0.25">
      <c r="B108" s="867"/>
      <c r="C108" s="860"/>
      <c r="D108" s="868"/>
      <c r="E108" s="868"/>
    </row>
    <row r="109" spans="2:13" x14ac:dyDescent="0.25">
      <c r="B109" s="866"/>
      <c r="C109" s="860"/>
      <c r="D109" s="868"/>
      <c r="E109" s="868"/>
    </row>
    <row r="110" spans="2:13" x14ac:dyDescent="0.25">
      <c r="B110" s="867"/>
      <c r="C110" s="860"/>
      <c r="D110" s="868"/>
      <c r="E110" s="868"/>
    </row>
    <row r="111" spans="2:13" x14ac:dyDescent="0.25">
      <c r="B111" s="865"/>
      <c r="C111" s="860"/>
      <c r="D111" s="868"/>
      <c r="E111" s="868"/>
    </row>
    <row r="112" spans="2:13" x14ac:dyDescent="0.25">
      <c r="B112" s="866"/>
      <c r="C112" s="860"/>
      <c r="D112" s="868"/>
      <c r="E112" s="868"/>
    </row>
    <row r="113" spans="2:5" x14ac:dyDescent="0.25">
      <c r="B113" s="867"/>
      <c r="C113" s="860"/>
      <c r="D113" s="868"/>
      <c r="E113" s="868"/>
    </row>
    <row r="114" spans="2:5" x14ac:dyDescent="0.25">
      <c r="B114" s="866"/>
      <c r="C114" s="860"/>
      <c r="D114" s="868"/>
      <c r="E114" s="868"/>
    </row>
    <row r="115" spans="2:5" x14ac:dyDescent="0.25">
      <c r="B115" s="867"/>
      <c r="C115" s="860"/>
      <c r="D115" s="868"/>
      <c r="E115" s="868"/>
    </row>
    <row r="116" spans="2:5" x14ac:dyDescent="0.25">
      <c r="B116" s="866"/>
      <c r="C116" s="860"/>
      <c r="D116" s="868"/>
      <c r="E116" s="868"/>
    </row>
    <row r="117" spans="2:5" x14ac:dyDescent="0.25">
      <c r="B117" s="867"/>
      <c r="C117" s="860"/>
      <c r="D117" s="868"/>
      <c r="E117" s="868"/>
    </row>
    <row r="118" spans="2:5" x14ac:dyDescent="0.25">
      <c r="B118" s="866"/>
      <c r="C118" s="860"/>
      <c r="D118" s="868"/>
      <c r="E118" s="868"/>
    </row>
    <row r="119" spans="2:5" x14ac:dyDescent="0.25">
      <c r="B119" s="867"/>
      <c r="C119" s="860"/>
      <c r="D119" s="868"/>
      <c r="E119" s="868"/>
    </row>
    <row r="120" spans="2:5" x14ac:dyDescent="0.25">
      <c r="B120" s="866"/>
      <c r="C120" s="860"/>
      <c r="D120" s="868"/>
      <c r="E120" s="868"/>
    </row>
    <row r="121" spans="2:5" x14ac:dyDescent="0.25">
      <c r="B121" s="867"/>
      <c r="C121" s="860"/>
      <c r="D121" s="868"/>
      <c r="E121" s="868"/>
    </row>
    <row r="122" spans="2:5" x14ac:dyDescent="0.25">
      <c r="B122" s="866"/>
      <c r="C122" s="860"/>
      <c r="D122" s="868"/>
      <c r="E122" s="868"/>
    </row>
    <row r="123" spans="2:5" x14ac:dyDescent="0.25">
      <c r="B123" s="867"/>
      <c r="C123" s="860"/>
      <c r="D123" s="868"/>
      <c r="E123" s="868"/>
    </row>
    <row r="124" spans="2:5" x14ac:dyDescent="0.25">
      <c r="B124" s="865"/>
      <c r="C124" s="860"/>
      <c r="D124" s="868"/>
      <c r="E124" s="868"/>
    </row>
    <row r="125" spans="2:5" x14ac:dyDescent="0.25">
      <c r="B125" s="866"/>
      <c r="C125" s="860"/>
      <c r="D125" s="868"/>
      <c r="E125" s="868"/>
    </row>
    <row r="126" spans="2:5" x14ac:dyDescent="0.25">
      <c r="B126" s="867"/>
      <c r="C126" s="860"/>
      <c r="D126" s="868"/>
      <c r="E126" s="868"/>
    </row>
    <row r="127" spans="2:5" x14ac:dyDescent="0.25">
      <c r="B127" s="866"/>
      <c r="C127" s="860"/>
      <c r="D127" s="868"/>
      <c r="E127" s="868"/>
    </row>
    <row r="128" spans="2:5" x14ac:dyDescent="0.25">
      <c r="B128" s="867"/>
      <c r="C128" s="860"/>
      <c r="D128" s="868"/>
      <c r="E128" s="868"/>
    </row>
    <row r="129" spans="2:5" x14ac:dyDescent="0.25">
      <c r="B129" s="866"/>
      <c r="C129" s="860"/>
      <c r="D129" s="868"/>
      <c r="E129" s="868"/>
    </row>
    <row r="130" spans="2:5" x14ac:dyDescent="0.25">
      <c r="B130" s="867"/>
      <c r="C130" s="860"/>
      <c r="D130" s="868"/>
      <c r="E130" s="868"/>
    </row>
    <row r="131" spans="2:5" x14ac:dyDescent="0.25">
      <c r="B131" s="866"/>
      <c r="C131" s="860"/>
      <c r="D131" s="868"/>
      <c r="E131" s="868"/>
    </row>
    <row r="132" spans="2:5" x14ac:dyDescent="0.25">
      <c r="B132" s="867"/>
      <c r="C132" s="860"/>
      <c r="D132" s="868"/>
      <c r="E132" s="868"/>
    </row>
    <row r="133" spans="2:5" x14ac:dyDescent="0.25">
      <c r="B133" s="866"/>
      <c r="C133" s="860"/>
      <c r="D133" s="868"/>
      <c r="E133" s="868"/>
    </row>
    <row r="134" spans="2:5" x14ac:dyDescent="0.25">
      <c r="B134" s="867"/>
      <c r="C134" s="860"/>
      <c r="D134" s="868"/>
      <c r="E134" s="868"/>
    </row>
    <row r="135" spans="2:5" x14ac:dyDescent="0.25">
      <c r="B135" s="865"/>
      <c r="C135" s="860"/>
      <c r="D135" s="868"/>
      <c r="E135" s="868"/>
    </row>
    <row r="136" spans="2:5" x14ac:dyDescent="0.25">
      <c r="B136" s="866"/>
      <c r="C136" s="860"/>
      <c r="D136" s="868"/>
      <c r="E136" s="868"/>
    </row>
    <row r="137" spans="2:5" x14ac:dyDescent="0.25">
      <c r="B137" s="867"/>
      <c r="C137" s="860"/>
      <c r="D137" s="868"/>
      <c r="E137" s="868"/>
    </row>
    <row r="138" spans="2:5" x14ac:dyDescent="0.25">
      <c r="B138" s="866"/>
      <c r="C138" s="860"/>
      <c r="D138" s="868"/>
      <c r="E138" s="868"/>
    </row>
    <row r="139" spans="2:5" x14ac:dyDescent="0.25">
      <c r="B139" s="867"/>
      <c r="C139" s="860"/>
      <c r="D139" s="868"/>
      <c r="E139" s="868"/>
    </row>
    <row r="140" spans="2:5" x14ac:dyDescent="0.25">
      <c r="B140" s="866"/>
      <c r="C140" s="860"/>
      <c r="D140" s="868"/>
      <c r="E140" s="868"/>
    </row>
    <row r="141" spans="2:5" x14ac:dyDescent="0.25">
      <c r="B141" s="867"/>
      <c r="C141" s="860"/>
      <c r="D141" s="868"/>
      <c r="E141" s="868"/>
    </row>
    <row r="142" spans="2:5" x14ac:dyDescent="0.25">
      <c r="B142" s="866"/>
      <c r="C142" s="860"/>
      <c r="D142" s="868"/>
      <c r="E142" s="868"/>
    </row>
    <row r="143" spans="2:5" x14ac:dyDescent="0.25">
      <c r="B143" s="867"/>
      <c r="C143" s="860"/>
      <c r="D143" s="868"/>
      <c r="E143" s="868"/>
    </row>
    <row r="144" spans="2:5" x14ac:dyDescent="0.25">
      <c r="B144" s="866"/>
      <c r="C144" s="860"/>
      <c r="D144" s="868"/>
      <c r="E144" s="868"/>
    </row>
    <row r="145" spans="2:5" x14ac:dyDescent="0.25">
      <c r="B145" s="867"/>
      <c r="C145" s="860"/>
      <c r="D145" s="868"/>
      <c r="E145" s="868"/>
    </row>
    <row r="146" spans="2:5" x14ac:dyDescent="0.25">
      <c r="B146" s="866"/>
      <c r="C146" s="860"/>
      <c r="D146" s="868"/>
      <c r="E146" s="868"/>
    </row>
    <row r="147" spans="2:5" x14ac:dyDescent="0.25">
      <c r="B147" s="867"/>
      <c r="C147" s="860"/>
      <c r="D147" s="868"/>
      <c r="E147" s="868"/>
    </row>
    <row r="148" spans="2:5" x14ac:dyDescent="0.25">
      <c r="B148" s="865"/>
      <c r="C148" s="860"/>
      <c r="D148" s="868"/>
      <c r="E148" s="868"/>
    </row>
    <row r="149" spans="2:5" x14ac:dyDescent="0.25">
      <c r="B149" s="866"/>
      <c r="C149" s="860"/>
      <c r="D149" s="868"/>
      <c r="E149" s="868"/>
    </row>
    <row r="150" spans="2:5" x14ac:dyDescent="0.25">
      <c r="B150" s="867"/>
      <c r="C150" s="860"/>
      <c r="D150" s="868"/>
      <c r="E150" s="868"/>
    </row>
    <row r="151" spans="2:5" x14ac:dyDescent="0.25">
      <c r="B151" s="866"/>
      <c r="C151" s="860"/>
      <c r="D151" s="868"/>
      <c r="E151" s="868"/>
    </row>
    <row r="152" spans="2:5" x14ac:dyDescent="0.25">
      <c r="B152" s="867"/>
      <c r="C152" s="860"/>
      <c r="D152" s="868"/>
      <c r="E152" s="868"/>
    </row>
    <row r="153" spans="2:5" x14ac:dyDescent="0.25">
      <c r="B153" s="865"/>
      <c r="C153" s="860"/>
      <c r="D153" s="868"/>
      <c r="E153" s="868"/>
    </row>
    <row r="154" spans="2:5" x14ac:dyDescent="0.25">
      <c r="B154" s="866"/>
      <c r="C154" s="860"/>
      <c r="D154" s="868"/>
      <c r="E154" s="868"/>
    </row>
    <row r="155" spans="2:5" x14ac:dyDescent="0.25">
      <c r="B155" s="867"/>
      <c r="C155" s="860"/>
      <c r="D155" s="868"/>
      <c r="E155" s="868"/>
    </row>
    <row r="156" spans="2:5" x14ac:dyDescent="0.25">
      <c r="B156" s="866"/>
      <c r="C156" s="860"/>
      <c r="D156" s="868"/>
      <c r="E156" s="868"/>
    </row>
    <row r="157" spans="2:5" x14ac:dyDescent="0.25">
      <c r="B157" s="867"/>
      <c r="C157" s="860"/>
      <c r="D157" s="868"/>
      <c r="E157" s="868"/>
    </row>
    <row r="158" spans="2:5" x14ac:dyDescent="0.25">
      <c r="B158" s="866"/>
      <c r="C158" s="860"/>
      <c r="D158" s="868"/>
      <c r="E158" s="868"/>
    </row>
    <row r="159" spans="2:5" x14ac:dyDescent="0.25">
      <c r="B159" s="867"/>
      <c r="C159" s="860"/>
      <c r="D159" s="868"/>
      <c r="E159" s="868"/>
    </row>
    <row r="160" spans="2:5" x14ac:dyDescent="0.25">
      <c r="B160" s="865"/>
      <c r="C160" s="860"/>
      <c r="D160" s="868"/>
      <c r="E160" s="868"/>
    </row>
    <row r="161" spans="2:5" x14ac:dyDescent="0.25">
      <c r="B161" s="866"/>
      <c r="C161" s="860"/>
      <c r="D161" s="868"/>
      <c r="E161" s="868"/>
    </row>
    <row r="162" spans="2:5" x14ac:dyDescent="0.25">
      <c r="B162" s="867"/>
      <c r="C162" s="860"/>
      <c r="D162" s="868"/>
      <c r="E162" s="868"/>
    </row>
    <row r="163" spans="2:5" x14ac:dyDescent="0.25">
      <c r="B163" s="866"/>
      <c r="C163" s="860"/>
      <c r="D163" s="868"/>
      <c r="E163" s="868"/>
    </row>
    <row r="164" spans="2:5" x14ac:dyDescent="0.25">
      <c r="B164" s="867"/>
      <c r="C164" s="860"/>
      <c r="D164" s="868"/>
      <c r="E164" s="868"/>
    </row>
    <row r="165" spans="2:5" x14ac:dyDescent="0.25">
      <c r="B165" s="866"/>
      <c r="C165" s="860"/>
      <c r="D165" s="868"/>
      <c r="E165" s="868"/>
    </row>
    <row r="166" spans="2:5" x14ac:dyDescent="0.25">
      <c r="B166" s="867"/>
      <c r="C166" s="860"/>
      <c r="D166" s="868"/>
      <c r="E166" s="868"/>
    </row>
    <row r="167" spans="2:5" x14ac:dyDescent="0.25">
      <c r="B167" s="866"/>
      <c r="C167" s="860"/>
      <c r="D167" s="868"/>
      <c r="E167" s="868"/>
    </row>
    <row r="168" spans="2:5" x14ac:dyDescent="0.25">
      <c r="B168" s="867"/>
      <c r="C168" s="860"/>
      <c r="D168" s="868"/>
      <c r="E168" s="868"/>
    </row>
    <row r="169" spans="2:5" x14ac:dyDescent="0.25">
      <c r="B169" s="865"/>
      <c r="C169" s="860"/>
      <c r="D169" s="868"/>
      <c r="E169" s="868"/>
    </row>
    <row r="170" spans="2:5" x14ac:dyDescent="0.25">
      <c r="B170" s="866"/>
      <c r="C170" s="860"/>
      <c r="D170" s="868"/>
      <c r="E170" s="868"/>
    </row>
    <row r="171" spans="2:5" x14ac:dyDescent="0.25">
      <c r="B171" s="867"/>
      <c r="C171" s="860"/>
      <c r="D171" s="868"/>
      <c r="E171" s="868"/>
    </row>
    <row r="172" spans="2:5" x14ac:dyDescent="0.25">
      <c r="B172" s="866"/>
      <c r="C172" s="860"/>
      <c r="D172" s="868"/>
      <c r="E172" s="868"/>
    </row>
    <row r="173" spans="2:5" x14ac:dyDescent="0.25">
      <c r="B173" s="867"/>
      <c r="C173" s="860"/>
      <c r="D173" s="868"/>
      <c r="E173" s="868"/>
    </row>
    <row r="174" spans="2:5" x14ac:dyDescent="0.25">
      <c r="B174" s="866"/>
      <c r="C174" s="860"/>
      <c r="D174" s="868"/>
      <c r="E174" s="868"/>
    </row>
    <row r="175" spans="2:5" x14ac:dyDescent="0.25">
      <c r="B175" s="867"/>
      <c r="C175" s="860"/>
      <c r="D175" s="868"/>
      <c r="E175" s="868"/>
    </row>
    <row r="176" spans="2:5" x14ac:dyDescent="0.25">
      <c r="B176" s="866"/>
      <c r="C176" s="860"/>
      <c r="D176" s="868"/>
      <c r="E176" s="868"/>
    </row>
    <row r="177" spans="2:5" x14ac:dyDescent="0.25">
      <c r="B177" s="867"/>
      <c r="C177" s="860"/>
      <c r="D177" s="868"/>
      <c r="E177" s="868"/>
    </row>
    <row r="178" spans="2:5" x14ac:dyDescent="0.25">
      <c r="B178" s="865"/>
      <c r="C178" s="860"/>
      <c r="D178" s="868"/>
      <c r="E178" s="868"/>
    </row>
    <row r="179" spans="2:5" x14ac:dyDescent="0.25">
      <c r="B179" s="866"/>
      <c r="C179" s="860"/>
      <c r="D179" s="868"/>
      <c r="E179" s="868"/>
    </row>
    <row r="180" spans="2:5" x14ac:dyDescent="0.25">
      <c r="B180" s="867"/>
      <c r="C180" s="860"/>
      <c r="D180" s="868"/>
      <c r="E180" s="868"/>
    </row>
    <row r="181" spans="2:5" x14ac:dyDescent="0.25">
      <c r="B181" s="866"/>
      <c r="C181" s="860"/>
      <c r="D181" s="868"/>
      <c r="E181" s="868"/>
    </row>
    <row r="182" spans="2:5" x14ac:dyDescent="0.25">
      <c r="B182" s="867"/>
      <c r="C182" s="860"/>
      <c r="D182" s="868"/>
      <c r="E182" s="868"/>
    </row>
    <row r="183" spans="2:5" x14ac:dyDescent="0.25">
      <c r="B183" s="866"/>
      <c r="C183" s="860"/>
      <c r="D183" s="868"/>
      <c r="E183" s="868"/>
    </row>
    <row r="184" spans="2:5" x14ac:dyDescent="0.25">
      <c r="B184" s="867"/>
      <c r="C184" s="860"/>
      <c r="D184" s="868"/>
      <c r="E184" s="868"/>
    </row>
    <row r="185" spans="2:5" x14ac:dyDescent="0.25">
      <c r="B185" s="866"/>
      <c r="C185" s="860"/>
      <c r="D185" s="868"/>
      <c r="E185" s="868"/>
    </row>
    <row r="186" spans="2:5" x14ac:dyDescent="0.25">
      <c r="B186" s="867"/>
      <c r="C186" s="860"/>
      <c r="D186" s="868"/>
      <c r="E186" s="868"/>
    </row>
    <row r="187" spans="2:5" x14ac:dyDescent="0.25">
      <c r="B187" s="866"/>
      <c r="C187" s="860"/>
      <c r="D187" s="868"/>
      <c r="E187" s="868"/>
    </row>
    <row r="188" spans="2:5" x14ac:dyDescent="0.25">
      <c r="B188" s="867"/>
      <c r="C188" s="860"/>
      <c r="D188" s="868"/>
      <c r="E188" s="868"/>
    </row>
    <row r="189" spans="2:5" x14ac:dyDescent="0.25">
      <c r="B189" s="866"/>
      <c r="C189" s="860"/>
      <c r="D189" s="868"/>
      <c r="E189" s="868"/>
    </row>
    <row r="190" spans="2:5" x14ac:dyDescent="0.25">
      <c r="B190" s="867"/>
      <c r="C190" s="860"/>
      <c r="D190" s="868"/>
      <c r="E190" s="868"/>
    </row>
    <row r="191" spans="2:5" x14ac:dyDescent="0.25">
      <c r="B191" s="866"/>
      <c r="C191" s="860"/>
      <c r="D191" s="868"/>
      <c r="E191" s="868"/>
    </row>
    <row r="192" spans="2:5" x14ac:dyDescent="0.25">
      <c r="B192" s="867"/>
      <c r="C192" s="860"/>
      <c r="D192" s="868"/>
      <c r="E192" s="868"/>
    </row>
    <row r="193" spans="2:5" x14ac:dyDescent="0.25">
      <c r="B193" s="865"/>
      <c r="C193" s="860"/>
      <c r="D193" s="868"/>
      <c r="E193" s="868"/>
    </row>
    <row r="194" spans="2:5" x14ac:dyDescent="0.25">
      <c r="B194" s="866"/>
      <c r="C194" s="860"/>
      <c r="D194" s="868"/>
      <c r="E194" s="868"/>
    </row>
    <row r="195" spans="2:5" x14ac:dyDescent="0.25">
      <c r="B195" s="867"/>
      <c r="C195" s="860"/>
      <c r="D195" s="868"/>
      <c r="E195" s="868"/>
    </row>
    <row r="196" spans="2:5" x14ac:dyDescent="0.25">
      <c r="B196" s="866"/>
      <c r="C196" s="860"/>
      <c r="D196" s="868"/>
      <c r="E196" s="868"/>
    </row>
    <row r="197" spans="2:5" x14ac:dyDescent="0.25">
      <c r="B197" s="867"/>
      <c r="C197" s="860"/>
      <c r="D197" s="868"/>
      <c r="E197" s="868"/>
    </row>
    <row r="198" spans="2:5" x14ac:dyDescent="0.25">
      <c r="B198" s="866"/>
      <c r="C198" s="860"/>
      <c r="D198" s="868"/>
      <c r="E198" s="868"/>
    </row>
    <row r="199" spans="2:5" x14ac:dyDescent="0.25">
      <c r="B199" s="867"/>
      <c r="C199" s="860"/>
      <c r="D199" s="868"/>
      <c r="E199" s="868"/>
    </row>
    <row r="200" spans="2:5" x14ac:dyDescent="0.25">
      <c r="B200" s="866"/>
      <c r="C200" s="860"/>
      <c r="D200" s="868"/>
      <c r="E200" s="868"/>
    </row>
    <row r="201" spans="2:5" x14ac:dyDescent="0.25">
      <c r="B201" s="867"/>
      <c r="C201" s="860"/>
      <c r="D201" s="868"/>
      <c r="E201" s="868"/>
    </row>
    <row r="202" spans="2:5" x14ac:dyDescent="0.25">
      <c r="B202" s="866"/>
      <c r="C202" s="860"/>
      <c r="D202" s="868"/>
      <c r="E202" s="868"/>
    </row>
    <row r="203" spans="2:5" x14ac:dyDescent="0.25">
      <c r="B203" s="867"/>
      <c r="C203" s="860"/>
      <c r="D203" s="868"/>
      <c r="E203" s="868"/>
    </row>
    <row r="204" spans="2:5" x14ac:dyDescent="0.25">
      <c r="B204" s="865"/>
      <c r="C204" s="860"/>
      <c r="D204" s="868"/>
      <c r="E204" s="868"/>
    </row>
    <row r="205" spans="2:5" x14ac:dyDescent="0.25">
      <c r="B205" s="866"/>
      <c r="C205" s="860"/>
      <c r="D205" s="868"/>
      <c r="E205" s="868"/>
    </row>
    <row r="206" spans="2:5" x14ac:dyDescent="0.25">
      <c r="B206" s="867"/>
      <c r="C206" s="860"/>
      <c r="D206" s="868"/>
      <c r="E206" s="868"/>
    </row>
    <row r="207" spans="2:5" x14ac:dyDescent="0.25">
      <c r="B207" s="866"/>
      <c r="C207" s="860"/>
      <c r="D207" s="868"/>
      <c r="E207" s="868"/>
    </row>
    <row r="208" spans="2:5" x14ac:dyDescent="0.25">
      <c r="B208" s="867"/>
      <c r="C208" s="860"/>
      <c r="D208" s="868"/>
      <c r="E208" s="868"/>
    </row>
    <row r="209" spans="2:5" x14ac:dyDescent="0.25">
      <c r="B209" s="866"/>
      <c r="C209" s="860"/>
      <c r="D209" s="868"/>
      <c r="E209" s="868"/>
    </row>
    <row r="210" spans="2:5" x14ac:dyDescent="0.25">
      <c r="B210" s="867"/>
      <c r="C210" s="860"/>
      <c r="D210" s="868"/>
      <c r="E210" s="868"/>
    </row>
    <row r="211" spans="2:5" x14ac:dyDescent="0.25">
      <c r="B211" s="866"/>
      <c r="C211" s="860"/>
      <c r="D211" s="868"/>
      <c r="E211" s="868"/>
    </row>
    <row r="212" spans="2:5" x14ac:dyDescent="0.25">
      <c r="B212" s="867"/>
      <c r="C212" s="860"/>
      <c r="D212" s="868"/>
      <c r="E212" s="868"/>
    </row>
    <row r="213" spans="2:5" x14ac:dyDescent="0.25">
      <c r="B213" s="866"/>
      <c r="C213" s="860"/>
      <c r="D213" s="868"/>
      <c r="E213" s="868"/>
    </row>
    <row r="214" spans="2:5" x14ac:dyDescent="0.25">
      <c r="B214" s="867"/>
      <c r="C214" s="860"/>
      <c r="D214" s="868"/>
      <c r="E214" s="868"/>
    </row>
    <row r="215" spans="2:5" x14ac:dyDescent="0.25">
      <c r="B215" s="866"/>
      <c r="C215" s="860"/>
      <c r="D215" s="868"/>
      <c r="E215" s="868"/>
    </row>
    <row r="216" spans="2:5" x14ac:dyDescent="0.25">
      <c r="B216" s="867"/>
      <c r="C216" s="860"/>
      <c r="D216" s="868"/>
      <c r="E216" s="868"/>
    </row>
    <row r="217" spans="2:5" x14ac:dyDescent="0.25">
      <c r="B217" s="866"/>
      <c r="C217" s="860"/>
      <c r="D217" s="868"/>
      <c r="E217" s="868"/>
    </row>
    <row r="218" spans="2:5" x14ac:dyDescent="0.25">
      <c r="B218" s="867"/>
      <c r="C218" s="860"/>
      <c r="D218" s="868"/>
      <c r="E218" s="868"/>
    </row>
    <row r="219" spans="2:5" x14ac:dyDescent="0.25">
      <c r="B219" s="866"/>
      <c r="C219" s="860"/>
      <c r="D219" s="868"/>
      <c r="E219" s="868"/>
    </row>
    <row r="220" spans="2:5" x14ac:dyDescent="0.25">
      <c r="B220" s="867"/>
      <c r="C220" s="860"/>
      <c r="D220" s="868"/>
      <c r="E220" s="868"/>
    </row>
    <row r="221" spans="2:5" x14ac:dyDescent="0.25">
      <c r="B221" s="866"/>
      <c r="C221" s="860"/>
      <c r="D221" s="868"/>
      <c r="E221" s="868"/>
    </row>
    <row r="222" spans="2:5" x14ac:dyDescent="0.25">
      <c r="B222" s="867"/>
      <c r="C222" s="860"/>
      <c r="D222" s="868"/>
      <c r="E222" s="868"/>
    </row>
    <row r="223" spans="2:5" x14ac:dyDescent="0.25">
      <c r="B223" s="866"/>
      <c r="C223" s="860"/>
      <c r="D223" s="868"/>
      <c r="E223" s="868"/>
    </row>
    <row r="224" spans="2:5" x14ac:dyDescent="0.25">
      <c r="B224" s="867"/>
      <c r="C224" s="860"/>
      <c r="D224" s="868"/>
      <c r="E224" s="868"/>
    </row>
    <row r="225" spans="2:5" x14ac:dyDescent="0.25">
      <c r="B225" s="866"/>
      <c r="C225" s="860"/>
      <c r="D225" s="868"/>
      <c r="E225" s="868"/>
    </row>
    <row r="226" spans="2:5" x14ac:dyDescent="0.25">
      <c r="B226" s="867"/>
      <c r="C226" s="860"/>
      <c r="D226" s="868"/>
      <c r="E226" s="868"/>
    </row>
    <row r="227" spans="2:5" x14ac:dyDescent="0.25">
      <c r="B227" s="866"/>
      <c r="C227" s="860"/>
      <c r="D227" s="868"/>
      <c r="E227" s="868"/>
    </row>
    <row r="228" spans="2:5" x14ac:dyDescent="0.25">
      <c r="B228" s="867"/>
      <c r="C228" s="860"/>
      <c r="D228" s="868"/>
      <c r="E228" s="868"/>
    </row>
    <row r="229" spans="2:5" x14ac:dyDescent="0.25">
      <c r="B229" s="865"/>
      <c r="C229" s="860"/>
      <c r="D229" s="868"/>
      <c r="E229" s="868"/>
    </row>
    <row r="230" spans="2:5" x14ac:dyDescent="0.25">
      <c r="B230" s="866"/>
      <c r="C230" s="860"/>
      <c r="D230" s="868"/>
      <c r="E230" s="868"/>
    </row>
    <row r="231" spans="2:5" x14ac:dyDescent="0.25">
      <c r="B231" s="867"/>
      <c r="C231" s="860"/>
      <c r="D231" s="868"/>
      <c r="E231" s="868"/>
    </row>
    <row r="232" spans="2:5" x14ac:dyDescent="0.25">
      <c r="B232" s="866"/>
      <c r="C232" s="860"/>
      <c r="D232" s="868"/>
      <c r="E232" s="868"/>
    </row>
    <row r="233" spans="2:5" x14ac:dyDescent="0.25">
      <c r="B233" s="867"/>
      <c r="C233" s="860"/>
      <c r="D233" s="868"/>
      <c r="E233" s="868"/>
    </row>
    <row r="234" spans="2:5" x14ac:dyDescent="0.25">
      <c r="B234" s="866"/>
      <c r="C234" s="860"/>
      <c r="D234" s="868"/>
      <c r="E234" s="868"/>
    </row>
    <row r="235" spans="2:5" x14ac:dyDescent="0.25">
      <c r="B235" s="867"/>
      <c r="C235" s="860"/>
      <c r="D235" s="868"/>
      <c r="E235" s="868"/>
    </row>
    <row r="236" spans="2:5" x14ac:dyDescent="0.25">
      <c r="B236" s="866"/>
      <c r="C236" s="860"/>
      <c r="D236" s="868"/>
      <c r="E236" s="868"/>
    </row>
    <row r="237" spans="2:5" x14ac:dyDescent="0.25">
      <c r="B237" s="867"/>
      <c r="C237" s="860"/>
      <c r="D237" s="868"/>
      <c r="E237" s="868"/>
    </row>
    <row r="238" spans="2:5" x14ac:dyDescent="0.25">
      <c r="B238" s="866"/>
      <c r="C238" s="860"/>
      <c r="D238" s="868"/>
      <c r="E238" s="868"/>
    </row>
    <row r="239" spans="2:5" x14ac:dyDescent="0.25">
      <c r="B239" s="867"/>
      <c r="C239" s="860"/>
      <c r="D239" s="868"/>
      <c r="E239" s="868"/>
    </row>
    <row r="240" spans="2:5" x14ac:dyDescent="0.25">
      <c r="B240" s="866"/>
      <c r="C240" s="860"/>
      <c r="D240" s="868"/>
      <c r="E240" s="868"/>
    </row>
    <row r="241" spans="2:5" x14ac:dyDescent="0.25">
      <c r="B241" s="867"/>
      <c r="C241" s="860"/>
      <c r="D241" s="868"/>
      <c r="E241" s="868"/>
    </row>
    <row r="242" spans="2:5" x14ac:dyDescent="0.25">
      <c r="B242" s="866"/>
      <c r="C242" s="860"/>
      <c r="D242" s="868"/>
      <c r="E242" s="868"/>
    </row>
    <row r="243" spans="2:5" x14ac:dyDescent="0.25">
      <c r="B243" s="867"/>
      <c r="C243" s="860"/>
      <c r="D243" s="868"/>
      <c r="E243" s="868"/>
    </row>
    <row r="244" spans="2:5" x14ac:dyDescent="0.25">
      <c r="B244" s="865"/>
      <c r="C244" s="860"/>
      <c r="D244" s="868"/>
      <c r="E244" s="868"/>
    </row>
    <row r="245" spans="2:5" x14ac:dyDescent="0.25">
      <c r="B245" s="866"/>
      <c r="C245" s="860"/>
      <c r="D245" s="868"/>
      <c r="E245" s="868"/>
    </row>
    <row r="246" spans="2:5" x14ac:dyDescent="0.25">
      <c r="B246" s="867"/>
      <c r="C246" s="860"/>
      <c r="D246" s="868"/>
      <c r="E246" s="868"/>
    </row>
    <row r="247" spans="2:5" x14ac:dyDescent="0.25">
      <c r="B247" s="866"/>
      <c r="C247" s="860"/>
      <c r="D247" s="868"/>
      <c r="E247" s="868"/>
    </row>
    <row r="248" spans="2:5" x14ac:dyDescent="0.25">
      <c r="B248" s="867"/>
      <c r="C248" s="860"/>
      <c r="D248" s="868"/>
      <c r="E248" s="868"/>
    </row>
    <row r="249" spans="2:5" x14ac:dyDescent="0.25">
      <c r="B249" s="866"/>
      <c r="C249" s="860"/>
      <c r="D249" s="868"/>
      <c r="E249" s="868"/>
    </row>
    <row r="250" spans="2:5" x14ac:dyDescent="0.25">
      <c r="B250" s="867"/>
      <c r="C250" s="860"/>
      <c r="D250" s="868"/>
      <c r="E250" s="868"/>
    </row>
    <row r="251" spans="2:5" x14ac:dyDescent="0.25">
      <c r="B251" s="866"/>
      <c r="C251" s="860"/>
      <c r="D251" s="868"/>
      <c r="E251" s="868"/>
    </row>
    <row r="252" spans="2:5" x14ac:dyDescent="0.25">
      <c r="B252" s="867"/>
      <c r="C252" s="860"/>
      <c r="D252" s="868"/>
      <c r="E252" s="868"/>
    </row>
    <row r="253" spans="2:5" x14ac:dyDescent="0.25">
      <c r="B253" s="866"/>
      <c r="C253" s="860"/>
      <c r="D253" s="868"/>
      <c r="E253" s="868"/>
    </row>
    <row r="254" spans="2:5" x14ac:dyDescent="0.25">
      <c r="B254" s="867"/>
      <c r="C254" s="860"/>
      <c r="D254" s="868"/>
      <c r="E254" s="868"/>
    </row>
    <row r="255" spans="2:5" x14ac:dyDescent="0.25">
      <c r="B255" s="866"/>
      <c r="C255" s="860"/>
      <c r="D255" s="868"/>
      <c r="E255" s="868"/>
    </row>
    <row r="256" spans="2:5" x14ac:dyDescent="0.25">
      <c r="B256" s="867"/>
      <c r="C256" s="860"/>
      <c r="D256" s="868"/>
      <c r="E256" s="868"/>
    </row>
    <row r="257" spans="2:5" x14ac:dyDescent="0.25">
      <c r="B257" s="866"/>
      <c r="C257" s="860"/>
      <c r="D257" s="868"/>
      <c r="E257" s="868"/>
    </row>
    <row r="258" spans="2:5" x14ac:dyDescent="0.25">
      <c r="B258" s="867"/>
      <c r="C258" s="860"/>
      <c r="D258" s="868"/>
      <c r="E258" s="868"/>
    </row>
    <row r="259" spans="2:5" x14ac:dyDescent="0.25">
      <c r="B259" s="865"/>
      <c r="C259" s="860"/>
      <c r="D259" s="868"/>
      <c r="E259" s="868"/>
    </row>
    <row r="260" spans="2:5" x14ac:dyDescent="0.25">
      <c r="B260" s="866"/>
      <c r="C260" s="860"/>
      <c r="D260" s="868"/>
      <c r="E260" s="868"/>
    </row>
    <row r="261" spans="2:5" x14ac:dyDescent="0.25">
      <c r="B261" s="867"/>
      <c r="C261" s="860"/>
      <c r="D261" s="868"/>
      <c r="E261" s="868"/>
    </row>
    <row r="262" spans="2:5" x14ac:dyDescent="0.25">
      <c r="B262" s="866"/>
      <c r="C262" s="860"/>
      <c r="D262" s="868"/>
      <c r="E262" s="868"/>
    </row>
    <row r="263" spans="2:5" x14ac:dyDescent="0.25">
      <c r="B263" s="867"/>
      <c r="C263" s="860"/>
      <c r="D263" s="868"/>
      <c r="E263" s="868"/>
    </row>
    <row r="264" spans="2:5" x14ac:dyDescent="0.25">
      <c r="B264" s="866"/>
      <c r="C264" s="860"/>
      <c r="D264" s="868"/>
      <c r="E264" s="868"/>
    </row>
    <row r="265" spans="2:5" x14ac:dyDescent="0.25">
      <c r="B265" s="867"/>
      <c r="C265" s="860"/>
      <c r="D265" s="868"/>
      <c r="E265" s="868"/>
    </row>
    <row r="266" spans="2:5" x14ac:dyDescent="0.25">
      <c r="B266" s="866"/>
      <c r="C266" s="860"/>
      <c r="D266" s="868"/>
      <c r="E266" s="868"/>
    </row>
    <row r="267" spans="2:5" x14ac:dyDescent="0.25">
      <c r="B267" s="867"/>
      <c r="C267" s="860"/>
      <c r="D267" s="868"/>
      <c r="E267" s="868"/>
    </row>
    <row r="268" spans="2:5" x14ac:dyDescent="0.25">
      <c r="B268" s="866"/>
      <c r="C268" s="860"/>
      <c r="D268" s="868"/>
      <c r="E268" s="868"/>
    </row>
    <row r="269" spans="2:5" x14ac:dyDescent="0.25">
      <c r="B269" s="867"/>
      <c r="C269" s="860"/>
      <c r="D269" s="868"/>
      <c r="E269" s="868"/>
    </row>
    <row r="270" spans="2:5" x14ac:dyDescent="0.25">
      <c r="B270" s="866"/>
      <c r="C270" s="860"/>
      <c r="D270" s="868"/>
      <c r="E270" s="868"/>
    </row>
    <row r="271" spans="2:5" x14ac:dyDescent="0.25">
      <c r="B271" s="867"/>
      <c r="C271" s="860"/>
      <c r="D271" s="868"/>
      <c r="E271" s="868"/>
    </row>
    <row r="272" spans="2:5" x14ac:dyDescent="0.25">
      <c r="B272" s="865"/>
      <c r="C272" s="860"/>
      <c r="D272" s="868"/>
      <c r="E272" s="868"/>
    </row>
    <row r="273" spans="2:5" x14ac:dyDescent="0.25">
      <c r="B273" s="866"/>
      <c r="C273" s="860"/>
      <c r="D273" s="868"/>
      <c r="E273" s="868"/>
    </row>
    <row r="274" spans="2:5" x14ac:dyDescent="0.25">
      <c r="B274" s="867"/>
      <c r="C274" s="860"/>
      <c r="D274" s="868"/>
      <c r="E274" s="868"/>
    </row>
    <row r="275" spans="2:5" x14ac:dyDescent="0.25">
      <c r="B275" s="866"/>
      <c r="C275" s="860"/>
      <c r="D275" s="868"/>
      <c r="E275" s="868"/>
    </row>
    <row r="276" spans="2:5" x14ac:dyDescent="0.25">
      <c r="B276" s="867"/>
      <c r="C276" s="860"/>
      <c r="D276" s="868"/>
      <c r="E276" s="868"/>
    </row>
    <row r="277" spans="2:5" x14ac:dyDescent="0.25">
      <c r="B277" s="866"/>
      <c r="C277" s="860"/>
      <c r="D277" s="868"/>
      <c r="E277" s="868"/>
    </row>
    <row r="278" spans="2:5" x14ac:dyDescent="0.25">
      <c r="B278" s="867"/>
      <c r="C278" s="860"/>
      <c r="D278" s="868"/>
      <c r="E278" s="868"/>
    </row>
    <row r="279" spans="2:5" x14ac:dyDescent="0.25">
      <c r="B279" s="866"/>
      <c r="C279" s="860"/>
      <c r="D279" s="868"/>
      <c r="E279" s="868"/>
    </row>
    <row r="280" spans="2:5" x14ac:dyDescent="0.25">
      <c r="B280" s="867"/>
      <c r="C280" s="860"/>
      <c r="D280" s="868"/>
      <c r="E280" s="868"/>
    </row>
    <row r="281" spans="2:5" x14ac:dyDescent="0.25">
      <c r="B281" s="866"/>
      <c r="C281" s="860"/>
      <c r="D281" s="868"/>
      <c r="E281" s="868"/>
    </row>
    <row r="282" spans="2:5" x14ac:dyDescent="0.25">
      <c r="B282" s="867"/>
      <c r="C282" s="860"/>
      <c r="D282" s="868"/>
      <c r="E282" s="868"/>
    </row>
    <row r="283" spans="2:5" x14ac:dyDescent="0.25">
      <c r="B283" s="866"/>
      <c r="C283" s="860"/>
      <c r="D283" s="868"/>
      <c r="E283" s="868"/>
    </row>
    <row r="284" spans="2:5" x14ac:dyDescent="0.25">
      <c r="B284" s="867"/>
      <c r="C284" s="860"/>
      <c r="D284" s="868"/>
      <c r="E284" s="868"/>
    </row>
    <row r="285" spans="2:5" x14ac:dyDescent="0.25">
      <c r="B285" s="866"/>
      <c r="C285" s="860"/>
      <c r="D285" s="868"/>
      <c r="E285" s="868"/>
    </row>
    <row r="286" spans="2:5" x14ac:dyDescent="0.25">
      <c r="B286" s="867"/>
      <c r="C286" s="860"/>
      <c r="D286" s="868"/>
      <c r="E286" s="868"/>
    </row>
    <row r="287" spans="2:5" x14ac:dyDescent="0.25">
      <c r="B287" s="866"/>
      <c r="C287" s="860"/>
      <c r="D287" s="868"/>
      <c r="E287" s="868"/>
    </row>
    <row r="288" spans="2:5" x14ac:dyDescent="0.25">
      <c r="B288" s="867"/>
      <c r="C288" s="860"/>
      <c r="D288" s="868"/>
      <c r="E288" s="868"/>
    </row>
    <row r="289" spans="2:5" x14ac:dyDescent="0.25">
      <c r="B289" s="866"/>
      <c r="C289" s="860"/>
      <c r="D289" s="868"/>
      <c r="E289" s="868"/>
    </row>
    <row r="290" spans="2:5" x14ac:dyDescent="0.25">
      <c r="B290" s="867"/>
      <c r="C290" s="860"/>
      <c r="D290" s="868"/>
      <c r="E290" s="868"/>
    </row>
    <row r="291" spans="2:5" x14ac:dyDescent="0.25">
      <c r="B291" s="865"/>
      <c r="C291" s="860"/>
      <c r="D291" s="868"/>
      <c r="E291" s="868"/>
    </row>
    <row r="292" spans="2:5" x14ac:dyDescent="0.25">
      <c r="B292" s="866"/>
      <c r="C292" s="860"/>
      <c r="D292" s="868"/>
      <c r="E292" s="868"/>
    </row>
    <row r="293" spans="2:5" x14ac:dyDescent="0.25">
      <c r="B293" s="867"/>
      <c r="C293" s="860"/>
      <c r="D293" s="868"/>
      <c r="E293" s="868"/>
    </row>
    <row r="294" spans="2:5" x14ac:dyDescent="0.25">
      <c r="B294" s="866"/>
      <c r="C294" s="860"/>
      <c r="D294" s="868"/>
      <c r="E294" s="868"/>
    </row>
    <row r="295" spans="2:5" x14ac:dyDescent="0.25">
      <c r="B295" s="867"/>
      <c r="C295" s="860"/>
      <c r="D295" s="868"/>
      <c r="E295" s="868"/>
    </row>
    <row r="296" spans="2:5" x14ac:dyDescent="0.25">
      <c r="B296" s="865"/>
      <c r="C296" s="860"/>
      <c r="D296" s="868"/>
      <c r="E296" s="86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 filterMode="1"/>
  <dimension ref="A1:V415"/>
  <sheetViews>
    <sheetView topLeftCell="C1" zoomScale="85" zoomScaleNormal="85" workbookViewId="0">
      <pane xSplit="4" ySplit="1" topLeftCell="G2" activePane="bottomRight" state="frozen"/>
      <selection activeCell="C1" sqref="C1"/>
      <selection pane="topRight" activeCell="D1" sqref="D1"/>
      <selection pane="bottomLeft" activeCell="C2" sqref="C2"/>
      <selection pane="bottomRight" activeCell="G427" sqref="G427"/>
    </sheetView>
  </sheetViews>
  <sheetFormatPr defaultRowHeight="15" outlineLevelRow="1" outlineLevelCol="1" x14ac:dyDescent="0.25"/>
  <cols>
    <col min="1" max="1" width="3.140625" bestFit="1" customWidth="1"/>
    <col min="2" max="2" width="8.85546875" bestFit="1" customWidth="1"/>
    <col min="3" max="3" width="7.7109375" bestFit="1" customWidth="1"/>
    <col min="4" max="4" width="8.85546875" customWidth="1"/>
    <col min="5" max="5" width="12.5703125" hidden="1" customWidth="1"/>
    <col min="6" max="6" width="10" bestFit="1" customWidth="1"/>
    <col min="7" max="7" width="43.140625" customWidth="1"/>
    <col min="8" max="8" width="7.5703125" style="11" bestFit="1" customWidth="1"/>
    <col min="9" max="9" width="9" style="11" customWidth="1" outlineLevel="1"/>
    <col min="10" max="11" width="9.140625" style="11" customWidth="1" outlineLevel="1"/>
    <col min="12" max="12" width="11.5703125" customWidth="1"/>
    <col min="13" max="13" width="20.85546875" customWidth="1"/>
    <col min="14" max="14" width="12.85546875" customWidth="1"/>
    <col min="15" max="15" width="10.28515625" customWidth="1"/>
    <col min="16" max="16" width="40.7109375" customWidth="1"/>
  </cols>
  <sheetData>
    <row r="1" spans="1:22" ht="180" x14ac:dyDescent="0.25">
      <c r="A1" s="1" t="s">
        <v>0</v>
      </c>
      <c r="B1" s="1" t="s">
        <v>2004</v>
      </c>
      <c r="C1" s="1" t="s">
        <v>0</v>
      </c>
      <c r="D1" s="1" t="s">
        <v>2004</v>
      </c>
      <c r="E1" s="1" t="s">
        <v>535</v>
      </c>
      <c r="F1" s="1" t="s">
        <v>2188</v>
      </c>
      <c r="G1" s="1" t="s">
        <v>2189</v>
      </c>
      <c r="H1" s="1" t="s">
        <v>462</v>
      </c>
      <c r="I1" s="1" t="s">
        <v>468</v>
      </c>
      <c r="J1" s="1" t="s">
        <v>601</v>
      </c>
      <c r="K1" s="113" t="s">
        <v>1995</v>
      </c>
      <c r="L1" s="28" t="s">
        <v>1994</v>
      </c>
      <c r="M1" s="870" t="s">
        <v>2191</v>
      </c>
      <c r="N1" s="23" t="s">
        <v>1993</v>
      </c>
      <c r="O1" s="862" t="s">
        <v>2190</v>
      </c>
      <c r="P1" s="862" t="s">
        <v>2192</v>
      </c>
      <c r="Q1" s="906" t="s">
        <v>2006</v>
      </c>
      <c r="R1" s="905" t="s">
        <v>2197</v>
      </c>
      <c r="S1" s="904" t="s">
        <v>2198</v>
      </c>
      <c r="T1" s="904" t="s">
        <v>2199</v>
      </c>
      <c r="V1" s="904" t="s">
        <v>2200</v>
      </c>
    </row>
    <row r="2" spans="1:22" hidden="1" x14ac:dyDescent="0.25">
      <c r="A2" s="2">
        <v>1</v>
      </c>
      <c r="B2" s="3" t="s">
        <v>3</v>
      </c>
      <c r="C2" s="2">
        <v>1</v>
      </c>
      <c r="D2" s="863" t="s">
        <v>3</v>
      </c>
      <c r="E2" s="3" t="s">
        <v>536</v>
      </c>
      <c r="F2" s="3" t="s">
        <v>209</v>
      </c>
      <c r="G2" s="8" t="s">
        <v>210</v>
      </c>
      <c r="H2" s="9" t="s">
        <v>464</v>
      </c>
      <c r="I2" s="5" t="s">
        <v>771</v>
      </c>
      <c r="J2" s="5" t="s">
        <v>649</v>
      </c>
      <c r="K2" s="5">
        <f>'1.1.1'!Z$178</f>
        <v>0</v>
      </c>
      <c r="L2" s="29">
        <f>'1.1.1'!AA$177</f>
        <v>0</v>
      </c>
      <c r="M2" s="29">
        <f>'1.1.1'!AB$177</f>
        <v>0</v>
      </c>
      <c r="N2" s="24">
        <f>'1.1.1'!Z$177</f>
        <v>0</v>
      </c>
      <c r="O2" s="874"/>
      <c r="P2" s="874"/>
    </row>
    <row r="3" spans="1:22" hidden="1" x14ac:dyDescent="0.25">
      <c r="A3" s="2">
        <v>1</v>
      </c>
      <c r="B3" s="3" t="s">
        <v>3</v>
      </c>
      <c r="C3" s="2">
        <v>1</v>
      </c>
      <c r="D3" s="863" t="s">
        <v>3</v>
      </c>
      <c r="E3" s="3" t="s">
        <v>536</v>
      </c>
      <c r="F3" s="3" t="s">
        <v>211</v>
      </c>
      <c r="G3" s="8" t="s">
        <v>212</v>
      </c>
      <c r="H3" s="9" t="s">
        <v>464</v>
      </c>
      <c r="I3" s="5"/>
      <c r="J3" s="5"/>
      <c r="K3" s="5">
        <f>'1.1.1'!AI$178</f>
        <v>0</v>
      </c>
      <c r="L3" s="29">
        <f>'1.1.1'!AJ$177</f>
        <v>0</v>
      </c>
      <c r="M3" s="29">
        <f>'1.1.1'!AK$177</f>
        <v>0</v>
      </c>
      <c r="N3" s="24">
        <f>'1.1.1'!AI$177</f>
        <v>0</v>
      </c>
      <c r="O3" s="874"/>
      <c r="P3" s="874"/>
    </row>
    <row r="4" spans="1:22" hidden="1" x14ac:dyDescent="0.25">
      <c r="A4" s="2">
        <v>1</v>
      </c>
      <c r="B4" s="3" t="s">
        <v>3</v>
      </c>
      <c r="C4" s="2">
        <v>1</v>
      </c>
      <c r="D4" s="863" t="s">
        <v>3</v>
      </c>
      <c r="E4" s="3" t="s">
        <v>536</v>
      </c>
      <c r="F4" s="3" t="s">
        <v>215</v>
      </c>
      <c r="G4" s="8" t="s">
        <v>216</v>
      </c>
      <c r="H4" s="75" t="s">
        <v>464</v>
      </c>
      <c r="I4" s="5" t="s">
        <v>771</v>
      </c>
      <c r="J4" s="5" t="s">
        <v>602</v>
      </c>
      <c r="K4" s="5">
        <f>'1.1.1'!AO$178</f>
        <v>0</v>
      </c>
      <c r="L4" s="29">
        <f>'1.1.1'!AP$177</f>
        <v>0</v>
      </c>
      <c r="M4" s="29">
        <f>'1.1.1'!AQ$177</f>
        <v>0</v>
      </c>
      <c r="N4" s="24">
        <f>'1.1.1'!AO$177</f>
        <v>0</v>
      </c>
      <c r="O4" s="875" t="s">
        <v>84</v>
      </c>
      <c r="P4" s="875" t="s">
        <v>216</v>
      </c>
      <c r="Q4">
        <v>322</v>
      </c>
    </row>
    <row r="5" spans="1:22" hidden="1" outlineLevel="1" x14ac:dyDescent="0.25">
      <c r="A5" s="2"/>
      <c r="B5" s="79"/>
      <c r="C5" s="80">
        <v>1</v>
      </c>
      <c r="D5" s="81" t="s">
        <v>3</v>
      </c>
      <c r="E5" s="82" t="s">
        <v>537</v>
      </c>
      <c r="F5" s="82" t="s">
        <v>201</v>
      </c>
      <c r="G5" s="83" t="s">
        <v>1058</v>
      </c>
      <c r="H5" s="84" t="s">
        <v>467</v>
      </c>
      <c r="I5" s="85" t="s">
        <v>469</v>
      </c>
      <c r="J5" s="85" t="s">
        <v>649</v>
      </c>
      <c r="K5" s="85"/>
      <c r="L5" s="87">
        <f>SUMIF('1.1.1'!$E$5:$E$176,$G5,'1.1.1'!$O$5:$O$176)</f>
        <v>0</v>
      </c>
      <c r="M5" s="136"/>
      <c r="N5" s="86">
        <f>SUMIF('1.1.1'!$E$5:$E$176,$G5,'1.1.1'!$N$5:$N$176)</f>
        <v>0</v>
      </c>
    </row>
    <row r="6" spans="1:22" hidden="1" outlineLevel="1" x14ac:dyDescent="0.25">
      <c r="A6" s="2"/>
      <c r="B6" s="79"/>
      <c r="C6" s="80">
        <v>1</v>
      </c>
      <c r="D6" s="81" t="s">
        <v>3</v>
      </c>
      <c r="E6" s="82" t="s">
        <v>537</v>
      </c>
      <c r="F6" s="82" t="s">
        <v>201</v>
      </c>
      <c r="G6" s="83" t="s">
        <v>1060</v>
      </c>
      <c r="H6" s="84" t="s">
        <v>467</v>
      </c>
      <c r="I6" s="85" t="s">
        <v>469</v>
      </c>
      <c r="J6" s="85" t="s">
        <v>649</v>
      </c>
      <c r="K6" s="85"/>
      <c r="L6" s="87">
        <f>SUMIF('1.1.1'!$E$5:$E$176,$G6,'1.1.1'!$O$5:$O$176)</f>
        <v>0</v>
      </c>
      <c r="M6" s="136"/>
      <c r="N6" s="86">
        <f>SUMIF('1.1.1'!$E$5:$E$176,$G6,'1.1.1'!$N$5:$N$176)</f>
        <v>0</v>
      </c>
    </row>
    <row r="7" spans="1:22" hidden="1" outlineLevel="1" x14ac:dyDescent="0.25">
      <c r="A7" s="2"/>
      <c r="B7" s="79"/>
      <c r="C7" s="80">
        <v>1</v>
      </c>
      <c r="D7" s="81" t="s">
        <v>3</v>
      </c>
      <c r="E7" s="82" t="s">
        <v>537</v>
      </c>
      <c r="F7" s="82" t="s">
        <v>201</v>
      </c>
      <c r="G7" s="83" t="s">
        <v>1061</v>
      </c>
      <c r="H7" s="84" t="s">
        <v>467</v>
      </c>
      <c r="I7" s="85" t="s">
        <v>469</v>
      </c>
      <c r="J7" s="85" t="s">
        <v>649</v>
      </c>
      <c r="K7" s="85"/>
      <c r="L7" s="87">
        <f>SUMIF('1.1.1'!$E$5:$E$176,$G7,'1.1.1'!$O$5:$O$176)</f>
        <v>0</v>
      </c>
      <c r="M7" s="136"/>
      <c r="N7" s="86">
        <f>SUMIF('1.1.1'!$E$5:$E$176,$G7,'1.1.1'!$N$5:$N$176)</f>
        <v>0</v>
      </c>
    </row>
    <row r="8" spans="1:22" hidden="1" outlineLevel="1" x14ac:dyDescent="0.25">
      <c r="A8" s="2"/>
      <c r="B8" s="79"/>
      <c r="C8" s="80">
        <v>1</v>
      </c>
      <c r="D8" s="81" t="s">
        <v>3</v>
      </c>
      <c r="E8" s="82" t="s">
        <v>537</v>
      </c>
      <c r="F8" s="82" t="s">
        <v>201</v>
      </c>
      <c r="G8" s="83" t="s">
        <v>1059</v>
      </c>
      <c r="H8" s="84" t="s">
        <v>467</v>
      </c>
      <c r="I8" s="85" t="s">
        <v>469</v>
      </c>
      <c r="J8" s="85" t="s">
        <v>649</v>
      </c>
      <c r="K8" s="85"/>
      <c r="L8" s="87">
        <f>SUMIF('1.1.1'!$E$5:$E$176,$G8,'1.1.1'!$O$5:$O$176)</f>
        <v>0</v>
      </c>
      <c r="M8" s="136"/>
      <c r="N8" s="86">
        <f>SUMIF('1.1.1'!$E$5:$E$176,$G8,'1.1.1'!$N$5:$N$176)</f>
        <v>0</v>
      </c>
    </row>
    <row r="9" spans="1:22" hidden="1" outlineLevel="1" x14ac:dyDescent="0.25">
      <c r="A9" s="2"/>
      <c r="B9" s="79"/>
      <c r="C9" s="80">
        <v>1</v>
      </c>
      <c r="D9" s="81" t="s">
        <v>3</v>
      </c>
      <c r="E9" s="82" t="s">
        <v>537</v>
      </c>
      <c r="F9" s="82" t="s">
        <v>201</v>
      </c>
      <c r="G9" s="83" t="s">
        <v>1065</v>
      </c>
      <c r="H9" s="84" t="s">
        <v>467</v>
      </c>
      <c r="I9" s="85" t="s">
        <v>469</v>
      </c>
      <c r="J9" s="85" t="s">
        <v>649</v>
      </c>
      <c r="K9" s="85"/>
      <c r="L9" s="87">
        <f>SUMIF('1.1.1'!$E$5:$E$176,$G9,'1.1.1'!$O$5:$O$176)</f>
        <v>0</v>
      </c>
      <c r="M9" s="136"/>
      <c r="N9" s="86">
        <f>SUMIF('1.1.1'!$E$5:$E$176,$G9,'1.1.1'!$N$5:$N$176)</f>
        <v>0</v>
      </c>
    </row>
    <row r="10" spans="1:22" hidden="1" outlineLevel="1" x14ac:dyDescent="0.25">
      <c r="A10" s="2"/>
      <c r="B10" s="79"/>
      <c r="C10" s="80">
        <v>1</v>
      </c>
      <c r="D10" s="81" t="s">
        <v>3</v>
      </c>
      <c r="E10" s="82" t="s">
        <v>537</v>
      </c>
      <c r="F10" s="82" t="s">
        <v>201</v>
      </c>
      <c r="G10" s="83" t="s">
        <v>1062</v>
      </c>
      <c r="H10" s="84" t="s">
        <v>467</v>
      </c>
      <c r="I10" s="85" t="s">
        <v>469</v>
      </c>
      <c r="J10" s="85" t="s">
        <v>649</v>
      </c>
      <c r="K10" s="85"/>
      <c r="L10" s="87">
        <f>SUMIF('1.1.1'!$E$5:$E$176,$G10,'1.1.1'!$O$5:$O$176)</f>
        <v>0</v>
      </c>
      <c r="M10" s="136"/>
      <c r="N10" s="86">
        <f>SUMIF('1.1.1'!$E$5:$E$176,$G10,'1.1.1'!$N$5:$N$176)</f>
        <v>0</v>
      </c>
    </row>
    <row r="11" spans="1:22" hidden="1" outlineLevel="1" x14ac:dyDescent="0.25">
      <c r="A11" s="2"/>
      <c r="B11" s="79"/>
      <c r="C11" s="80">
        <v>1</v>
      </c>
      <c r="D11" s="81" t="s">
        <v>3</v>
      </c>
      <c r="E11" s="82" t="s">
        <v>537</v>
      </c>
      <c r="F11" s="82" t="s">
        <v>201</v>
      </c>
      <c r="G11" s="83" t="s">
        <v>1063</v>
      </c>
      <c r="H11" s="84" t="s">
        <v>467</v>
      </c>
      <c r="I11" s="85" t="s">
        <v>469</v>
      </c>
      <c r="J11" s="85" t="s">
        <v>649</v>
      </c>
      <c r="K11" s="85"/>
      <c r="L11" s="87">
        <f>SUMIF('1.1.1'!$E$5:$E$176,$G11,'1.1.1'!$O$5:$O$176)</f>
        <v>0</v>
      </c>
      <c r="M11" s="136"/>
      <c r="N11" s="86">
        <f>SUMIF('1.1.1'!$E$5:$E$176,$G11,'1.1.1'!$N$5:$N$176)</f>
        <v>0</v>
      </c>
    </row>
    <row r="12" spans="1:22" hidden="1" outlineLevel="1" x14ac:dyDescent="0.25">
      <c r="A12" s="2"/>
      <c r="B12" s="79"/>
      <c r="C12" s="80">
        <v>1</v>
      </c>
      <c r="D12" s="81" t="s">
        <v>3</v>
      </c>
      <c r="E12" s="82" t="s">
        <v>537</v>
      </c>
      <c r="F12" s="82" t="s">
        <v>201</v>
      </c>
      <c r="G12" s="83" t="s">
        <v>0</v>
      </c>
      <c r="H12" s="84" t="s">
        <v>467</v>
      </c>
      <c r="I12" s="85" t="s">
        <v>469</v>
      </c>
      <c r="J12" s="85" t="s">
        <v>649</v>
      </c>
      <c r="K12" s="85"/>
      <c r="L12" s="87">
        <f>SUMIF('1.1.1'!$E$5:$E$176,$G12,'1.1.1'!$O$5:$O$176)</f>
        <v>0</v>
      </c>
      <c r="M12" s="136"/>
      <c r="N12" s="86">
        <f>SUMIF('1.1.1'!$E$5:$E$176,$G12,'1.1.1'!$N$5:$N$176)</f>
        <v>2300</v>
      </c>
    </row>
    <row r="13" spans="1:22" hidden="1" collapsed="1" x14ac:dyDescent="0.25">
      <c r="A13" s="2">
        <v>1</v>
      </c>
      <c r="B13" s="3" t="s">
        <v>3</v>
      </c>
      <c r="C13" s="2">
        <v>1</v>
      </c>
      <c r="D13" s="863" t="s">
        <v>3</v>
      </c>
      <c r="E13" s="3" t="s">
        <v>539</v>
      </c>
      <c r="F13" s="3" t="s">
        <v>199</v>
      </c>
      <c r="G13" s="8" t="s">
        <v>200</v>
      </c>
      <c r="H13" s="75" t="s">
        <v>467</v>
      </c>
      <c r="I13" s="5" t="s">
        <v>469</v>
      </c>
      <c r="J13" s="5"/>
      <c r="K13" s="5">
        <f>'1.1.1'!H$178</f>
        <v>0</v>
      </c>
      <c r="L13" s="29">
        <f>'1.1.1'!I$177</f>
        <v>0</v>
      </c>
      <c r="M13" s="29">
        <f>'1.1.1'!J$177</f>
        <v>0</v>
      </c>
      <c r="N13" s="24">
        <f>'1.1.1'!H$177</f>
        <v>0</v>
      </c>
      <c r="O13" s="874"/>
      <c r="P13" s="874"/>
    </row>
    <row r="14" spans="1:22" hidden="1" outlineLevel="1" x14ac:dyDescent="0.25">
      <c r="A14" s="2"/>
      <c r="B14" s="79"/>
      <c r="C14" s="80">
        <v>1</v>
      </c>
      <c r="D14" s="81" t="s">
        <v>3</v>
      </c>
      <c r="E14" s="82" t="s">
        <v>539</v>
      </c>
      <c r="F14" s="82" t="s">
        <v>203</v>
      </c>
      <c r="G14" s="83" t="s">
        <v>1058</v>
      </c>
      <c r="H14" s="84" t="s">
        <v>467</v>
      </c>
      <c r="I14" s="85" t="s">
        <v>469</v>
      </c>
      <c r="J14" s="85" t="s">
        <v>649</v>
      </c>
      <c r="K14" s="85"/>
      <c r="L14" s="87">
        <f>SUMIF('1.1.1'!$E$5:$E$176,$G14,'1.1.1'!$R$5:$R$176)</f>
        <v>0</v>
      </c>
      <c r="M14" s="136"/>
      <c r="N14" s="86">
        <f>SUMIF('1.1.1'!$E$5:$E$176,$G14,'1.1.1'!$Q$5:$Q$176)</f>
        <v>0</v>
      </c>
    </row>
    <row r="15" spans="1:22" hidden="1" outlineLevel="1" x14ac:dyDescent="0.25">
      <c r="A15" s="2"/>
      <c r="B15" s="79"/>
      <c r="C15" s="80">
        <v>1</v>
      </c>
      <c r="D15" s="81" t="s">
        <v>3</v>
      </c>
      <c r="E15" s="82" t="s">
        <v>539</v>
      </c>
      <c r="F15" s="82" t="s">
        <v>203</v>
      </c>
      <c r="G15" s="83" t="s">
        <v>1060</v>
      </c>
      <c r="H15" s="84" t="s">
        <v>467</v>
      </c>
      <c r="I15" s="85" t="s">
        <v>469</v>
      </c>
      <c r="J15" s="85" t="s">
        <v>649</v>
      </c>
      <c r="K15" s="85"/>
      <c r="L15" s="87">
        <f>SUMIF('1.1.1'!$E$5:$E$176,$G15,'1.1.1'!$R$5:$R$176)</f>
        <v>0</v>
      </c>
      <c r="M15" s="136"/>
      <c r="N15" s="86">
        <f>SUMIF('1.1.1'!$E$5:$E$176,$G15,'1.1.1'!$Q$5:$Q$176)</f>
        <v>0</v>
      </c>
    </row>
    <row r="16" spans="1:22" hidden="1" outlineLevel="1" x14ac:dyDescent="0.25">
      <c r="A16" s="2"/>
      <c r="B16" s="79"/>
      <c r="C16" s="80">
        <v>1</v>
      </c>
      <c r="D16" s="81" t="s">
        <v>3</v>
      </c>
      <c r="E16" s="82" t="s">
        <v>539</v>
      </c>
      <c r="F16" s="82" t="s">
        <v>203</v>
      </c>
      <c r="G16" s="83" t="s">
        <v>1061</v>
      </c>
      <c r="H16" s="84" t="s">
        <v>467</v>
      </c>
      <c r="I16" s="85" t="s">
        <v>469</v>
      </c>
      <c r="J16" s="85" t="s">
        <v>649</v>
      </c>
      <c r="K16" s="85"/>
      <c r="L16" s="87">
        <f>SUMIF('1.1.1'!$E$5:$E$176,$G16,'1.1.1'!$R$5:$R$176)</f>
        <v>0</v>
      </c>
      <c r="M16" s="136"/>
      <c r="N16" s="86">
        <f>SUMIF('1.1.1'!$E$5:$E$176,$G16,'1.1.1'!$Q$5:$Q$176)</f>
        <v>0</v>
      </c>
    </row>
    <row r="17" spans="1:16" hidden="1" outlineLevel="1" x14ac:dyDescent="0.25">
      <c r="A17" s="2"/>
      <c r="B17" s="79"/>
      <c r="C17" s="80">
        <v>1</v>
      </c>
      <c r="D17" s="81" t="s">
        <v>3</v>
      </c>
      <c r="E17" s="82" t="s">
        <v>539</v>
      </c>
      <c r="F17" s="82" t="s">
        <v>203</v>
      </c>
      <c r="G17" s="83" t="s">
        <v>1059</v>
      </c>
      <c r="H17" s="84" t="s">
        <v>467</v>
      </c>
      <c r="I17" s="85" t="s">
        <v>469</v>
      </c>
      <c r="J17" s="85" t="s">
        <v>649</v>
      </c>
      <c r="K17" s="85"/>
      <c r="L17" s="87">
        <f>SUMIF('1.1.1'!$E$5:$E$176,$G17,'1.1.1'!$R$5:$R$176)</f>
        <v>0</v>
      </c>
      <c r="M17" s="136"/>
      <c r="N17" s="86">
        <f>SUMIF('1.1.1'!$E$5:$E$176,$G17,'1.1.1'!$Q$5:$Q$176)</f>
        <v>0</v>
      </c>
    </row>
    <row r="18" spans="1:16" hidden="1" outlineLevel="1" x14ac:dyDescent="0.25">
      <c r="A18" s="2"/>
      <c r="B18" s="79"/>
      <c r="C18" s="80">
        <v>1</v>
      </c>
      <c r="D18" s="81" t="s">
        <v>3</v>
      </c>
      <c r="E18" s="82" t="s">
        <v>539</v>
      </c>
      <c r="F18" s="82" t="s">
        <v>203</v>
      </c>
      <c r="G18" s="83" t="s">
        <v>1065</v>
      </c>
      <c r="H18" s="84" t="s">
        <v>467</v>
      </c>
      <c r="I18" s="85" t="s">
        <v>469</v>
      </c>
      <c r="J18" s="85" t="s">
        <v>649</v>
      </c>
      <c r="K18" s="85"/>
      <c r="L18" s="87">
        <f>SUMIF('1.1.1'!$E$5:$E$176,$G18,'1.1.1'!$R$5:$R$176)</f>
        <v>0</v>
      </c>
      <c r="M18" s="136"/>
      <c r="N18" s="86">
        <f>SUMIF('1.1.1'!$E$5:$E$176,$G18,'1.1.1'!$Q$5:$Q$176)</f>
        <v>10230</v>
      </c>
    </row>
    <row r="19" spans="1:16" hidden="1" outlineLevel="1" x14ac:dyDescent="0.25">
      <c r="A19" s="2"/>
      <c r="B19" s="79"/>
      <c r="C19" s="80">
        <v>1</v>
      </c>
      <c r="D19" s="81" t="s">
        <v>3</v>
      </c>
      <c r="E19" s="82" t="s">
        <v>539</v>
      </c>
      <c r="F19" s="82" t="s">
        <v>203</v>
      </c>
      <c r="G19" s="83" t="s">
        <v>1062</v>
      </c>
      <c r="H19" s="84" t="s">
        <v>467</v>
      </c>
      <c r="I19" s="85" t="s">
        <v>469</v>
      </c>
      <c r="J19" s="85" t="s">
        <v>649</v>
      </c>
      <c r="K19" s="85"/>
      <c r="L19" s="87">
        <f>SUMIF('1.1.1'!$E$5:$E$176,$G19,'1.1.1'!$R$5:$R$176)</f>
        <v>0</v>
      </c>
      <c r="M19" s="136"/>
      <c r="N19" s="86">
        <f>SUMIF('1.1.1'!$E$5:$E$176,$G19,'1.1.1'!$Q$5:$Q$176)</f>
        <v>0</v>
      </c>
    </row>
    <row r="20" spans="1:16" hidden="1" outlineLevel="1" x14ac:dyDescent="0.25">
      <c r="A20" s="2"/>
      <c r="B20" s="79"/>
      <c r="C20" s="80">
        <v>1</v>
      </c>
      <c r="D20" s="81" t="s">
        <v>3</v>
      </c>
      <c r="E20" s="82" t="s">
        <v>539</v>
      </c>
      <c r="F20" s="82" t="s">
        <v>203</v>
      </c>
      <c r="G20" s="83" t="s">
        <v>1063</v>
      </c>
      <c r="H20" s="84" t="s">
        <v>467</v>
      </c>
      <c r="I20" s="85" t="s">
        <v>469</v>
      </c>
      <c r="J20" s="85" t="s">
        <v>649</v>
      </c>
      <c r="K20" s="85"/>
      <c r="L20" s="87">
        <f>SUMIF('1.1.1'!$E$5:$E$176,$G20,'1.1.1'!$R$5:$R$176)</f>
        <v>0</v>
      </c>
      <c r="M20" s="136"/>
      <c r="N20" s="86">
        <f>SUMIF('1.1.1'!$E$5:$E$176,$G20,'1.1.1'!$Q$5:$Q$176)</f>
        <v>0</v>
      </c>
    </row>
    <row r="21" spans="1:16" hidden="1" outlineLevel="1" x14ac:dyDescent="0.25">
      <c r="A21" s="2"/>
      <c r="B21" s="79"/>
      <c r="C21" s="80">
        <v>1</v>
      </c>
      <c r="D21" s="81" t="s">
        <v>3</v>
      </c>
      <c r="E21" s="82" t="s">
        <v>539</v>
      </c>
      <c r="F21" s="82" t="s">
        <v>203</v>
      </c>
      <c r="G21" s="83" t="s">
        <v>0</v>
      </c>
      <c r="H21" s="84" t="s">
        <v>467</v>
      </c>
      <c r="I21" s="85" t="s">
        <v>469</v>
      </c>
      <c r="J21" s="85" t="s">
        <v>649</v>
      </c>
      <c r="K21" s="85"/>
      <c r="L21" s="87">
        <f>SUMIF('1.1.1'!$E$5:$E$176,$G21,'1.1.1'!$R$5:$R$176)</f>
        <v>0</v>
      </c>
      <c r="M21" s="136"/>
      <c r="N21" s="86">
        <f>SUMIF('1.1.1'!$E$5:$E$176,$G21,'1.1.1'!$Q$5:$Q$176)</f>
        <v>74000</v>
      </c>
    </row>
    <row r="22" spans="1:16" hidden="1" collapsed="1" x14ac:dyDescent="0.25">
      <c r="A22" s="2">
        <v>1</v>
      </c>
      <c r="B22" s="3" t="s">
        <v>3</v>
      </c>
      <c r="C22" s="2">
        <v>1</v>
      </c>
      <c r="D22" s="863" t="s">
        <v>3</v>
      </c>
      <c r="E22" s="3" t="s">
        <v>539</v>
      </c>
      <c r="F22" s="3" t="s">
        <v>203</v>
      </c>
      <c r="G22" s="8" t="s">
        <v>204</v>
      </c>
      <c r="H22" s="33" t="s">
        <v>467</v>
      </c>
      <c r="I22" s="5" t="s">
        <v>469</v>
      </c>
      <c r="J22" s="5" t="s">
        <v>649</v>
      </c>
      <c r="K22" s="5">
        <f>'1.1.1'!Q$178</f>
        <v>4</v>
      </c>
      <c r="L22" s="29">
        <f>'1.1.1'!R$177</f>
        <v>0</v>
      </c>
      <c r="M22" s="29">
        <f>'1.1.1'!S$177</f>
        <v>84100</v>
      </c>
      <c r="N22" s="24">
        <f>'1.1.1'!Q$177</f>
        <v>84230</v>
      </c>
      <c r="O22" s="874"/>
      <c r="P22" s="874"/>
    </row>
    <row r="23" spans="1:16" hidden="1" outlineLevel="1" x14ac:dyDescent="0.25">
      <c r="A23" s="2"/>
      <c r="B23" s="79"/>
      <c r="C23" s="80">
        <v>1</v>
      </c>
      <c r="D23" s="81" t="s">
        <v>3</v>
      </c>
      <c r="E23" s="82" t="s">
        <v>539</v>
      </c>
      <c r="F23" s="82" t="s">
        <v>205</v>
      </c>
      <c r="G23" s="83" t="s">
        <v>1058</v>
      </c>
      <c r="H23" s="84" t="s">
        <v>467</v>
      </c>
      <c r="I23" s="85" t="s">
        <v>469</v>
      </c>
      <c r="J23" s="85" t="s">
        <v>649</v>
      </c>
      <c r="K23" s="85"/>
      <c r="L23" s="87">
        <f>SUMIF('1.1.1'!$E$5:$E$176,$G23,'1.1.1'!$U$5:$U$176)</f>
        <v>0</v>
      </c>
      <c r="M23" s="136"/>
      <c r="N23" s="86">
        <f>SUMIF('1.1.1'!$E$5:$E$176,$G23,'1.1.1'!$T$5:$T$176)</f>
        <v>6924.5680000000002</v>
      </c>
    </row>
    <row r="24" spans="1:16" hidden="1" outlineLevel="1" x14ac:dyDescent="0.25">
      <c r="A24" s="2"/>
      <c r="B24" s="79"/>
      <c r="C24" s="80">
        <v>1</v>
      </c>
      <c r="D24" s="81" t="s">
        <v>3</v>
      </c>
      <c r="E24" s="82" t="s">
        <v>539</v>
      </c>
      <c r="F24" s="82" t="s">
        <v>205</v>
      </c>
      <c r="G24" s="83" t="s">
        <v>1060</v>
      </c>
      <c r="H24" s="84" t="s">
        <v>467</v>
      </c>
      <c r="I24" s="85" t="s">
        <v>469</v>
      </c>
      <c r="J24" s="85" t="s">
        <v>649</v>
      </c>
      <c r="K24" s="85"/>
      <c r="L24" s="87">
        <f>SUMIF('1.1.1'!$E$5:$E$176,$G24,'1.1.1'!$U$5:$U$176)</f>
        <v>0</v>
      </c>
      <c r="M24" s="136"/>
      <c r="N24" s="86">
        <f>SUMIF('1.1.1'!$E$5:$E$176,$G24,'1.1.1'!$T$5:$T$176)</f>
        <v>9387.57</v>
      </c>
    </row>
    <row r="25" spans="1:16" hidden="1" outlineLevel="1" x14ac:dyDescent="0.25">
      <c r="A25" s="2"/>
      <c r="B25" s="79"/>
      <c r="C25" s="80">
        <v>1</v>
      </c>
      <c r="D25" s="81" t="s">
        <v>3</v>
      </c>
      <c r="E25" s="82" t="s">
        <v>539</v>
      </c>
      <c r="F25" s="82" t="s">
        <v>205</v>
      </c>
      <c r="G25" s="83" t="s">
        <v>1061</v>
      </c>
      <c r="H25" s="84" t="s">
        <v>467</v>
      </c>
      <c r="I25" s="85" t="s">
        <v>469</v>
      </c>
      <c r="J25" s="85" t="s">
        <v>649</v>
      </c>
      <c r="K25" s="85"/>
      <c r="L25" s="87">
        <f>SUMIF('1.1.1'!$E$5:$E$176,$G25,'1.1.1'!$U$5:$U$176)</f>
        <v>151</v>
      </c>
      <c r="M25" s="136"/>
      <c r="N25" s="86">
        <f>SUMIF('1.1.1'!$E$5:$E$176,$G25,'1.1.1'!$T$5:$T$176)</f>
        <v>9154.8709999999992</v>
      </c>
    </row>
    <row r="26" spans="1:16" hidden="1" outlineLevel="1" x14ac:dyDescent="0.25">
      <c r="A26" s="2"/>
      <c r="B26" s="79"/>
      <c r="C26" s="80">
        <v>1</v>
      </c>
      <c r="D26" s="81" t="s">
        <v>3</v>
      </c>
      <c r="E26" s="82" t="s">
        <v>539</v>
      </c>
      <c r="F26" s="82" t="s">
        <v>205</v>
      </c>
      <c r="G26" s="83" t="s">
        <v>1059</v>
      </c>
      <c r="H26" s="84" t="s">
        <v>467</v>
      </c>
      <c r="I26" s="85" t="s">
        <v>469</v>
      </c>
      <c r="J26" s="85" t="s">
        <v>649</v>
      </c>
      <c r="K26" s="85"/>
      <c r="L26" s="87">
        <f>SUMIF('1.1.1'!$E$5:$E$176,$G26,'1.1.1'!$U$5:$U$176)</f>
        <v>0</v>
      </c>
      <c r="M26" s="136"/>
      <c r="N26" s="86">
        <f>SUMIF('1.1.1'!$E$5:$E$176,$G26,'1.1.1'!$T$5:$T$176)</f>
        <v>7072.31</v>
      </c>
    </row>
    <row r="27" spans="1:16" hidden="1" outlineLevel="1" x14ac:dyDescent="0.25">
      <c r="A27" s="2"/>
      <c r="B27" s="79"/>
      <c r="C27" s="80">
        <v>1</v>
      </c>
      <c r="D27" s="81" t="s">
        <v>3</v>
      </c>
      <c r="E27" s="82" t="s">
        <v>539</v>
      </c>
      <c r="F27" s="82" t="s">
        <v>205</v>
      </c>
      <c r="G27" s="83" t="s">
        <v>1065</v>
      </c>
      <c r="H27" s="84" t="s">
        <v>467</v>
      </c>
      <c r="I27" s="85" t="s">
        <v>469</v>
      </c>
      <c r="J27" s="85" t="s">
        <v>649</v>
      </c>
      <c r="K27" s="85"/>
      <c r="L27" s="87">
        <f>SUMIF('1.1.1'!$E$5:$E$176,$G27,'1.1.1'!$U$5:$U$176)</f>
        <v>0</v>
      </c>
      <c r="M27" s="136"/>
      <c r="N27" s="86">
        <f>SUMIF('1.1.1'!$E$5:$E$176,$G27,'1.1.1'!$T$5:$T$176)</f>
        <v>7298.2400000000007</v>
      </c>
    </row>
    <row r="28" spans="1:16" hidden="1" outlineLevel="1" x14ac:dyDescent="0.25">
      <c r="A28" s="2"/>
      <c r="B28" s="79"/>
      <c r="C28" s="80">
        <v>1</v>
      </c>
      <c r="D28" s="81" t="s">
        <v>3</v>
      </c>
      <c r="E28" s="82" t="s">
        <v>539</v>
      </c>
      <c r="F28" s="82" t="s">
        <v>205</v>
      </c>
      <c r="G28" s="83" t="s">
        <v>1062</v>
      </c>
      <c r="H28" s="84" t="s">
        <v>467</v>
      </c>
      <c r="I28" s="85" t="s">
        <v>469</v>
      </c>
      <c r="J28" s="85" t="s">
        <v>649</v>
      </c>
      <c r="K28" s="85"/>
      <c r="L28" s="87">
        <f>SUMIF('1.1.1'!$E$5:$E$176,$G28,'1.1.1'!$U$5:$U$176)</f>
        <v>0</v>
      </c>
      <c r="M28" s="136"/>
      <c r="N28" s="86">
        <f>SUMIF('1.1.1'!$E$5:$E$176,$G28,'1.1.1'!$T$5:$T$176)</f>
        <v>7821.62</v>
      </c>
    </row>
    <row r="29" spans="1:16" hidden="1" outlineLevel="1" x14ac:dyDescent="0.25">
      <c r="A29" s="2"/>
      <c r="B29" s="79"/>
      <c r="C29" s="80">
        <v>1</v>
      </c>
      <c r="D29" s="81" t="s">
        <v>3</v>
      </c>
      <c r="E29" s="82" t="s">
        <v>539</v>
      </c>
      <c r="F29" s="82" t="s">
        <v>205</v>
      </c>
      <c r="G29" s="83" t="s">
        <v>1063</v>
      </c>
      <c r="H29" s="84" t="s">
        <v>467</v>
      </c>
      <c r="I29" s="85" t="s">
        <v>469</v>
      </c>
      <c r="J29" s="85" t="s">
        <v>649</v>
      </c>
      <c r="K29" s="85"/>
      <c r="L29" s="87">
        <f>SUMIF('1.1.1'!$E$5:$E$176,$G29,'1.1.1'!$U$5:$U$176)</f>
        <v>0</v>
      </c>
      <c r="M29" s="136"/>
      <c r="N29" s="86">
        <f>SUMIF('1.1.1'!$E$5:$E$176,$G29,'1.1.1'!$T$5:$T$176)</f>
        <v>603.79</v>
      </c>
    </row>
    <row r="30" spans="1:16" hidden="1" outlineLevel="1" x14ac:dyDescent="0.25">
      <c r="A30" s="2"/>
      <c r="B30" s="79"/>
      <c r="C30" s="80">
        <v>1</v>
      </c>
      <c r="D30" s="81" t="s">
        <v>3</v>
      </c>
      <c r="E30" s="82" t="s">
        <v>539</v>
      </c>
      <c r="F30" s="82" t="s">
        <v>205</v>
      </c>
      <c r="G30" s="83" t="s">
        <v>0</v>
      </c>
      <c r="H30" s="84" t="s">
        <v>467</v>
      </c>
      <c r="I30" s="85" t="s">
        <v>469</v>
      </c>
      <c r="J30" s="85" t="s">
        <v>649</v>
      </c>
      <c r="K30" s="85"/>
      <c r="L30" s="87">
        <f>SUMIF('1.1.1'!$E$5:$E$176,$G30,'1.1.1'!$U$5:$U$176)</f>
        <v>0</v>
      </c>
      <c r="M30" s="136"/>
      <c r="N30" s="86">
        <f>SUMIF('1.1.1'!$E$5:$E$176,$G30,'1.1.1'!$T$5:$T$176)</f>
        <v>5100.24</v>
      </c>
    </row>
    <row r="31" spans="1:16" hidden="1" collapsed="1" x14ac:dyDescent="0.25">
      <c r="A31" s="2">
        <v>1</v>
      </c>
      <c r="B31" s="3" t="s">
        <v>3</v>
      </c>
      <c r="C31" s="2">
        <v>1</v>
      </c>
      <c r="D31" s="863" t="s">
        <v>3</v>
      </c>
      <c r="E31" s="3" t="s">
        <v>539</v>
      </c>
      <c r="F31" s="3" t="s">
        <v>205</v>
      </c>
      <c r="G31" s="8" t="s">
        <v>206</v>
      </c>
      <c r="H31" s="33" t="s">
        <v>467</v>
      </c>
      <c r="I31" s="5" t="s">
        <v>469</v>
      </c>
      <c r="J31" s="5" t="s">
        <v>649</v>
      </c>
      <c r="K31" s="5">
        <f>'1.1.1'!T$178</f>
        <v>126</v>
      </c>
      <c r="L31" s="29">
        <f>'1.1.1'!U$177</f>
        <v>151</v>
      </c>
      <c r="M31" s="29">
        <f>'1.1.1'!V$177</f>
        <v>47958.648000000016</v>
      </c>
      <c r="N31" s="24">
        <f>'1.1.1'!T$177</f>
        <v>53363.20900000001</v>
      </c>
      <c r="O31" s="874"/>
      <c r="P31" s="874"/>
    </row>
    <row r="32" spans="1:16" hidden="1" outlineLevel="1" x14ac:dyDescent="0.25">
      <c r="A32" s="2"/>
      <c r="B32" s="79"/>
      <c r="C32" s="80">
        <v>1</v>
      </c>
      <c r="D32" s="81" t="s">
        <v>3</v>
      </c>
      <c r="E32" s="82" t="s">
        <v>539</v>
      </c>
      <c r="F32" s="82" t="s">
        <v>207</v>
      </c>
      <c r="G32" s="83" t="s">
        <v>1058</v>
      </c>
      <c r="H32" s="84" t="s">
        <v>467</v>
      </c>
      <c r="I32" s="85" t="s">
        <v>469</v>
      </c>
      <c r="J32" s="85" t="s">
        <v>649</v>
      </c>
      <c r="K32" s="85"/>
      <c r="L32" s="87">
        <f>SUMIF('1.1.1'!$E$5:$E$176,$G32,'1.1.1'!$X$5:$X$176)</f>
        <v>0</v>
      </c>
      <c r="M32" s="136"/>
      <c r="N32" s="86">
        <f>SUMIF('1.1.1'!$E$5:$E$176,$G32,'1.1.1'!$W$5:$W$176)</f>
        <v>0</v>
      </c>
    </row>
    <row r="33" spans="1:16" hidden="1" outlineLevel="1" x14ac:dyDescent="0.25">
      <c r="A33" s="2"/>
      <c r="B33" s="79"/>
      <c r="C33" s="80">
        <v>1</v>
      </c>
      <c r="D33" s="81" t="s">
        <v>3</v>
      </c>
      <c r="E33" s="82" t="s">
        <v>539</v>
      </c>
      <c r="F33" s="82" t="s">
        <v>207</v>
      </c>
      <c r="G33" s="83" t="s">
        <v>1060</v>
      </c>
      <c r="H33" s="84" t="s">
        <v>467</v>
      </c>
      <c r="I33" s="85" t="s">
        <v>469</v>
      </c>
      <c r="J33" s="85" t="s">
        <v>649</v>
      </c>
      <c r="K33" s="85"/>
      <c r="L33" s="87">
        <f>SUMIF('1.1.1'!$E$5:$E$176,$G33,'1.1.1'!$X$5:$X$176)</f>
        <v>0</v>
      </c>
      <c r="M33" s="136"/>
      <c r="N33" s="86">
        <f>SUMIF('1.1.1'!$E$5:$E$176,$G33,'1.1.1'!$W$5:$W$176)</f>
        <v>3120</v>
      </c>
    </row>
    <row r="34" spans="1:16" hidden="1" outlineLevel="1" x14ac:dyDescent="0.25">
      <c r="A34" s="2"/>
      <c r="B34" s="79"/>
      <c r="C34" s="80">
        <v>1</v>
      </c>
      <c r="D34" s="81" t="s">
        <v>3</v>
      </c>
      <c r="E34" s="82" t="s">
        <v>539</v>
      </c>
      <c r="F34" s="82" t="s">
        <v>207</v>
      </c>
      <c r="G34" s="83" t="s">
        <v>1061</v>
      </c>
      <c r="H34" s="84" t="s">
        <v>467</v>
      </c>
      <c r="I34" s="85" t="s">
        <v>469</v>
      </c>
      <c r="J34" s="85" t="s">
        <v>649</v>
      </c>
      <c r="K34" s="85"/>
      <c r="L34" s="87">
        <f>SUMIF('1.1.1'!$E$5:$E$176,$G34,'1.1.1'!$X$5:$X$176)</f>
        <v>0</v>
      </c>
      <c r="M34" s="136"/>
      <c r="N34" s="86">
        <f>SUMIF('1.1.1'!$E$5:$E$176,$G34,'1.1.1'!$W$5:$W$176)</f>
        <v>7574.5</v>
      </c>
    </row>
    <row r="35" spans="1:16" hidden="1" outlineLevel="1" x14ac:dyDescent="0.25">
      <c r="A35" s="2"/>
      <c r="B35" s="79"/>
      <c r="C35" s="80">
        <v>1</v>
      </c>
      <c r="D35" s="81" t="s">
        <v>3</v>
      </c>
      <c r="E35" s="82" t="s">
        <v>539</v>
      </c>
      <c r="F35" s="82" t="s">
        <v>207</v>
      </c>
      <c r="G35" s="83" t="s">
        <v>1059</v>
      </c>
      <c r="H35" s="84" t="s">
        <v>467</v>
      </c>
      <c r="I35" s="85" t="s">
        <v>469</v>
      </c>
      <c r="J35" s="85" t="s">
        <v>649</v>
      </c>
      <c r="K35" s="85"/>
      <c r="L35" s="87">
        <f>SUMIF('1.1.1'!$E$5:$E$176,$G35,'1.1.1'!$X$5:$X$176)</f>
        <v>0</v>
      </c>
      <c r="M35" s="136"/>
      <c r="N35" s="86">
        <f>SUMIF('1.1.1'!$E$5:$E$176,$G35,'1.1.1'!$W$5:$W$176)</f>
        <v>5000</v>
      </c>
    </row>
    <row r="36" spans="1:16" hidden="1" outlineLevel="1" x14ac:dyDescent="0.25">
      <c r="A36" s="2"/>
      <c r="B36" s="79"/>
      <c r="C36" s="80">
        <v>1</v>
      </c>
      <c r="D36" s="81" t="s">
        <v>3</v>
      </c>
      <c r="E36" s="82" t="s">
        <v>539</v>
      </c>
      <c r="F36" s="82" t="s">
        <v>207</v>
      </c>
      <c r="G36" s="83" t="s">
        <v>1065</v>
      </c>
      <c r="H36" s="84" t="s">
        <v>467</v>
      </c>
      <c r="I36" s="85" t="s">
        <v>469</v>
      </c>
      <c r="J36" s="85" t="s">
        <v>649</v>
      </c>
      <c r="K36" s="85"/>
      <c r="L36" s="87">
        <f>SUMIF('1.1.1'!$E$5:$E$176,$G36,'1.1.1'!$X$5:$X$176)</f>
        <v>0</v>
      </c>
      <c r="M36" s="136"/>
      <c r="N36" s="86">
        <f>SUMIF('1.1.1'!$E$5:$E$176,$G36,'1.1.1'!$W$5:$W$176)</f>
        <v>19892</v>
      </c>
    </row>
    <row r="37" spans="1:16" hidden="1" outlineLevel="1" x14ac:dyDescent="0.25">
      <c r="A37" s="2"/>
      <c r="B37" s="79"/>
      <c r="C37" s="80">
        <v>1</v>
      </c>
      <c r="D37" s="81" t="s">
        <v>3</v>
      </c>
      <c r="E37" s="82" t="s">
        <v>539</v>
      </c>
      <c r="F37" s="82" t="s">
        <v>207</v>
      </c>
      <c r="G37" s="83" t="s">
        <v>1062</v>
      </c>
      <c r="H37" s="84" t="s">
        <v>467</v>
      </c>
      <c r="I37" s="85" t="s">
        <v>469</v>
      </c>
      <c r="J37" s="85" t="s">
        <v>649</v>
      </c>
      <c r="K37" s="85"/>
      <c r="L37" s="87">
        <f>SUMIF('1.1.1'!$E$5:$E$176,$G37,'1.1.1'!$X$5:$X$176)</f>
        <v>0</v>
      </c>
      <c r="M37" s="136"/>
      <c r="N37" s="86">
        <f>SUMIF('1.1.1'!$E$5:$E$176,$G37,'1.1.1'!$W$5:$W$176)</f>
        <v>8350</v>
      </c>
    </row>
    <row r="38" spans="1:16" hidden="1" outlineLevel="1" x14ac:dyDescent="0.25">
      <c r="A38" s="2"/>
      <c r="B38" s="79"/>
      <c r="C38" s="80">
        <v>1</v>
      </c>
      <c r="D38" s="81" t="s">
        <v>3</v>
      </c>
      <c r="E38" s="82" t="s">
        <v>539</v>
      </c>
      <c r="F38" s="82" t="s">
        <v>207</v>
      </c>
      <c r="G38" s="83" t="s">
        <v>1063</v>
      </c>
      <c r="H38" s="84" t="s">
        <v>467</v>
      </c>
      <c r="I38" s="85" t="s">
        <v>469</v>
      </c>
      <c r="J38" s="85" t="s">
        <v>649</v>
      </c>
      <c r="K38" s="85"/>
      <c r="L38" s="87">
        <f>SUMIF('1.1.1'!$E$5:$E$176,$G38,'1.1.1'!$X$5:$X$176)</f>
        <v>0</v>
      </c>
      <c r="M38" s="136"/>
      <c r="N38" s="86">
        <f>SUMIF('1.1.1'!$E$5:$E$176,$G38,'1.1.1'!$W$5:$W$176)</f>
        <v>163.5</v>
      </c>
    </row>
    <row r="39" spans="1:16" hidden="1" outlineLevel="1" x14ac:dyDescent="0.25">
      <c r="A39" s="2"/>
      <c r="B39" s="79"/>
      <c r="C39" s="80">
        <v>1</v>
      </c>
      <c r="D39" s="81" t="s">
        <v>3</v>
      </c>
      <c r="E39" s="82" t="s">
        <v>539</v>
      </c>
      <c r="F39" s="82" t="s">
        <v>207</v>
      </c>
      <c r="G39" s="83" t="s">
        <v>0</v>
      </c>
      <c r="H39" s="84" t="s">
        <v>467</v>
      </c>
      <c r="I39" s="85" t="s">
        <v>469</v>
      </c>
      <c r="J39" s="85" t="s">
        <v>649</v>
      </c>
      <c r="K39" s="85"/>
      <c r="L39" s="87">
        <f>SUMIF('1.1.1'!$E$5:$E$176,$G39,'1.1.1'!$X$5:$X$176)</f>
        <v>0</v>
      </c>
      <c r="M39" s="136"/>
      <c r="N39" s="86">
        <f>SUMIF('1.1.1'!$E$5:$E$176,$G39,'1.1.1'!$W$5:$W$176)</f>
        <v>5422</v>
      </c>
    </row>
    <row r="40" spans="1:16" hidden="1" collapsed="1" x14ac:dyDescent="0.25">
      <c r="A40" s="2">
        <v>1</v>
      </c>
      <c r="B40" s="3" t="s">
        <v>3</v>
      </c>
      <c r="C40" s="2">
        <v>1</v>
      </c>
      <c r="D40" s="863" t="s">
        <v>3</v>
      </c>
      <c r="E40" s="3" t="s">
        <v>539</v>
      </c>
      <c r="F40" s="3" t="s">
        <v>207</v>
      </c>
      <c r="G40" s="8" t="s">
        <v>208</v>
      </c>
      <c r="H40" s="9" t="s">
        <v>467</v>
      </c>
      <c r="I40" s="5" t="s">
        <v>469</v>
      </c>
      <c r="J40" s="5" t="s">
        <v>649</v>
      </c>
      <c r="K40" s="5">
        <f>'1.1.1'!W$178</f>
        <v>42</v>
      </c>
      <c r="L40" s="29">
        <f>'1.1.1'!X$177</f>
        <v>0</v>
      </c>
      <c r="M40" s="29">
        <f>'1.1.1'!Y$177</f>
        <v>44502.5</v>
      </c>
      <c r="N40" s="24">
        <f>'1.1.1'!W$177</f>
        <v>49522</v>
      </c>
      <c r="O40" s="874"/>
      <c r="P40" s="874"/>
    </row>
    <row r="41" spans="1:16" ht="25.5" hidden="1" x14ac:dyDescent="0.25">
      <c r="A41" s="2">
        <v>1</v>
      </c>
      <c r="B41" s="3" t="s">
        <v>3</v>
      </c>
      <c r="C41" s="2">
        <v>1</v>
      </c>
      <c r="D41" s="863" t="s">
        <v>3</v>
      </c>
      <c r="E41" s="3" t="s">
        <v>539</v>
      </c>
      <c r="F41" s="3" t="s">
        <v>209</v>
      </c>
      <c r="G41" s="8" t="s">
        <v>1073</v>
      </c>
      <c r="H41" s="9" t="s">
        <v>464</v>
      </c>
      <c r="I41" s="5" t="s">
        <v>771</v>
      </c>
      <c r="J41" s="5" t="s">
        <v>649</v>
      </c>
      <c r="K41" s="5">
        <f>'1.1.1'!AC$178</f>
        <v>43</v>
      </c>
      <c r="L41" s="29">
        <f>'1.1.1'!AD$177</f>
        <v>3934</v>
      </c>
      <c r="M41" s="29">
        <f>'1.1.1'!AE$177</f>
        <v>94905</v>
      </c>
      <c r="N41" s="24">
        <f>'1.1.1'!AC$177</f>
        <v>98080</v>
      </c>
      <c r="O41" s="874"/>
      <c r="P41" s="874"/>
    </row>
    <row r="42" spans="1:16" hidden="1" outlineLevel="1" x14ac:dyDescent="0.25">
      <c r="A42" s="2"/>
      <c r="B42" s="79"/>
      <c r="C42" s="80">
        <v>1</v>
      </c>
      <c r="D42" s="81" t="s">
        <v>3</v>
      </c>
      <c r="E42" s="82" t="s">
        <v>539</v>
      </c>
      <c r="F42" s="82" t="s">
        <v>209</v>
      </c>
      <c r="G42" s="83" t="s">
        <v>1058</v>
      </c>
      <c r="H42" s="84" t="s">
        <v>464</v>
      </c>
      <c r="I42" s="85" t="s">
        <v>771</v>
      </c>
      <c r="J42" s="85" t="s">
        <v>649</v>
      </c>
      <c r="K42" s="85"/>
      <c r="L42" s="87">
        <f>SUMIF('1.1.1'!$E$5:$E$176,$G42,'1.1.1'!$AD$5:$AD$176)</f>
        <v>0</v>
      </c>
      <c r="M42" s="136"/>
      <c r="N42" s="86">
        <f>SUMIF('1.1.1'!$E$5:$E$176,$G42,'1.1.1'!$AC$5:$AC$176)</f>
        <v>6000</v>
      </c>
    </row>
    <row r="43" spans="1:16" hidden="1" outlineLevel="1" x14ac:dyDescent="0.25">
      <c r="A43" s="2"/>
      <c r="B43" s="79"/>
      <c r="C43" s="80">
        <v>1</v>
      </c>
      <c r="D43" s="81" t="s">
        <v>3</v>
      </c>
      <c r="E43" s="82" t="s">
        <v>539</v>
      </c>
      <c r="F43" s="82" t="s">
        <v>209</v>
      </c>
      <c r="G43" s="83" t="s">
        <v>1060</v>
      </c>
      <c r="H43" s="84" t="s">
        <v>464</v>
      </c>
      <c r="I43" s="85" t="s">
        <v>771</v>
      </c>
      <c r="J43" s="85" t="s">
        <v>649</v>
      </c>
      <c r="K43" s="85"/>
      <c r="L43" s="87">
        <f>SUMIF('1.1.1'!$E$5:$E$176,$G43,'1.1.1'!$AD$5:$AD$176)</f>
        <v>0</v>
      </c>
      <c r="M43" s="136"/>
      <c r="N43" s="86">
        <f>SUMIF('1.1.1'!$E$5:$E$176,$G43,'1.1.1'!$AC$5:$AC$176)</f>
        <v>19027</v>
      </c>
    </row>
    <row r="44" spans="1:16" hidden="1" outlineLevel="1" x14ac:dyDescent="0.25">
      <c r="A44" s="2"/>
      <c r="B44" s="79"/>
      <c r="C44" s="80">
        <v>1</v>
      </c>
      <c r="D44" s="81" t="s">
        <v>3</v>
      </c>
      <c r="E44" s="82" t="s">
        <v>539</v>
      </c>
      <c r="F44" s="82" t="s">
        <v>209</v>
      </c>
      <c r="G44" s="83" t="s">
        <v>1061</v>
      </c>
      <c r="H44" s="84" t="s">
        <v>464</v>
      </c>
      <c r="I44" s="85" t="s">
        <v>771</v>
      </c>
      <c r="J44" s="85" t="s">
        <v>649</v>
      </c>
      <c r="K44" s="85"/>
      <c r="L44" s="87">
        <f>SUMIF('1.1.1'!$E$5:$E$176,$G44,'1.1.1'!$AD$5:$AD$176)</f>
        <v>0</v>
      </c>
      <c r="M44" s="136"/>
      <c r="N44" s="86">
        <f>SUMIF('1.1.1'!$E$5:$E$176,$G44,'1.1.1'!$AC$5:$AC$176)</f>
        <v>4950</v>
      </c>
    </row>
    <row r="45" spans="1:16" hidden="1" outlineLevel="1" x14ac:dyDescent="0.25">
      <c r="A45" s="2"/>
      <c r="B45" s="79"/>
      <c r="C45" s="80">
        <v>1</v>
      </c>
      <c r="D45" s="81" t="s">
        <v>3</v>
      </c>
      <c r="E45" s="82" t="s">
        <v>539</v>
      </c>
      <c r="F45" s="82" t="s">
        <v>209</v>
      </c>
      <c r="G45" s="83" t="s">
        <v>1059</v>
      </c>
      <c r="H45" s="84" t="s">
        <v>464</v>
      </c>
      <c r="I45" s="85" t="s">
        <v>771</v>
      </c>
      <c r="J45" s="85" t="s">
        <v>649</v>
      </c>
      <c r="K45" s="85"/>
      <c r="L45" s="87">
        <f>SUMIF('1.1.1'!$E$5:$E$176,$G45,'1.1.1'!$AD$5:$AD$176)</f>
        <v>0</v>
      </c>
      <c r="M45" s="136"/>
      <c r="N45" s="86">
        <f>SUMIF('1.1.1'!$E$5:$E$176,$G45,'1.1.1'!$AC$5:$AC$176)</f>
        <v>23600</v>
      </c>
    </row>
    <row r="46" spans="1:16" hidden="1" outlineLevel="1" x14ac:dyDescent="0.25">
      <c r="A46" s="2"/>
      <c r="B46" s="79"/>
      <c r="C46" s="80">
        <v>1</v>
      </c>
      <c r="D46" s="81" t="s">
        <v>3</v>
      </c>
      <c r="E46" s="82" t="s">
        <v>539</v>
      </c>
      <c r="F46" s="82" t="s">
        <v>209</v>
      </c>
      <c r="G46" s="83" t="s">
        <v>1065</v>
      </c>
      <c r="H46" s="84" t="s">
        <v>464</v>
      </c>
      <c r="I46" s="85" t="s">
        <v>771</v>
      </c>
      <c r="J46" s="85" t="s">
        <v>649</v>
      </c>
      <c r="K46" s="85"/>
      <c r="L46" s="87">
        <f>SUMIF('1.1.1'!$E$5:$E$176,$G46,'1.1.1'!$AD$5:$AD$176)</f>
        <v>0</v>
      </c>
      <c r="M46" s="136"/>
      <c r="N46" s="86">
        <f>SUMIF('1.1.1'!$E$5:$E$176,$G46,'1.1.1'!$AC$5:$AC$176)</f>
        <v>1724</v>
      </c>
    </row>
    <row r="47" spans="1:16" hidden="1" outlineLevel="1" x14ac:dyDescent="0.25">
      <c r="A47" s="2"/>
      <c r="B47" s="79"/>
      <c r="C47" s="80">
        <v>1</v>
      </c>
      <c r="D47" s="81" t="s">
        <v>3</v>
      </c>
      <c r="E47" s="82" t="s">
        <v>539</v>
      </c>
      <c r="F47" s="82" t="s">
        <v>209</v>
      </c>
      <c r="G47" s="83" t="s">
        <v>1062</v>
      </c>
      <c r="H47" s="84" t="s">
        <v>464</v>
      </c>
      <c r="I47" s="85" t="s">
        <v>771</v>
      </c>
      <c r="J47" s="85" t="s">
        <v>649</v>
      </c>
      <c r="K47" s="85"/>
      <c r="L47" s="87">
        <f>SUMIF('1.1.1'!$E$5:$E$176,$G47,'1.1.1'!$AD$5:$AD$176)</f>
        <v>0</v>
      </c>
      <c r="M47" s="136"/>
      <c r="N47" s="86">
        <f>SUMIF('1.1.1'!$E$5:$E$176,$G47,'1.1.1'!$AC$5:$AC$176)</f>
        <v>22136</v>
      </c>
    </row>
    <row r="48" spans="1:16" hidden="1" outlineLevel="1" x14ac:dyDescent="0.25">
      <c r="A48" s="2"/>
      <c r="B48" s="79"/>
      <c r="C48" s="80">
        <v>1</v>
      </c>
      <c r="D48" s="81" t="s">
        <v>3</v>
      </c>
      <c r="E48" s="82" t="s">
        <v>539</v>
      </c>
      <c r="F48" s="82" t="s">
        <v>209</v>
      </c>
      <c r="G48" s="83" t="s">
        <v>1063</v>
      </c>
      <c r="H48" s="84" t="s">
        <v>464</v>
      </c>
      <c r="I48" s="85" t="s">
        <v>771</v>
      </c>
      <c r="J48" s="85" t="s">
        <v>649</v>
      </c>
      <c r="K48" s="85"/>
      <c r="L48" s="87">
        <f>SUMIF('1.1.1'!$E$5:$E$176,$G48,'1.1.1'!$AD$5:$AD$176)</f>
        <v>0</v>
      </c>
      <c r="M48" s="136"/>
      <c r="N48" s="86">
        <f>SUMIF('1.1.1'!$E$5:$E$176,$G48,'1.1.1'!$AC$5:$AC$176)</f>
        <v>0</v>
      </c>
    </row>
    <row r="49" spans="1:16" hidden="1" outlineLevel="1" x14ac:dyDescent="0.25">
      <c r="A49" s="2"/>
      <c r="B49" s="79"/>
      <c r="C49" s="80">
        <v>1</v>
      </c>
      <c r="D49" s="81" t="s">
        <v>3</v>
      </c>
      <c r="E49" s="82" t="s">
        <v>539</v>
      </c>
      <c r="F49" s="82" t="s">
        <v>209</v>
      </c>
      <c r="G49" s="83" t="s">
        <v>0</v>
      </c>
      <c r="H49" s="84" t="s">
        <v>464</v>
      </c>
      <c r="I49" s="85" t="s">
        <v>771</v>
      </c>
      <c r="J49" s="85" t="s">
        <v>649</v>
      </c>
      <c r="K49" s="85"/>
      <c r="L49" s="87">
        <f>SUMIF('1.1.1'!$E$5:$E$176,$G49,'1.1.1'!$AD$5:$AD$176)</f>
        <v>3934</v>
      </c>
      <c r="M49" s="136"/>
      <c r="N49" s="86">
        <f>SUMIF('1.1.1'!$E$5:$E$176,$G49,'1.1.1'!$AC$5:$AC$176)</f>
        <v>20643</v>
      </c>
    </row>
    <row r="50" spans="1:16" hidden="1" collapsed="1" x14ac:dyDescent="0.25">
      <c r="A50" s="2">
        <v>1</v>
      </c>
      <c r="B50" s="3" t="s">
        <v>3</v>
      </c>
      <c r="C50" s="2">
        <v>1</v>
      </c>
      <c r="D50" s="863" t="s">
        <v>3</v>
      </c>
      <c r="E50" s="3" t="s">
        <v>539</v>
      </c>
      <c r="F50" s="3" t="s">
        <v>213</v>
      </c>
      <c r="G50" s="8" t="s">
        <v>214</v>
      </c>
      <c r="H50" s="9" t="s">
        <v>464</v>
      </c>
      <c r="I50" s="5"/>
      <c r="J50" s="5"/>
      <c r="K50" s="5">
        <f>'1.1.1'!AL$178</f>
        <v>0</v>
      </c>
      <c r="L50" s="29">
        <f>'1.1.1'!AM$177</f>
        <v>0</v>
      </c>
      <c r="M50" s="29">
        <f>'1.1.1'!AN$177</f>
        <v>0</v>
      </c>
      <c r="N50" s="24">
        <f>'1.1.1'!AL$177</f>
        <v>0</v>
      </c>
      <c r="O50" s="874"/>
      <c r="P50" s="874"/>
    </row>
    <row r="51" spans="1:16" ht="25.5" hidden="1" x14ac:dyDescent="0.25">
      <c r="A51" s="2">
        <v>1</v>
      </c>
      <c r="B51" s="3" t="s">
        <v>3</v>
      </c>
      <c r="C51" s="2">
        <v>1</v>
      </c>
      <c r="D51" s="863" t="s">
        <v>3</v>
      </c>
      <c r="E51" s="3" t="s">
        <v>539</v>
      </c>
      <c r="F51" s="3" t="s">
        <v>215</v>
      </c>
      <c r="G51" s="8" t="s">
        <v>1072</v>
      </c>
      <c r="H51" s="9" t="s">
        <v>464</v>
      </c>
      <c r="I51" s="5" t="s">
        <v>771</v>
      </c>
      <c r="J51" s="5" t="s">
        <v>602</v>
      </c>
      <c r="K51" s="5">
        <f>'1.1.1'!AR$178</f>
        <v>43</v>
      </c>
      <c r="L51" s="29">
        <f>'1.1.1'!AS$177</f>
        <v>7</v>
      </c>
      <c r="M51" s="29">
        <f>'1.1.1'!AT$177</f>
        <v>204</v>
      </c>
      <c r="N51" s="24">
        <f>'1.1.1'!AR$177</f>
        <v>207</v>
      </c>
      <c r="O51" s="875" t="s">
        <v>84</v>
      </c>
      <c r="P51" s="875" t="s">
        <v>216</v>
      </c>
    </row>
    <row r="52" spans="1:16" ht="25.5" hidden="1" x14ac:dyDescent="0.25">
      <c r="A52" s="2">
        <v>1</v>
      </c>
      <c r="B52" s="3" t="s">
        <v>3</v>
      </c>
      <c r="C52" s="2">
        <v>1</v>
      </c>
      <c r="D52" s="876" t="s">
        <v>3</v>
      </c>
      <c r="E52" s="3" t="s">
        <v>539</v>
      </c>
      <c r="F52" s="3" t="s">
        <v>218</v>
      </c>
      <c r="G52" s="8" t="s">
        <v>1071</v>
      </c>
      <c r="H52" s="9" t="s">
        <v>467</v>
      </c>
      <c r="I52" s="5" t="s">
        <v>469</v>
      </c>
      <c r="J52" s="5" t="s">
        <v>602</v>
      </c>
      <c r="K52" s="5">
        <f>'1.1.1'!BA$178</f>
        <v>127</v>
      </c>
      <c r="L52" s="29">
        <f>'1.1.1'!BB$177</f>
        <v>400.59000000000003</v>
      </c>
      <c r="M52" s="29">
        <f>'1.1.1'!BC$177</f>
        <v>47958.648000000016</v>
      </c>
      <c r="N52" s="24">
        <f>'1.1.1'!BA$177</f>
        <v>56934.209000000003</v>
      </c>
      <c r="O52" s="195" t="s">
        <v>78</v>
      </c>
      <c r="P52" s="195" t="s">
        <v>79</v>
      </c>
    </row>
    <row r="53" spans="1:16" hidden="1" x14ac:dyDescent="0.25">
      <c r="A53" s="2"/>
      <c r="B53" s="3"/>
      <c r="C53" s="80">
        <v>1</v>
      </c>
      <c r="D53" s="81" t="s">
        <v>3</v>
      </c>
      <c r="E53" s="82" t="s">
        <v>539</v>
      </c>
      <c r="F53" s="82" t="s">
        <v>218</v>
      </c>
      <c r="G53" s="83" t="s">
        <v>1064</v>
      </c>
      <c r="H53" s="84" t="s">
        <v>467</v>
      </c>
      <c r="I53" s="85" t="s">
        <v>469</v>
      </c>
      <c r="J53" s="85" t="s">
        <v>602</v>
      </c>
      <c r="K53" s="85"/>
      <c r="L53" s="87">
        <f>SUMIF('1.1.1'!$E$5:$E$176,$G53,'1.1.1'!$BB$5:$BB$176)</f>
        <v>0</v>
      </c>
      <c r="M53" s="136"/>
      <c r="N53" s="86">
        <f>SUMIF('1.1.1'!$E$5:$E$176,$G53,'1.1.1'!$BA$5:$BA$176)</f>
        <v>3571</v>
      </c>
      <c r="P53" t="str">
        <f t="shared" ref="P53" si="0">CONCATENATE(E53," - ",F53)</f>
        <v>1.1.1 B - P0702</v>
      </c>
    </row>
    <row r="54" spans="1:16" ht="25.5" hidden="1" x14ac:dyDescent="0.25">
      <c r="A54" s="2">
        <v>1</v>
      </c>
      <c r="B54" s="3" t="s">
        <v>3</v>
      </c>
      <c r="C54" s="2">
        <v>1</v>
      </c>
      <c r="D54" s="876" t="s">
        <v>3</v>
      </c>
      <c r="E54" s="3" t="s">
        <v>539</v>
      </c>
      <c r="F54" s="3" t="s">
        <v>219</v>
      </c>
      <c r="G54" s="8" t="s">
        <v>1070</v>
      </c>
      <c r="H54" s="9" t="s">
        <v>467</v>
      </c>
      <c r="I54" s="5" t="s">
        <v>469</v>
      </c>
      <c r="J54" s="5" t="s">
        <v>602</v>
      </c>
      <c r="K54" s="5">
        <f>'1.1.1'!BD$178</f>
        <v>46</v>
      </c>
      <c r="L54" s="29">
        <f>'1.1.1'!BE$177</f>
        <v>120</v>
      </c>
      <c r="M54" s="29">
        <f>'1.1.1'!BF$177</f>
        <v>124386.5</v>
      </c>
      <c r="N54" s="24">
        <f>'1.1.1'!BD$177</f>
        <v>157113.5</v>
      </c>
      <c r="O54" s="195" t="s">
        <v>80</v>
      </c>
      <c r="P54" s="195" t="s">
        <v>81</v>
      </c>
    </row>
    <row r="55" spans="1:16" hidden="1" outlineLevel="1" x14ac:dyDescent="0.25">
      <c r="A55" s="2"/>
      <c r="B55" s="79"/>
      <c r="C55" s="80">
        <v>1</v>
      </c>
      <c r="D55" s="81" t="s">
        <v>3</v>
      </c>
      <c r="E55" s="82" t="s">
        <v>539</v>
      </c>
      <c r="F55" s="82" t="s">
        <v>215</v>
      </c>
      <c r="G55" s="83" t="s">
        <v>1058</v>
      </c>
      <c r="H55" s="84" t="s">
        <v>464</v>
      </c>
      <c r="I55" s="85" t="s">
        <v>771</v>
      </c>
      <c r="J55" s="85" t="s">
        <v>602</v>
      </c>
      <c r="K55" s="85"/>
      <c r="L55" s="87">
        <f>SUMIF('1.1.1'!$E$5:$E$176,$G55,'1.1.1'!$AS$5:$AS$176)</f>
        <v>0</v>
      </c>
      <c r="M55" s="136"/>
      <c r="N55" s="86">
        <f>SUMIF('1.1.1'!$E$5:$E$176,$G55,'1.1.1'!$AR$5:$AR$176)</f>
        <v>6</v>
      </c>
    </row>
    <row r="56" spans="1:16" hidden="1" outlineLevel="1" x14ac:dyDescent="0.25">
      <c r="A56" s="2"/>
      <c r="B56" s="79"/>
      <c r="C56" s="80">
        <v>1</v>
      </c>
      <c r="D56" s="81" t="s">
        <v>3</v>
      </c>
      <c r="E56" s="82" t="s">
        <v>539</v>
      </c>
      <c r="F56" s="82" t="s">
        <v>215</v>
      </c>
      <c r="G56" s="83" t="s">
        <v>1060</v>
      </c>
      <c r="H56" s="84" t="s">
        <v>464</v>
      </c>
      <c r="I56" s="85" t="s">
        <v>771</v>
      </c>
      <c r="J56" s="85" t="s">
        <v>602</v>
      </c>
      <c r="K56" s="85"/>
      <c r="L56" s="87">
        <f>SUMIF('1.1.1'!$E$5:$E$176,$G56,'1.1.1'!$AS$5:$AS$176)</f>
        <v>0</v>
      </c>
      <c r="M56" s="136"/>
      <c r="N56" s="86">
        <f>SUMIF('1.1.1'!$E$5:$E$176,$G56,'1.1.1'!$AR$5:$AR$176)</f>
        <v>29</v>
      </c>
    </row>
    <row r="57" spans="1:16" hidden="1" outlineLevel="1" x14ac:dyDescent="0.25">
      <c r="A57" s="2"/>
      <c r="B57" s="79"/>
      <c r="C57" s="80">
        <v>1</v>
      </c>
      <c r="D57" s="81" t="s">
        <v>3</v>
      </c>
      <c r="E57" s="82" t="s">
        <v>539</v>
      </c>
      <c r="F57" s="82" t="s">
        <v>215</v>
      </c>
      <c r="G57" s="83" t="s">
        <v>1061</v>
      </c>
      <c r="H57" s="84" t="s">
        <v>464</v>
      </c>
      <c r="I57" s="85" t="s">
        <v>771</v>
      </c>
      <c r="J57" s="85" t="s">
        <v>602</v>
      </c>
      <c r="K57" s="85"/>
      <c r="L57" s="87">
        <f>SUMIF('1.1.1'!$E$5:$E$176,$G57,'1.1.1'!$AS$5:$AS$176)</f>
        <v>0</v>
      </c>
      <c r="M57" s="136"/>
      <c r="N57" s="86">
        <f>SUMIF('1.1.1'!$E$5:$E$176,$G57,'1.1.1'!$AR$5:$AR$176)</f>
        <v>33</v>
      </c>
    </row>
    <row r="58" spans="1:16" hidden="1" outlineLevel="1" x14ac:dyDescent="0.25">
      <c r="A58" s="2"/>
      <c r="B58" s="79"/>
      <c r="C58" s="80">
        <v>1</v>
      </c>
      <c r="D58" s="81" t="s">
        <v>3</v>
      </c>
      <c r="E58" s="82" t="s">
        <v>539</v>
      </c>
      <c r="F58" s="82" t="s">
        <v>215</v>
      </c>
      <c r="G58" s="83" t="s">
        <v>1059</v>
      </c>
      <c r="H58" s="84" t="s">
        <v>464</v>
      </c>
      <c r="I58" s="85" t="s">
        <v>771</v>
      </c>
      <c r="J58" s="85" t="s">
        <v>602</v>
      </c>
      <c r="K58" s="85"/>
      <c r="L58" s="87">
        <f>SUMIF('1.1.1'!$E$5:$E$176,$G58,'1.1.1'!$AS$5:$AS$176)</f>
        <v>0</v>
      </c>
      <c r="M58" s="136"/>
      <c r="N58" s="86">
        <f>SUMIF('1.1.1'!$E$5:$E$176,$G58,'1.1.1'!$AR$5:$AR$176)</f>
        <v>11</v>
      </c>
    </row>
    <row r="59" spans="1:16" hidden="1" outlineLevel="1" x14ac:dyDescent="0.25">
      <c r="A59" s="2"/>
      <c r="B59" s="79"/>
      <c r="C59" s="80">
        <v>1</v>
      </c>
      <c r="D59" s="81" t="s">
        <v>3</v>
      </c>
      <c r="E59" s="82" t="s">
        <v>539</v>
      </c>
      <c r="F59" s="82" t="s">
        <v>215</v>
      </c>
      <c r="G59" s="83" t="s">
        <v>1065</v>
      </c>
      <c r="H59" s="84" t="s">
        <v>464</v>
      </c>
      <c r="I59" s="85" t="s">
        <v>771</v>
      </c>
      <c r="J59" s="85" t="s">
        <v>602</v>
      </c>
      <c r="K59" s="85"/>
      <c r="L59" s="87">
        <f>SUMIF('1.1.1'!$E$5:$E$176,$G59,'1.1.1'!$AS$5:$AS$176)</f>
        <v>0</v>
      </c>
      <c r="M59" s="136"/>
      <c r="N59" s="86">
        <f>SUMIF('1.1.1'!$E$5:$E$176,$G59,'1.1.1'!$AR$5:$AR$176)</f>
        <v>8</v>
      </c>
    </row>
    <row r="60" spans="1:16" hidden="1" outlineLevel="1" x14ac:dyDescent="0.25">
      <c r="A60" s="2"/>
      <c r="B60" s="79"/>
      <c r="C60" s="80">
        <v>1</v>
      </c>
      <c r="D60" s="81" t="s">
        <v>3</v>
      </c>
      <c r="E60" s="82" t="s">
        <v>539</v>
      </c>
      <c r="F60" s="82" t="s">
        <v>215</v>
      </c>
      <c r="G60" s="83" t="s">
        <v>1062</v>
      </c>
      <c r="H60" s="84" t="s">
        <v>464</v>
      </c>
      <c r="I60" s="85" t="s">
        <v>771</v>
      </c>
      <c r="J60" s="85" t="s">
        <v>602</v>
      </c>
      <c r="K60" s="85"/>
      <c r="L60" s="87">
        <f>SUMIF('1.1.1'!$E$5:$E$176,$G60,'1.1.1'!$AS$5:$AS$176)</f>
        <v>0</v>
      </c>
      <c r="M60" s="136"/>
      <c r="N60" s="86">
        <f>SUMIF('1.1.1'!$E$5:$E$176,$G60,'1.1.1'!$AR$5:$AR$176)</f>
        <v>90</v>
      </c>
    </row>
    <row r="61" spans="1:16" hidden="1" outlineLevel="1" x14ac:dyDescent="0.25">
      <c r="A61" s="2"/>
      <c r="B61" s="79"/>
      <c r="C61" s="80">
        <v>1</v>
      </c>
      <c r="D61" s="81" t="s">
        <v>3</v>
      </c>
      <c r="E61" s="82" t="s">
        <v>539</v>
      </c>
      <c r="F61" s="82" t="s">
        <v>215</v>
      </c>
      <c r="G61" s="83" t="s">
        <v>1063</v>
      </c>
      <c r="H61" s="84" t="s">
        <v>464</v>
      </c>
      <c r="I61" s="85" t="s">
        <v>771</v>
      </c>
      <c r="J61" s="85" t="s">
        <v>602</v>
      </c>
      <c r="K61" s="85"/>
      <c r="L61" s="87">
        <f>SUMIF('1.1.1'!$E$5:$E$176,$G61,'1.1.1'!$AS$5:$AS$176)</f>
        <v>0</v>
      </c>
      <c r="M61" s="136"/>
      <c r="N61" s="86">
        <f>SUMIF('1.1.1'!$E$5:$E$176,$G61,'1.1.1'!$AR$5:$AR$176)</f>
        <v>0</v>
      </c>
    </row>
    <row r="62" spans="1:16" hidden="1" outlineLevel="1" x14ac:dyDescent="0.25">
      <c r="A62" s="2"/>
      <c r="B62" s="79"/>
      <c r="C62" s="80">
        <v>1</v>
      </c>
      <c r="D62" s="81" t="s">
        <v>3</v>
      </c>
      <c r="E62" s="82" t="s">
        <v>539</v>
      </c>
      <c r="F62" s="82" t="s">
        <v>215</v>
      </c>
      <c r="G62" s="83" t="s">
        <v>0</v>
      </c>
      <c r="H62" s="84" t="s">
        <v>464</v>
      </c>
      <c r="I62" s="85" t="s">
        <v>771</v>
      </c>
      <c r="J62" s="85" t="s">
        <v>602</v>
      </c>
      <c r="K62" s="85"/>
      <c r="L62" s="87">
        <f>SUMIF('1.1.1'!$E$5:$E$176,$G62,'1.1.1'!$AS$5:$AS$176)</f>
        <v>7</v>
      </c>
      <c r="M62" s="136"/>
      <c r="N62" s="86">
        <f>SUMIF('1.1.1'!$E$5:$E$176,$G62,'1.1.1'!$AR$5:$AR$176)</f>
        <v>30</v>
      </c>
    </row>
    <row r="63" spans="1:16" hidden="1" collapsed="1" x14ac:dyDescent="0.25">
      <c r="A63" s="2"/>
      <c r="B63" s="3"/>
      <c r="C63" s="80">
        <v>1</v>
      </c>
      <c r="D63" s="81" t="s">
        <v>3</v>
      </c>
      <c r="E63" s="82" t="s">
        <v>539</v>
      </c>
      <c r="F63" s="82" t="s">
        <v>219</v>
      </c>
      <c r="G63" s="83" t="s">
        <v>1064</v>
      </c>
      <c r="H63" s="84" t="s">
        <v>467</v>
      </c>
      <c r="I63" s="85" t="s">
        <v>469</v>
      </c>
      <c r="J63" s="85" t="s">
        <v>602</v>
      </c>
      <c r="K63" s="85"/>
      <c r="L63" s="87">
        <f>SUMIF('1.1.1'!$E$5:$E$176,$G63,'1.1.1'!$BE$5:$BE$176)</f>
        <v>0</v>
      </c>
      <c r="M63" s="136"/>
      <c r="N63" s="86">
        <f>SUMIF('1.1.1'!$E$5:$E$176,$G63,'1.1.1'!$BD$5:$BD$176)</f>
        <v>26852</v>
      </c>
      <c r="P63" t="str">
        <f t="shared" ref="P63:P65" si="1">CONCATENATE(E63," - ",F63)</f>
        <v>1.1.1 B - P0703</v>
      </c>
    </row>
    <row r="64" spans="1:16" ht="25.5" hidden="1" x14ac:dyDescent="0.25">
      <c r="A64" s="2">
        <v>1</v>
      </c>
      <c r="B64" s="3" t="s">
        <v>3</v>
      </c>
      <c r="C64" s="2">
        <v>1</v>
      </c>
      <c r="D64" s="863" t="s">
        <v>3</v>
      </c>
      <c r="E64" s="3" t="s">
        <v>539</v>
      </c>
      <c r="F64" s="3" t="s">
        <v>220</v>
      </c>
      <c r="G64" s="8" t="s">
        <v>1068</v>
      </c>
      <c r="H64" s="9" t="s">
        <v>467</v>
      </c>
      <c r="I64" s="5" t="s">
        <v>469</v>
      </c>
      <c r="J64" s="5" t="s">
        <v>602</v>
      </c>
      <c r="K64" s="5">
        <f>'1.1.1'!BJ$178</f>
        <v>5</v>
      </c>
      <c r="L64" s="29">
        <f>'1.1.1'!BK$177</f>
        <v>0</v>
      </c>
      <c r="M64" s="29">
        <f>'1.1.1'!BL$177</f>
        <v>84100</v>
      </c>
      <c r="N64" s="24">
        <f>'1.1.1'!BJ$177</f>
        <v>101180</v>
      </c>
      <c r="O64" s="875" t="s">
        <v>76</v>
      </c>
      <c r="P64" s="875" t="s">
        <v>2032</v>
      </c>
    </row>
    <row r="65" spans="1:16" hidden="1" x14ac:dyDescent="0.25">
      <c r="A65" s="2"/>
      <c r="B65" s="3"/>
      <c r="C65" s="80">
        <v>1</v>
      </c>
      <c r="D65" s="81" t="s">
        <v>3</v>
      </c>
      <c r="E65" s="82" t="s">
        <v>539</v>
      </c>
      <c r="F65" s="82" t="s">
        <v>220</v>
      </c>
      <c r="G65" s="83" t="s">
        <v>1064</v>
      </c>
      <c r="H65" s="84" t="s">
        <v>467</v>
      </c>
      <c r="I65" s="85" t="s">
        <v>469</v>
      </c>
      <c r="J65" s="85" t="s">
        <v>602</v>
      </c>
      <c r="K65" s="85"/>
      <c r="L65" s="87">
        <f>SUMIF('1.1.1'!$E$5:$E$176,$G65,'1.1.1'!$BK$5:$BK$176)</f>
        <v>0</v>
      </c>
      <c r="M65" s="136"/>
      <c r="N65" s="86">
        <f>SUMIF('1.1.1'!$E$5:$E$176,$G65,'1.1.1'!$BJ$5:$BJ$176)</f>
        <v>16085</v>
      </c>
      <c r="P65" t="str">
        <f t="shared" si="1"/>
        <v>1.1.1 B - P0704</v>
      </c>
    </row>
    <row r="66" spans="1:16" hidden="1" outlineLevel="1" x14ac:dyDescent="0.25">
      <c r="A66" s="2"/>
      <c r="B66" s="79"/>
      <c r="C66" s="80">
        <v>1</v>
      </c>
      <c r="D66" s="81" t="s">
        <v>3</v>
      </c>
      <c r="E66" s="82" t="s">
        <v>539</v>
      </c>
      <c r="F66" s="82" t="s">
        <v>218</v>
      </c>
      <c r="G66" s="83" t="s">
        <v>1058</v>
      </c>
      <c r="H66" s="84" t="s">
        <v>467</v>
      </c>
      <c r="I66" s="85" t="s">
        <v>469</v>
      </c>
      <c r="J66" s="85" t="s">
        <v>602</v>
      </c>
      <c r="K66" s="85"/>
      <c r="L66" s="87">
        <f>SUMIF('1.1.1'!$E$5:$E$176,$G66,'1.1.1'!$BB$5:$BB$176)</f>
        <v>0</v>
      </c>
      <c r="M66" s="136"/>
      <c r="N66" s="86">
        <f>SUMIF('1.1.1'!$E$5:$E$176,$G66,'1.1.1'!$BA$5:$BA$176)</f>
        <v>6924.5680000000002</v>
      </c>
    </row>
    <row r="67" spans="1:16" hidden="1" outlineLevel="1" x14ac:dyDescent="0.25">
      <c r="A67" s="2"/>
      <c r="B67" s="79"/>
      <c r="C67" s="80">
        <v>1</v>
      </c>
      <c r="D67" s="81" t="s">
        <v>3</v>
      </c>
      <c r="E67" s="82" t="s">
        <v>539</v>
      </c>
      <c r="F67" s="82" t="s">
        <v>218</v>
      </c>
      <c r="G67" s="83" t="s">
        <v>1060</v>
      </c>
      <c r="H67" s="84" t="s">
        <v>467</v>
      </c>
      <c r="I67" s="85" t="s">
        <v>469</v>
      </c>
      <c r="J67" s="85" t="s">
        <v>602</v>
      </c>
      <c r="K67" s="85"/>
      <c r="L67" s="87">
        <f>SUMIF('1.1.1'!$E$5:$E$176,$G67,'1.1.1'!$BB$5:$BB$176)</f>
        <v>0</v>
      </c>
      <c r="M67" s="136"/>
      <c r="N67" s="86">
        <f>SUMIF('1.1.1'!$E$5:$E$176,$G67,'1.1.1'!$BA$5:$BA$176)</f>
        <v>9387.57</v>
      </c>
    </row>
    <row r="68" spans="1:16" hidden="1" outlineLevel="1" x14ac:dyDescent="0.25">
      <c r="A68" s="2"/>
      <c r="B68" s="79"/>
      <c r="C68" s="80">
        <v>1</v>
      </c>
      <c r="D68" s="81" t="s">
        <v>3</v>
      </c>
      <c r="E68" s="82" t="s">
        <v>539</v>
      </c>
      <c r="F68" s="82" t="s">
        <v>218</v>
      </c>
      <c r="G68" s="83" t="s">
        <v>1061</v>
      </c>
      <c r="H68" s="84" t="s">
        <v>467</v>
      </c>
      <c r="I68" s="85" t="s">
        <v>469</v>
      </c>
      <c r="J68" s="85" t="s">
        <v>602</v>
      </c>
      <c r="K68" s="85"/>
      <c r="L68" s="87">
        <f>SUMIF('1.1.1'!$E$5:$E$176,$G68,'1.1.1'!$BB$5:$BB$176)</f>
        <v>151</v>
      </c>
      <c r="M68" s="136"/>
      <c r="N68" s="86">
        <f>SUMIF('1.1.1'!$E$5:$E$176,$G68,'1.1.1'!$BA$5:$BA$176)</f>
        <v>9154.8709999999992</v>
      </c>
    </row>
    <row r="69" spans="1:16" hidden="1" outlineLevel="1" x14ac:dyDescent="0.25">
      <c r="A69" s="2"/>
      <c r="B69" s="79"/>
      <c r="C69" s="80">
        <v>1</v>
      </c>
      <c r="D69" s="81" t="s">
        <v>3</v>
      </c>
      <c r="E69" s="82" t="s">
        <v>539</v>
      </c>
      <c r="F69" s="82" t="s">
        <v>218</v>
      </c>
      <c r="G69" s="83" t="s">
        <v>1059</v>
      </c>
      <c r="H69" s="84" t="s">
        <v>467</v>
      </c>
      <c r="I69" s="85" t="s">
        <v>469</v>
      </c>
      <c r="J69" s="85" t="s">
        <v>602</v>
      </c>
      <c r="K69" s="85"/>
      <c r="L69" s="87">
        <f>SUMIF('1.1.1'!$E$5:$E$176,$G69,'1.1.1'!$BB$5:$BB$176)</f>
        <v>0</v>
      </c>
      <c r="M69" s="136"/>
      <c r="N69" s="86">
        <f>SUMIF('1.1.1'!$E$5:$E$176,$G69,'1.1.1'!$BA$5:$BA$176)</f>
        <v>7072.31</v>
      </c>
    </row>
    <row r="70" spans="1:16" hidden="1" outlineLevel="1" x14ac:dyDescent="0.25">
      <c r="A70" s="2"/>
      <c r="B70" s="79"/>
      <c r="C70" s="80">
        <v>1</v>
      </c>
      <c r="D70" s="81" t="s">
        <v>3</v>
      </c>
      <c r="E70" s="82" t="s">
        <v>539</v>
      </c>
      <c r="F70" s="82" t="s">
        <v>218</v>
      </c>
      <c r="G70" s="83" t="s">
        <v>1065</v>
      </c>
      <c r="H70" s="84" t="s">
        <v>467</v>
      </c>
      <c r="I70" s="85" t="s">
        <v>469</v>
      </c>
      <c r="J70" s="85" t="s">
        <v>602</v>
      </c>
      <c r="K70" s="85"/>
      <c r="L70" s="87">
        <f>SUMIF('1.1.1'!$E$5:$E$176,$G70,'1.1.1'!$BB$5:$BB$176)</f>
        <v>0</v>
      </c>
      <c r="M70" s="136"/>
      <c r="N70" s="86">
        <f>SUMIF('1.1.1'!$E$5:$E$176,$G70,'1.1.1'!$BA$5:$BA$176)</f>
        <v>7298.2400000000007</v>
      </c>
    </row>
    <row r="71" spans="1:16" hidden="1" outlineLevel="1" x14ac:dyDescent="0.25">
      <c r="A71" s="2"/>
      <c r="B71" s="79"/>
      <c r="C71" s="80">
        <v>1</v>
      </c>
      <c r="D71" s="81" t="s">
        <v>3</v>
      </c>
      <c r="E71" s="82" t="s">
        <v>539</v>
      </c>
      <c r="F71" s="82" t="s">
        <v>218</v>
      </c>
      <c r="G71" s="83" t="s">
        <v>1062</v>
      </c>
      <c r="H71" s="84" t="s">
        <v>467</v>
      </c>
      <c r="I71" s="85" t="s">
        <v>469</v>
      </c>
      <c r="J71" s="85" t="s">
        <v>602</v>
      </c>
      <c r="K71" s="85"/>
      <c r="L71" s="87">
        <f>SUMIF('1.1.1'!$E$5:$E$176,$G71,'1.1.1'!$BB$5:$BB$176)</f>
        <v>0</v>
      </c>
      <c r="M71" s="136"/>
      <c r="N71" s="86">
        <f>SUMIF('1.1.1'!$E$5:$E$176,$G71,'1.1.1'!$BA$5:$BA$176)</f>
        <v>7821.62</v>
      </c>
    </row>
    <row r="72" spans="1:16" hidden="1" outlineLevel="1" x14ac:dyDescent="0.25">
      <c r="A72" s="2"/>
      <c r="B72" s="79"/>
      <c r="C72" s="80">
        <v>1</v>
      </c>
      <c r="D72" s="81" t="s">
        <v>3</v>
      </c>
      <c r="E72" s="82" t="s">
        <v>539</v>
      </c>
      <c r="F72" s="82" t="s">
        <v>218</v>
      </c>
      <c r="G72" s="83" t="s">
        <v>1063</v>
      </c>
      <c r="H72" s="84" t="s">
        <v>467</v>
      </c>
      <c r="I72" s="85" t="s">
        <v>469</v>
      </c>
      <c r="J72" s="85" t="s">
        <v>602</v>
      </c>
      <c r="K72" s="85"/>
      <c r="L72" s="87">
        <f>SUMIF('1.1.1'!$E$5:$E$176,$G72,'1.1.1'!$BB$5:$BB$176)</f>
        <v>0</v>
      </c>
      <c r="M72" s="136"/>
      <c r="N72" s="86">
        <f>SUMIF('1.1.1'!$E$5:$E$176,$G72,'1.1.1'!$BA$5:$BA$176)</f>
        <v>603.79</v>
      </c>
    </row>
    <row r="73" spans="1:16" hidden="1" outlineLevel="1" x14ac:dyDescent="0.25">
      <c r="A73" s="2"/>
      <c r="B73" s="79"/>
      <c r="C73" s="80">
        <v>1</v>
      </c>
      <c r="D73" s="81" t="s">
        <v>3</v>
      </c>
      <c r="E73" s="82" t="s">
        <v>539</v>
      </c>
      <c r="F73" s="82" t="s">
        <v>218</v>
      </c>
      <c r="G73" s="83" t="s">
        <v>0</v>
      </c>
      <c r="H73" s="84" t="s">
        <v>467</v>
      </c>
      <c r="I73" s="85" t="s">
        <v>469</v>
      </c>
      <c r="J73" s="85" t="s">
        <v>602</v>
      </c>
      <c r="K73" s="85"/>
      <c r="L73" s="87">
        <f>SUMIF('1.1.1'!$E$5:$E$176,$G73,'1.1.1'!$BB$5:$BB$176)</f>
        <v>249.59</v>
      </c>
      <c r="M73" s="136"/>
      <c r="N73" s="86">
        <f>SUMIF('1.1.1'!$E$5:$E$176,$G73,'1.1.1'!$BA$5:$BA$176)</f>
        <v>5100.24</v>
      </c>
    </row>
    <row r="74" spans="1:16" ht="25.5" hidden="1" outlineLevel="1" x14ac:dyDescent="0.25">
      <c r="A74" s="2">
        <v>1</v>
      </c>
      <c r="B74" s="79" t="s">
        <v>3</v>
      </c>
      <c r="C74" s="2">
        <v>1</v>
      </c>
      <c r="D74" s="863" t="s">
        <v>3</v>
      </c>
      <c r="E74" s="115" t="s">
        <v>539</v>
      </c>
      <c r="F74" s="115" t="s">
        <v>221</v>
      </c>
      <c r="G74" s="8" t="s">
        <v>222</v>
      </c>
      <c r="H74" s="114" t="s">
        <v>464</v>
      </c>
      <c r="I74" s="5"/>
      <c r="J74" s="5"/>
      <c r="K74" s="5">
        <f>'1.1.1'!BP$178</f>
        <v>0</v>
      </c>
      <c r="L74" s="29">
        <f>'1.1.1'!BQ$177</f>
        <v>0</v>
      </c>
      <c r="M74" s="29">
        <f>'1.1.1'!BR$177</f>
        <v>0</v>
      </c>
      <c r="N74" s="24">
        <f>'1.1.1'!BP$177</f>
        <v>0</v>
      </c>
      <c r="O74" s="874"/>
      <c r="P74" s="874"/>
    </row>
    <row r="75" spans="1:16" hidden="1" x14ac:dyDescent="0.25">
      <c r="A75" s="2">
        <v>1</v>
      </c>
      <c r="B75" s="3" t="s">
        <v>3</v>
      </c>
      <c r="C75" s="2">
        <v>1</v>
      </c>
      <c r="D75" s="863" t="s">
        <v>3</v>
      </c>
      <c r="E75" s="3" t="s">
        <v>537</v>
      </c>
      <c r="F75" s="3" t="s">
        <v>199</v>
      </c>
      <c r="G75" s="8" t="s">
        <v>200</v>
      </c>
      <c r="H75" s="9" t="s">
        <v>467</v>
      </c>
      <c r="I75" s="5" t="s">
        <v>469</v>
      </c>
      <c r="J75" s="5"/>
      <c r="K75" s="5">
        <f>'1.1.1'!K$178</f>
        <v>0</v>
      </c>
      <c r="L75" s="29">
        <f>'1.1.1'!L$177</f>
        <v>0</v>
      </c>
      <c r="M75" s="29">
        <f>'1.1.1'!M$177</f>
        <v>0</v>
      </c>
      <c r="N75" s="24">
        <f>'1.1.1'!K$177</f>
        <v>0</v>
      </c>
      <c r="O75" s="874"/>
      <c r="P75" s="874"/>
    </row>
    <row r="76" spans="1:16" hidden="1" outlineLevel="1" x14ac:dyDescent="0.25">
      <c r="A76" s="2"/>
      <c r="B76" s="79"/>
      <c r="C76" s="80">
        <v>1</v>
      </c>
      <c r="D76" s="81" t="s">
        <v>3</v>
      </c>
      <c r="E76" s="82" t="s">
        <v>539</v>
      </c>
      <c r="F76" s="82" t="s">
        <v>219</v>
      </c>
      <c r="G76" s="83" t="s">
        <v>1058</v>
      </c>
      <c r="H76" s="84" t="s">
        <v>467</v>
      </c>
      <c r="I76" s="85" t="s">
        <v>469</v>
      </c>
      <c r="J76" s="85" t="s">
        <v>602</v>
      </c>
      <c r="K76" s="85"/>
      <c r="L76" s="87">
        <f>SUMIF('1.1.1'!$E$5:$E$176,$G76,'1.1.1'!$BE$5:$BE$176)</f>
        <v>0</v>
      </c>
      <c r="M76" s="136"/>
      <c r="N76" s="86">
        <f>SUMIF('1.1.1'!$E$5:$E$176,$G76,'1.1.1'!$BD$5:$BD$176)</f>
        <v>0</v>
      </c>
    </row>
    <row r="77" spans="1:16" hidden="1" outlineLevel="1" x14ac:dyDescent="0.25">
      <c r="A77" s="2"/>
      <c r="B77" s="79"/>
      <c r="C77" s="80">
        <v>1</v>
      </c>
      <c r="D77" s="81" t="s">
        <v>3</v>
      </c>
      <c r="E77" s="82" t="s">
        <v>539</v>
      </c>
      <c r="F77" s="82" t="s">
        <v>219</v>
      </c>
      <c r="G77" s="83" t="s">
        <v>1060</v>
      </c>
      <c r="H77" s="84" t="s">
        <v>467</v>
      </c>
      <c r="I77" s="85" t="s">
        <v>469</v>
      </c>
      <c r="J77" s="85" t="s">
        <v>602</v>
      </c>
      <c r="K77" s="85"/>
      <c r="L77" s="87">
        <f>SUMIF('1.1.1'!$E$5:$E$176,$G77,'1.1.1'!$BE$5:$BE$176)</f>
        <v>0</v>
      </c>
      <c r="M77" s="136"/>
      <c r="N77" s="86">
        <f>SUMIF('1.1.1'!$E$5:$E$176,$G77,'1.1.1'!$BD$5:$BD$176)</f>
        <v>3880</v>
      </c>
    </row>
    <row r="78" spans="1:16" hidden="1" outlineLevel="1" x14ac:dyDescent="0.25">
      <c r="A78" s="2"/>
      <c r="B78" s="79"/>
      <c r="C78" s="80">
        <v>1</v>
      </c>
      <c r="D78" s="81" t="s">
        <v>3</v>
      </c>
      <c r="E78" s="82" t="s">
        <v>539</v>
      </c>
      <c r="F78" s="82" t="s">
        <v>219</v>
      </c>
      <c r="G78" s="83" t="s">
        <v>1061</v>
      </c>
      <c r="H78" s="84" t="s">
        <v>467</v>
      </c>
      <c r="I78" s="85" t="s">
        <v>469</v>
      </c>
      <c r="J78" s="85" t="s">
        <v>602</v>
      </c>
      <c r="K78" s="85"/>
      <c r="L78" s="87">
        <f>SUMIF('1.1.1'!$E$5:$E$176,$G78,'1.1.1'!$BE$5:$BE$176)</f>
        <v>120</v>
      </c>
      <c r="M78" s="136"/>
      <c r="N78" s="86">
        <f>SUMIF('1.1.1'!$E$5:$E$176,$G78,'1.1.1'!$BD$5:$BD$176)</f>
        <v>7575</v>
      </c>
    </row>
    <row r="79" spans="1:16" hidden="1" outlineLevel="1" x14ac:dyDescent="0.25">
      <c r="A79" s="2"/>
      <c r="B79" s="79"/>
      <c r="C79" s="80">
        <v>1</v>
      </c>
      <c r="D79" s="81" t="s">
        <v>3</v>
      </c>
      <c r="E79" s="82" t="s">
        <v>539</v>
      </c>
      <c r="F79" s="82" t="s">
        <v>219</v>
      </c>
      <c r="G79" s="83" t="s">
        <v>1059</v>
      </c>
      <c r="H79" s="84" t="s">
        <v>467</v>
      </c>
      <c r="I79" s="85" t="s">
        <v>469</v>
      </c>
      <c r="J79" s="85" t="s">
        <v>602</v>
      </c>
      <c r="K79" s="85"/>
      <c r="L79" s="87">
        <f>SUMIF('1.1.1'!$E$5:$E$176,$G79,'1.1.1'!$BE$5:$BE$176)</f>
        <v>0</v>
      </c>
      <c r="M79" s="136"/>
      <c r="N79" s="86">
        <f>SUMIF('1.1.1'!$E$5:$E$176,$G79,'1.1.1'!$BD$5:$BD$176)</f>
        <v>5000</v>
      </c>
    </row>
    <row r="80" spans="1:16" hidden="1" outlineLevel="1" x14ac:dyDescent="0.25">
      <c r="A80" s="2"/>
      <c r="B80" s="79"/>
      <c r="C80" s="80">
        <v>1</v>
      </c>
      <c r="D80" s="81" t="s">
        <v>3</v>
      </c>
      <c r="E80" s="82" t="s">
        <v>539</v>
      </c>
      <c r="F80" s="82" t="s">
        <v>219</v>
      </c>
      <c r="G80" s="83" t="s">
        <v>1065</v>
      </c>
      <c r="H80" s="84" t="s">
        <v>467</v>
      </c>
      <c r="I80" s="85" t="s">
        <v>469</v>
      </c>
      <c r="J80" s="85" t="s">
        <v>602</v>
      </c>
      <c r="K80" s="85"/>
      <c r="L80" s="87">
        <f>SUMIF('1.1.1'!$E$5:$E$176,$G80,'1.1.1'!$BE$5:$BE$176)</f>
        <v>0</v>
      </c>
      <c r="M80" s="136"/>
      <c r="N80" s="86">
        <f>SUMIF('1.1.1'!$E$5:$E$176,$G80,'1.1.1'!$BD$5:$BD$176)</f>
        <v>22587</v>
      </c>
    </row>
    <row r="81" spans="1:16" hidden="1" outlineLevel="1" x14ac:dyDescent="0.25">
      <c r="A81" s="2"/>
      <c r="B81" s="79"/>
      <c r="C81" s="80">
        <v>1</v>
      </c>
      <c r="D81" s="81" t="s">
        <v>3</v>
      </c>
      <c r="E81" s="82" t="s">
        <v>539</v>
      </c>
      <c r="F81" s="82" t="s">
        <v>219</v>
      </c>
      <c r="G81" s="83" t="s">
        <v>1062</v>
      </c>
      <c r="H81" s="84" t="s">
        <v>467</v>
      </c>
      <c r="I81" s="85" t="s">
        <v>469</v>
      </c>
      <c r="J81" s="85" t="s">
        <v>602</v>
      </c>
      <c r="K81" s="85"/>
      <c r="L81" s="87">
        <f>SUMIF('1.1.1'!$E$5:$E$176,$G81,'1.1.1'!$BE$5:$BE$176)</f>
        <v>0</v>
      </c>
      <c r="M81" s="136"/>
      <c r="N81" s="86">
        <f>SUMIF('1.1.1'!$E$5:$E$176,$G81,'1.1.1'!$BD$5:$BD$176)</f>
        <v>9850</v>
      </c>
    </row>
    <row r="82" spans="1:16" hidden="1" outlineLevel="1" x14ac:dyDescent="0.25">
      <c r="A82" s="2"/>
      <c r="B82" s="79"/>
      <c r="C82" s="80">
        <v>1</v>
      </c>
      <c r="D82" s="81" t="s">
        <v>3</v>
      </c>
      <c r="E82" s="82" t="s">
        <v>539</v>
      </c>
      <c r="F82" s="82" t="s">
        <v>219</v>
      </c>
      <c r="G82" s="83" t="s">
        <v>1063</v>
      </c>
      <c r="H82" s="84" t="s">
        <v>467</v>
      </c>
      <c r="I82" s="85" t="s">
        <v>469</v>
      </c>
      <c r="J82" s="85" t="s">
        <v>602</v>
      </c>
      <c r="K82" s="85"/>
      <c r="L82" s="87">
        <f>SUMIF('1.1.1'!$E$5:$E$176,$G82,'1.1.1'!$BE$5:$BE$176)</f>
        <v>0</v>
      </c>
      <c r="M82" s="136"/>
      <c r="N82" s="86">
        <f>SUMIF('1.1.1'!$E$5:$E$176,$G82,'1.1.1'!$BD$5:$BD$176)</f>
        <v>199.5</v>
      </c>
    </row>
    <row r="83" spans="1:16" hidden="1" outlineLevel="1" x14ac:dyDescent="0.25">
      <c r="A83" s="2"/>
      <c r="B83" s="79"/>
      <c r="C83" s="80">
        <v>1</v>
      </c>
      <c r="D83" s="81" t="s">
        <v>3</v>
      </c>
      <c r="E83" s="82" t="s">
        <v>539</v>
      </c>
      <c r="F83" s="82" t="s">
        <v>219</v>
      </c>
      <c r="G83" s="83" t="s">
        <v>0</v>
      </c>
      <c r="H83" s="84" t="s">
        <v>467</v>
      </c>
      <c r="I83" s="85" t="s">
        <v>469</v>
      </c>
      <c r="J83" s="85" t="s">
        <v>602</v>
      </c>
      <c r="K83" s="85"/>
      <c r="L83" s="87">
        <f>SUMIF('1.1.1'!$E$5:$E$176,$G83,'1.1.1'!$BE$5:$BE$176)</f>
        <v>0</v>
      </c>
      <c r="M83" s="136"/>
      <c r="N83" s="86">
        <f>SUMIF('1.1.1'!$E$5:$E$176,$G83,'1.1.1'!$BD$5:$BD$176)</f>
        <v>81170</v>
      </c>
    </row>
    <row r="84" spans="1:16" hidden="1" outlineLevel="1" x14ac:dyDescent="0.25">
      <c r="A84" s="2">
        <v>1</v>
      </c>
      <c r="B84" s="79" t="s">
        <v>3</v>
      </c>
      <c r="C84" s="2">
        <v>1</v>
      </c>
      <c r="D84" s="863" t="s">
        <v>3</v>
      </c>
      <c r="E84" s="115" t="s">
        <v>537</v>
      </c>
      <c r="F84" s="115" t="s">
        <v>201</v>
      </c>
      <c r="G84" s="8" t="s">
        <v>202</v>
      </c>
      <c r="H84" s="114" t="s">
        <v>467</v>
      </c>
      <c r="I84" s="5" t="s">
        <v>469</v>
      </c>
      <c r="J84" s="5" t="s">
        <v>649</v>
      </c>
      <c r="K84" s="5">
        <f>'1.1.1'!N$178</f>
        <v>1</v>
      </c>
      <c r="L84" s="29">
        <f>'1.1.1'!O$177</f>
        <v>0</v>
      </c>
      <c r="M84" s="29">
        <f>'1.1.1'!P$177</f>
        <v>0</v>
      </c>
      <c r="N84" s="24">
        <f>'1.1.1'!N$177</f>
        <v>2300</v>
      </c>
      <c r="O84" s="874"/>
      <c r="P84" s="874"/>
    </row>
    <row r="85" spans="1:16" hidden="1" x14ac:dyDescent="0.25">
      <c r="A85" s="2">
        <v>1</v>
      </c>
      <c r="B85" s="3" t="s">
        <v>3</v>
      </c>
      <c r="C85" s="2">
        <v>1</v>
      </c>
      <c r="D85" s="863" t="s">
        <v>3</v>
      </c>
      <c r="E85" s="3" t="s">
        <v>537</v>
      </c>
      <c r="F85" s="3" t="s">
        <v>209</v>
      </c>
      <c r="G85" s="8" t="s">
        <v>210</v>
      </c>
      <c r="H85" s="9" t="s">
        <v>464</v>
      </c>
      <c r="I85" s="5" t="s">
        <v>771</v>
      </c>
      <c r="J85" s="5" t="s">
        <v>649</v>
      </c>
      <c r="K85" s="5">
        <f>'1.1.1'!AF$178</f>
        <v>0</v>
      </c>
      <c r="L85" s="29">
        <f>'1.1.1'!AG$177</f>
        <v>0</v>
      </c>
      <c r="M85" s="29">
        <f>'1.1.1'!AH$177</f>
        <v>0</v>
      </c>
      <c r="N85" s="24">
        <f>'1.1.1'!AF$177</f>
        <v>0</v>
      </c>
      <c r="O85" s="874"/>
      <c r="P85" s="874"/>
    </row>
    <row r="86" spans="1:16" hidden="1" outlineLevel="1" x14ac:dyDescent="0.25">
      <c r="A86" s="2"/>
      <c r="B86" s="79"/>
      <c r="C86" s="80">
        <v>1</v>
      </c>
      <c r="D86" s="81" t="s">
        <v>3</v>
      </c>
      <c r="E86" s="82" t="s">
        <v>537</v>
      </c>
      <c r="F86" s="82" t="s">
        <v>219</v>
      </c>
      <c r="G86" s="83" t="s">
        <v>1058</v>
      </c>
      <c r="H86" s="84" t="s">
        <v>467</v>
      </c>
      <c r="I86" s="85" t="s">
        <v>469</v>
      </c>
      <c r="J86" s="85" t="s">
        <v>602</v>
      </c>
      <c r="K86" s="85"/>
      <c r="L86" s="87">
        <f>SUMIF('1.1.1'!$E$5:$E$176,$G86,'1.1.1'!$BH$5:$BH$176)</f>
        <v>0</v>
      </c>
      <c r="M86" s="136"/>
      <c r="N86" s="86">
        <f>SUMIF('1.1.1'!$E$5:$E$176,$G86,'1.1.1'!$BG$5:$BG$176)</f>
        <v>0</v>
      </c>
    </row>
    <row r="87" spans="1:16" hidden="1" outlineLevel="1" x14ac:dyDescent="0.25">
      <c r="A87" s="2"/>
      <c r="B87" s="79"/>
      <c r="C87" s="80">
        <v>1</v>
      </c>
      <c r="D87" s="81" t="s">
        <v>3</v>
      </c>
      <c r="E87" s="82" t="s">
        <v>537</v>
      </c>
      <c r="F87" s="82" t="s">
        <v>219</v>
      </c>
      <c r="G87" s="83" t="s">
        <v>1060</v>
      </c>
      <c r="H87" s="84" t="s">
        <v>467</v>
      </c>
      <c r="I87" s="85" t="s">
        <v>469</v>
      </c>
      <c r="J87" s="85" t="s">
        <v>602</v>
      </c>
      <c r="K87" s="85"/>
      <c r="L87" s="87">
        <f>SUMIF('1.1.1'!$E$5:$E$176,$G87,'1.1.1'!$BH$5:$BH$176)</f>
        <v>0</v>
      </c>
      <c r="M87" s="136"/>
      <c r="N87" s="86">
        <f>SUMIF('1.1.1'!$E$5:$E$176,$G87,'1.1.1'!$BG$5:$BG$176)</f>
        <v>0</v>
      </c>
    </row>
    <row r="88" spans="1:16" hidden="1" outlineLevel="1" x14ac:dyDescent="0.25">
      <c r="A88" s="2"/>
      <c r="B88" s="79"/>
      <c r="C88" s="80">
        <v>1</v>
      </c>
      <c r="D88" s="81" t="s">
        <v>3</v>
      </c>
      <c r="E88" s="82" t="s">
        <v>537</v>
      </c>
      <c r="F88" s="82" t="s">
        <v>219</v>
      </c>
      <c r="G88" s="83" t="s">
        <v>1061</v>
      </c>
      <c r="H88" s="84" t="s">
        <v>467</v>
      </c>
      <c r="I88" s="85" t="s">
        <v>469</v>
      </c>
      <c r="J88" s="85" t="s">
        <v>602</v>
      </c>
      <c r="K88" s="85"/>
      <c r="L88" s="87">
        <f>SUMIF('1.1.1'!$E$5:$E$176,$G88,'1.1.1'!$BH$5:$BH$176)</f>
        <v>0</v>
      </c>
      <c r="M88" s="136"/>
      <c r="N88" s="86">
        <f>SUMIF('1.1.1'!$E$5:$E$176,$G88,'1.1.1'!$BG$5:$BG$176)</f>
        <v>0</v>
      </c>
    </row>
    <row r="89" spans="1:16" hidden="1" outlineLevel="1" x14ac:dyDescent="0.25">
      <c r="A89" s="2"/>
      <c r="B89" s="79"/>
      <c r="C89" s="80">
        <v>1</v>
      </c>
      <c r="D89" s="81" t="s">
        <v>3</v>
      </c>
      <c r="E89" s="82" t="s">
        <v>537</v>
      </c>
      <c r="F89" s="82" t="s">
        <v>219</v>
      </c>
      <c r="G89" s="83" t="s">
        <v>1059</v>
      </c>
      <c r="H89" s="84" t="s">
        <v>467</v>
      </c>
      <c r="I89" s="85" t="s">
        <v>469</v>
      </c>
      <c r="J89" s="85" t="s">
        <v>602</v>
      </c>
      <c r="K89" s="85"/>
      <c r="L89" s="87">
        <f>SUMIF('1.1.1'!$E$5:$E$176,$G89,'1.1.1'!$BH$5:$BH$176)</f>
        <v>0</v>
      </c>
      <c r="M89" s="136"/>
      <c r="N89" s="86">
        <f>SUMIF('1.1.1'!$E$5:$E$176,$G89,'1.1.1'!$BG$5:$BG$176)</f>
        <v>0</v>
      </c>
    </row>
    <row r="90" spans="1:16" hidden="1" outlineLevel="1" x14ac:dyDescent="0.25">
      <c r="A90" s="2"/>
      <c r="B90" s="79"/>
      <c r="C90" s="80">
        <v>1</v>
      </c>
      <c r="D90" s="81" t="s">
        <v>3</v>
      </c>
      <c r="E90" s="82" t="s">
        <v>537</v>
      </c>
      <c r="F90" s="82" t="s">
        <v>219</v>
      </c>
      <c r="G90" s="83" t="s">
        <v>1065</v>
      </c>
      <c r="H90" s="84" t="s">
        <v>467</v>
      </c>
      <c r="I90" s="85" t="s">
        <v>469</v>
      </c>
      <c r="J90" s="85" t="s">
        <v>602</v>
      </c>
      <c r="K90" s="85"/>
      <c r="L90" s="87">
        <f>SUMIF('1.1.1'!$E$5:$E$176,$G90,'1.1.1'!$BH$5:$BH$176)</f>
        <v>0</v>
      </c>
      <c r="M90" s="136"/>
      <c r="N90" s="86">
        <f>SUMIF('1.1.1'!$E$5:$E$176,$G90,'1.1.1'!$BG$5:$BG$176)</f>
        <v>0</v>
      </c>
    </row>
    <row r="91" spans="1:16" hidden="1" outlineLevel="1" x14ac:dyDescent="0.25">
      <c r="A91" s="2"/>
      <c r="B91" s="79"/>
      <c r="C91" s="80">
        <v>1</v>
      </c>
      <c r="D91" s="81" t="s">
        <v>3</v>
      </c>
      <c r="E91" s="82" t="s">
        <v>537</v>
      </c>
      <c r="F91" s="82" t="s">
        <v>219</v>
      </c>
      <c r="G91" s="83" t="s">
        <v>1062</v>
      </c>
      <c r="H91" s="84" t="s">
        <v>467</v>
      </c>
      <c r="I91" s="85" t="s">
        <v>469</v>
      </c>
      <c r="J91" s="85" t="s">
        <v>602</v>
      </c>
      <c r="K91" s="85"/>
      <c r="L91" s="87">
        <f>SUMIF('1.1.1'!$E$5:$E$176,$G91,'1.1.1'!$BH$5:$BH$176)</f>
        <v>0</v>
      </c>
      <c r="M91" s="136"/>
      <c r="N91" s="86">
        <f>SUMIF('1.1.1'!$E$5:$E$176,$G91,'1.1.1'!$BG$5:$BG$176)</f>
        <v>0</v>
      </c>
    </row>
    <row r="92" spans="1:16" hidden="1" outlineLevel="1" x14ac:dyDescent="0.25">
      <c r="A92" s="2"/>
      <c r="B92" s="79"/>
      <c r="C92" s="80">
        <v>1</v>
      </c>
      <c r="D92" s="81" t="s">
        <v>3</v>
      </c>
      <c r="E92" s="82" t="s">
        <v>537</v>
      </c>
      <c r="F92" s="82" t="s">
        <v>219</v>
      </c>
      <c r="G92" s="83" t="s">
        <v>1063</v>
      </c>
      <c r="H92" s="84" t="s">
        <v>467</v>
      </c>
      <c r="I92" s="85" t="s">
        <v>469</v>
      </c>
      <c r="J92" s="85" t="s">
        <v>602</v>
      </c>
      <c r="K92" s="85"/>
      <c r="L92" s="87">
        <f>SUMIF('1.1.1'!$E$5:$E$176,$G92,'1.1.1'!$BH$5:$BH$176)</f>
        <v>0</v>
      </c>
      <c r="M92" s="136"/>
      <c r="N92" s="86">
        <f>SUMIF('1.1.1'!$E$5:$E$176,$G92,'1.1.1'!$BG$5:$BG$176)</f>
        <v>0</v>
      </c>
    </row>
    <row r="93" spans="1:16" hidden="1" outlineLevel="1" x14ac:dyDescent="0.25">
      <c r="A93" s="2"/>
      <c r="B93" s="79"/>
      <c r="C93" s="80">
        <v>1</v>
      </c>
      <c r="D93" s="81" t="s">
        <v>3</v>
      </c>
      <c r="E93" s="82" t="s">
        <v>537</v>
      </c>
      <c r="F93" s="82" t="s">
        <v>219</v>
      </c>
      <c r="G93" s="83" t="s">
        <v>0</v>
      </c>
      <c r="H93" s="84" t="s">
        <v>467</v>
      </c>
      <c r="I93" s="85" t="s">
        <v>469</v>
      </c>
      <c r="J93" s="85" t="s">
        <v>602</v>
      </c>
      <c r="K93" s="85"/>
      <c r="L93" s="87">
        <f>SUMIF('1.1.1'!$E$5:$E$176,$G93,'1.1.1'!$BH$5:$BH$176)</f>
        <v>0</v>
      </c>
      <c r="M93" s="136"/>
      <c r="N93" s="86">
        <f>SUMIF('1.1.1'!$E$5:$E$176,$G93,'1.1.1'!$BG$5:$BG$176)</f>
        <v>2300</v>
      </c>
    </row>
    <row r="94" spans="1:16" hidden="1" outlineLevel="1" x14ac:dyDescent="0.25">
      <c r="A94" s="2">
        <v>1</v>
      </c>
      <c r="B94" s="79" t="s">
        <v>3</v>
      </c>
      <c r="C94" s="2">
        <v>1</v>
      </c>
      <c r="D94" s="863" t="s">
        <v>3</v>
      </c>
      <c r="E94" s="115" t="s">
        <v>537</v>
      </c>
      <c r="F94" s="115" t="s">
        <v>215</v>
      </c>
      <c r="G94" s="8" t="s">
        <v>216</v>
      </c>
      <c r="H94" s="114" t="s">
        <v>464</v>
      </c>
      <c r="I94" s="5" t="s">
        <v>771</v>
      </c>
      <c r="J94" s="5" t="s">
        <v>602</v>
      </c>
      <c r="K94" s="5">
        <f>'1.1.1'!AU$178</f>
        <v>0</v>
      </c>
      <c r="L94" s="29">
        <f>'1.1.1'!AV$177</f>
        <v>0</v>
      </c>
      <c r="M94" s="29">
        <f>'1.1.1'!AW$177</f>
        <v>0</v>
      </c>
      <c r="N94" s="24">
        <f>'1.1.1'!AU$177</f>
        <v>0</v>
      </c>
      <c r="O94" s="875" t="s">
        <v>84</v>
      </c>
      <c r="P94" s="875" t="s">
        <v>216</v>
      </c>
    </row>
    <row r="95" spans="1:16" ht="25.5" hidden="1" x14ac:dyDescent="0.25">
      <c r="A95" s="2">
        <v>1</v>
      </c>
      <c r="B95" s="3" t="s">
        <v>3</v>
      </c>
      <c r="C95" s="2">
        <v>1</v>
      </c>
      <c r="D95" s="876" t="s">
        <v>3</v>
      </c>
      <c r="E95" s="3" t="s">
        <v>537</v>
      </c>
      <c r="F95" s="3" t="s">
        <v>219</v>
      </c>
      <c r="G95" s="8" t="s">
        <v>1069</v>
      </c>
      <c r="H95" s="9" t="s">
        <v>467</v>
      </c>
      <c r="I95" s="5" t="s">
        <v>469</v>
      </c>
      <c r="J95" s="5" t="s">
        <v>602</v>
      </c>
      <c r="K95" s="5">
        <f>'1.1.1'!BG$178</f>
        <v>2</v>
      </c>
      <c r="L95" s="29">
        <f>'1.1.1'!BH$177</f>
        <v>0</v>
      </c>
      <c r="M95" s="29">
        <f>'1.1.1'!BI$177</f>
        <v>0</v>
      </c>
      <c r="N95" s="24">
        <f>'1.1.1'!BG$177</f>
        <v>29152</v>
      </c>
      <c r="O95" s="195" t="s">
        <v>80</v>
      </c>
      <c r="P95" s="195" t="s">
        <v>81</v>
      </c>
    </row>
    <row r="96" spans="1:16" hidden="1" outlineLevel="1" x14ac:dyDescent="0.25">
      <c r="A96" s="2"/>
      <c r="B96" s="79"/>
      <c r="C96" s="80">
        <v>1</v>
      </c>
      <c r="D96" s="81" t="s">
        <v>3</v>
      </c>
      <c r="E96" s="82" t="s">
        <v>539</v>
      </c>
      <c r="F96" s="82" t="s">
        <v>220</v>
      </c>
      <c r="G96" s="83" t="s">
        <v>1058</v>
      </c>
      <c r="H96" s="84" t="s">
        <v>467</v>
      </c>
      <c r="I96" s="85" t="s">
        <v>469</v>
      </c>
      <c r="J96" s="85" t="s">
        <v>602</v>
      </c>
      <c r="K96" s="85"/>
      <c r="L96" s="87">
        <f>SUMIF('1.1.1'!$E$5:$E$176,$G96,'1.1.1'!$BK$5:$BK$176)</f>
        <v>0</v>
      </c>
      <c r="M96" s="136"/>
      <c r="N96" s="86">
        <f>SUMIF('1.1.1'!$E$5:$E$176,$G96,'1.1.1'!$BJ$5:$BJ$176)</f>
        <v>0</v>
      </c>
    </row>
    <row r="97" spans="1:16" hidden="1" outlineLevel="1" x14ac:dyDescent="0.25">
      <c r="A97" s="2"/>
      <c r="B97" s="79"/>
      <c r="C97" s="80">
        <v>1</v>
      </c>
      <c r="D97" s="81" t="s">
        <v>3</v>
      </c>
      <c r="E97" s="82" t="s">
        <v>539</v>
      </c>
      <c r="F97" s="82" t="s">
        <v>220</v>
      </c>
      <c r="G97" s="83" t="s">
        <v>1060</v>
      </c>
      <c r="H97" s="84" t="s">
        <v>467</v>
      </c>
      <c r="I97" s="85" t="s">
        <v>469</v>
      </c>
      <c r="J97" s="85" t="s">
        <v>602</v>
      </c>
      <c r="K97" s="85"/>
      <c r="L97" s="87">
        <f>SUMIF('1.1.1'!$E$5:$E$176,$G97,'1.1.1'!$BK$5:$BK$176)</f>
        <v>0</v>
      </c>
      <c r="M97" s="136"/>
      <c r="N97" s="86">
        <f>SUMIF('1.1.1'!$E$5:$E$176,$G97,'1.1.1'!$BJ$5:$BJ$176)</f>
        <v>0</v>
      </c>
    </row>
    <row r="98" spans="1:16" hidden="1" outlineLevel="1" x14ac:dyDescent="0.25">
      <c r="A98" s="2"/>
      <c r="B98" s="79"/>
      <c r="C98" s="80">
        <v>1</v>
      </c>
      <c r="D98" s="81" t="s">
        <v>3</v>
      </c>
      <c r="E98" s="82" t="s">
        <v>539</v>
      </c>
      <c r="F98" s="82" t="s">
        <v>220</v>
      </c>
      <c r="G98" s="83" t="s">
        <v>1061</v>
      </c>
      <c r="H98" s="84" t="s">
        <v>467</v>
      </c>
      <c r="I98" s="85" t="s">
        <v>469</v>
      </c>
      <c r="J98" s="85" t="s">
        <v>602</v>
      </c>
      <c r="K98" s="85"/>
      <c r="L98" s="87">
        <f>SUMIF('1.1.1'!$E$5:$E$176,$G98,'1.1.1'!$BK$5:$BK$176)</f>
        <v>0</v>
      </c>
      <c r="M98" s="136"/>
      <c r="N98" s="86">
        <f>SUMIF('1.1.1'!$E$5:$E$176,$G98,'1.1.1'!$BJ$5:$BJ$176)</f>
        <v>0</v>
      </c>
    </row>
    <row r="99" spans="1:16" hidden="1" outlineLevel="1" x14ac:dyDescent="0.25">
      <c r="A99" s="2"/>
      <c r="B99" s="79"/>
      <c r="C99" s="80">
        <v>1</v>
      </c>
      <c r="D99" s="81" t="s">
        <v>3</v>
      </c>
      <c r="E99" s="82" t="s">
        <v>539</v>
      </c>
      <c r="F99" s="82" t="s">
        <v>220</v>
      </c>
      <c r="G99" s="83" t="s">
        <v>1059</v>
      </c>
      <c r="H99" s="84" t="s">
        <v>467</v>
      </c>
      <c r="I99" s="85" t="s">
        <v>469</v>
      </c>
      <c r="J99" s="85" t="s">
        <v>602</v>
      </c>
      <c r="K99" s="85"/>
      <c r="L99" s="87">
        <f>SUMIF('1.1.1'!$E$5:$E$176,$G99,'1.1.1'!$BK$5:$BK$176)</f>
        <v>0</v>
      </c>
      <c r="M99" s="136"/>
      <c r="N99" s="86">
        <f>SUMIF('1.1.1'!$E$5:$E$176,$G99,'1.1.1'!$BJ$5:$BJ$176)</f>
        <v>0</v>
      </c>
    </row>
    <row r="100" spans="1:16" hidden="1" outlineLevel="1" x14ac:dyDescent="0.25">
      <c r="A100" s="2"/>
      <c r="B100" s="79"/>
      <c r="C100" s="80">
        <v>1</v>
      </c>
      <c r="D100" s="81" t="s">
        <v>3</v>
      </c>
      <c r="E100" s="82" t="s">
        <v>539</v>
      </c>
      <c r="F100" s="82" t="s">
        <v>220</v>
      </c>
      <c r="G100" s="83" t="s">
        <v>1065</v>
      </c>
      <c r="H100" s="84" t="s">
        <v>467</v>
      </c>
      <c r="I100" s="85" t="s">
        <v>469</v>
      </c>
      <c r="J100" s="85" t="s">
        <v>602</v>
      </c>
      <c r="K100" s="85"/>
      <c r="L100" s="87">
        <f>SUMIF('1.1.1'!$E$5:$E$176,$G100,'1.1.1'!$BK$5:$BK$176)</f>
        <v>0</v>
      </c>
      <c r="M100" s="136"/>
      <c r="N100" s="86">
        <f>SUMIF('1.1.1'!$E$5:$E$176,$G100,'1.1.1'!$BJ$5:$BJ$176)</f>
        <v>11095</v>
      </c>
    </row>
    <row r="101" spans="1:16" hidden="1" outlineLevel="1" x14ac:dyDescent="0.25">
      <c r="A101" s="2"/>
      <c r="B101" s="79"/>
      <c r="C101" s="80">
        <v>1</v>
      </c>
      <c r="D101" s="81" t="s">
        <v>3</v>
      </c>
      <c r="E101" s="82" t="s">
        <v>539</v>
      </c>
      <c r="F101" s="82" t="s">
        <v>220</v>
      </c>
      <c r="G101" s="83" t="s">
        <v>1062</v>
      </c>
      <c r="H101" s="84" t="s">
        <v>467</v>
      </c>
      <c r="I101" s="85" t="s">
        <v>469</v>
      </c>
      <c r="J101" s="85" t="s">
        <v>602</v>
      </c>
      <c r="K101" s="85"/>
      <c r="L101" s="87">
        <f>SUMIF('1.1.1'!$E$5:$E$176,$G101,'1.1.1'!$BK$5:$BK$176)</f>
        <v>0</v>
      </c>
      <c r="M101" s="136"/>
      <c r="N101" s="86">
        <f>SUMIF('1.1.1'!$E$5:$E$176,$G101,'1.1.1'!$BJ$5:$BJ$176)</f>
        <v>0</v>
      </c>
    </row>
    <row r="102" spans="1:16" hidden="1" outlineLevel="1" x14ac:dyDescent="0.25">
      <c r="A102" s="2"/>
      <c r="B102" s="79"/>
      <c r="C102" s="80">
        <v>1</v>
      </c>
      <c r="D102" s="81" t="s">
        <v>3</v>
      </c>
      <c r="E102" s="82" t="s">
        <v>539</v>
      </c>
      <c r="F102" s="82" t="s">
        <v>220</v>
      </c>
      <c r="G102" s="83" t="s">
        <v>1063</v>
      </c>
      <c r="H102" s="84" t="s">
        <v>467</v>
      </c>
      <c r="I102" s="85" t="s">
        <v>469</v>
      </c>
      <c r="J102" s="85" t="s">
        <v>602</v>
      </c>
      <c r="K102" s="85"/>
      <c r="L102" s="87">
        <f>SUMIF('1.1.1'!$E$5:$E$176,$G102,'1.1.1'!$BK$5:$BK$176)</f>
        <v>0</v>
      </c>
      <c r="M102" s="136"/>
      <c r="N102" s="86">
        <f>SUMIF('1.1.1'!$E$5:$E$176,$G102,'1.1.1'!$BJ$5:$BJ$176)</f>
        <v>0</v>
      </c>
    </row>
    <row r="103" spans="1:16" hidden="1" outlineLevel="1" x14ac:dyDescent="0.25">
      <c r="A103" s="2"/>
      <c r="B103" s="79"/>
      <c r="C103" s="80">
        <v>1</v>
      </c>
      <c r="D103" s="81" t="s">
        <v>3</v>
      </c>
      <c r="E103" s="82" t="s">
        <v>539</v>
      </c>
      <c r="F103" s="82" t="s">
        <v>220</v>
      </c>
      <c r="G103" s="83" t="s">
        <v>0</v>
      </c>
      <c r="H103" s="84" t="s">
        <v>467</v>
      </c>
      <c r="I103" s="85" t="s">
        <v>469</v>
      </c>
      <c r="J103" s="85" t="s">
        <v>602</v>
      </c>
      <c r="K103" s="85"/>
      <c r="L103" s="87">
        <f>SUMIF('1.1.1'!$E$5:$E$176,$G103,'1.1.1'!$BK$5:$BK$176)</f>
        <v>0</v>
      </c>
      <c r="M103" s="136"/>
      <c r="N103" s="86">
        <f>SUMIF('1.1.1'!$E$5:$E$176,$G103,'1.1.1'!$BJ$5:$BJ$176)</f>
        <v>74000</v>
      </c>
    </row>
    <row r="104" spans="1:16" hidden="1" outlineLevel="1" x14ac:dyDescent="0.25">
      <c r="A104" s="2"/>
      <c r="B104" s="79"/>
      <c r="C104" s="80">
        <v>1</v>
      </c>
      <c r="D104" s="81" t="s">
        <v>3</v>
      </c>
      <c r="E104" s="82" t="s">
        <v>537</v>
      </c>
      <c r="F104" s="82" t="s">
        <v>219</v>
      </c>
      <c r="G104" s="83" t="s">
        <v>1064</v>
      </c>
      <c r="H104" s="84" t="s">
        <v>467</v>
      </c>
      <c r="I104" s="85" t="s">
        <v>469</v>
      </c>
      <c r="J104" s="85" t="s">
        <v>602</v>
      </c>
      <c r="K104" s="85"/>
      <c r="L104" s="87">
        <f>SUMIF('1.1.1'!$E$5:$E$176,$G104,'1.1.1'!$BH$5:$BH$176)</f>
        <v>0</v>
      </c>
      <c r="M104" s="136"/>
      <c r="N104" s="86">
        <f>SUMIF('1.1.1'!$E$5:$E$176,$G104,'1.1.1'!$BG$5:$BG$176)</f>
        <v>26852</v>
      </c>
      <c r="P104" t="str">
        <f t="shared" ref="P104" si="2">CONCATENATE(E104," - ",F104)</f>
        <v>1.1.1 C - P0703</v>
      </c>
    </row>
    <row r="105" spans="1:16" hidden="1" collapsed="1" x14ac:dyDescent="0.25">
      <c r="A105" s="2">
        <v>1</v>
      </c>
      <c r="B105" s="3" t="s">
        <v>3</v>
      </c>
      <c r="C105" s="2">
        <v>1</v>
      </c>
      <c r="D105" s="863" t="s">
        <v>3</v>
      </c>
      <c r="E105" s="863" t="s">
        <v>537</v>
      </c>
      <c r="F105" s="863" t="s">
        <v>220</v>
      </c>
      <c r="G105" s="8" t="s">
        <v>1067</v>
      </c>
      <c r="H105" s="864" t="s">
        <v>467</v>
      </c>
      <c r="I105" s="5" t="s">
        <v>469</v>
      </c>
      <c r="J105" s="5" t="s">
        <v>602</v>
      </c>
      <c r="K105" s="5">
        <f>'1.1.1'!BM$178</f>
        <v>2</v>
      </c>
      <c r="L105" s="29">
        <f>'1.1.1'!BN$177</f>
        <v>0</v>
      </c>
      <c r="M105" s="29">
        <f>'1.1.1'!BO$177</f>
        <v>0</v>
      </c>
      <c r="N105" s="24">
        <f>'1.1.1'!BM$177</f>
        <v>18385</v>
      </c>
      <c r="O105" s="875" t="s">
        <v>76</v>
      </c>
      <c r="P105" s="875" t="s">
        <v>2032</v>
      </c>
    </row>
    <row r="106" spans="1:16" hidden="1" outlineLevel="1" x14ac:dyDescent="0.25">
      <c r="A106" s="2"/>
      <c r="B106" s="79"/>
      <c r="C106" s="80">
        <v>1</v>
      </c>
      <c r="D106" s="81" t="s">
        <v>3</v>
      </c>
      <c r="E106" s="82" t="s">
        <v>537</v>
      </c>
      <c r="F106" s="82" t="s">
        <v>220</v>
      </c>
      <c r="G106" s="83" t="s">
        <v>1058</v>
      </c>
      <c r="H106" s="84" t="s">
        <v>467</v>
      </c>
      <c r="I106" s="85" t="s">
        <v>469</v>
      </c>
      <c r="J106" s="85" t="s">
        <v>602</v>
      </c>
      <c r="K106" s="85"/>
      <c r="L106" s="87">
        <f>SUMIF('1.1.1'!$E$5:$E$176,$G106,'1.1.1'!$BN$5:$BN$176)</f>
        <v>0</v>
      </c>
      <c r="M106" s="136"/>
      <c r="N106" s="86">
        <f>SUMIF('1.1.1'!$E$5:$E$176,$G106,'1.1.1'!$BM$5:$BM$176)</f>
        <v>0</v>
      </c>
    </row>
    <row r="107" spans="1:16" hidden="1" outlineLevel="1" x14ac:dyDescent="0.25">
      <c r="A107" s="2"/>
      <c r="B107" s="79"/>
      <c r="C107" s="80">
        <v>1</v>
      </c>
      <c r="D107" s="81" t="s">
        <v>3</v>
      </c>
      <c r="E107" s="82" t="s">
        <v>537</v>
      </c>
      <c r="F107" s="82" t="s">
        <v>220</v>
      </c>
      <c r="G107" s="83" t="s">
        <v>1060</v>
      </c>
      <c r="H107" s="84" t="s">
        <v>467</v>
      </c>
      <c r="I107" s="85" t="s">
        <v>469</v>
      </c>
      <c r="J107" s="85" t="s">
        <v>602</v>
      </c>
      <c r="K107" s="85"/>
      <c r="L107" s="87">
        <f>SUMIF('1.1.1'!$E$5:$E$176,$G107,'1.1.1'!$BN$5:$BN$176)</f>
        <v>0</v>
      </c>
      <c r="M107" s="136"/>
      <c r="N107" s="86">
        <f>SUMIF('1.1.1'!$E$5:$E$176,$G107,'1.1.1'!$BM$5:$BM$176)</f>
        <v>0</v>
      </c>
    </row>
    <row r="108" spans="1:16" hidden="1" outlineLevel="1" x14ac:dyDescent="0.25">
      <c r="A108" s="2"/>
      <c r="B108" s="79"/>
      <c r="C108" s="80">
        <v>1</v>
      </c>
      <c r="D108" s="81" t="s">
        <v>3</v>
      </c>
      <c r="E108" s="82" t="s">
        <v>537</v>
      </c>
      <c r="F108" s="82" t="s">
        <v>220</v>
      </c>
      <c r="G108" s="83" t="s">
        <v>1061</v>
      </c>
      <c r="H108" s="84" t="s">
        <v>467</v>
      </c>
      <c r="I108" s="85" t="s">
        <v>469</v>
      </c>
      <c r="J108" s="85" t="s">
        <v>602</v>
      </c>
      <c r="K108" s="85"/>
      <c r="L108" s="87">
        <f>SUMIF('1.1.1'!$E$5:$E$176,$G108,'1.1.1'!$BN$5:$BN$176)</f>
        <v>0</v>
      </c>
      <c r="M108" s="136"/>
      <c r="N108" s="86">
        <f>SUMIF('1.1.1'!$E$5:$E$176,$G108,'1.1.1'!$BM$5:$BM$176)</f>
        <v>0</v>
      </c>
    </row>
    <row r="109" spans="1:16" hidden="1" outlineLevel="1" x14ac:dyDescent="0.25">
      <c r="A109" s="2"/>
      <c r="B109" s="79"/>
      <c r="C109" s="80">
        <v>1</v>
      </c>
      <c r="D109" s="81" t="s">
        <v>3</v>
      </c>
      <c r="E109" s="82" t="s">
        <v>537</v>
      </c>
      <c r="F109" s="82" t="s">
        <v>220</v>
      </c>
      <c r="G109" s="83" t="s">
        <v>1059</v>
      </c>
      <c r="H109" s="84" t="s">
        <v>467</v>
      </c>
      <c r="I109" s="85" t="s">
        <v>469</v>
      </c>
      <c r="J109" s="85" t="s">
        <v>602</v>
      </c>
      <c r="K109" s="85"/>
      <c r="L109" s="87">
        <f>SUMIF('1.1.1'!$E$5:$E$176,$G109,'1.1.1'!$BN$5:$BN$176)</f>
        <v>0</v>
      </c>
      <c r="M109" s="136"/>
      <c r="N109" s="86">
        <f>SUMIF('1.1.1'!$E$5:$E$176,$G109,'1.1.1'!$BM$5:$BM$176)</f>
        <v>0</v>
      </c>
    </row>
    <row r="110" spans="1:16" hidden="1" outlineLevel="1" x14ac:dyDescent="0.25">
      <c r="A110" s="2"/>
      <c r="B110" s="79"/>
      <c r="C110" s="80">
        <v>1</v>
      </c>
      <c r="D110" s="81" t="s">
        <v>3</v>
      </c>
      <c r="E110" s="82" t="s">
        <v>537</v>
      </c>
      <c r="F110" s="82" t="s">
        <v>220</v>
      </c>
      <c r="G110" s="83" t="s">
        <v>1065</v>
      </c>
      <c r="H110" s="84" t="s">
        <v>467</v>
      </c>
      <c r="I110" s="85" t="s">
        <v>469</v>
      </c>
      <c r="J110" s="85" t="s">
        <v>602</v>
      </c>
      <c r="K110" s="85"/>
      <c r="L110" s="87">
        <f>SUMIF('1.1.1'!$E$5:$E$176,$G110,'1.1.1'!$BN$5:$BN$176)</f>
        <v>0</v>
      </c>
      <c r="M110" s="136"/>
      <c r="N110" s="86">
        <f>SUMIF('1.1.1'!$E$5:$E$176,$G110,'1.1.1'!$BM$5:$BM$176)</f>
        <v>0</v>
      </c>
    </row>
    <row r="111" spans="1:16" hidden="1" outlineLevel="1" x14ac:dyDescent="0.25">
      <c r="A111" s="2"/>
      <c r="B111" s="79"/>
      <c r="C111" s="80">
        <v>1</v>
      </c>
      <c r="D111" s="81" t="s">
        <v>3</v>
      </c>
      <c r="E111" s="82" t="s">
        <v>537</v>
      </c>
      <c r="F111" s="82" t="s">
        <v>220</v>
      </c>
      <c r="G111" s="83" t="s">
        <v>1062</v>
      </c>
      <c r="H111" s="84" t="s">
        <v>467</v>
      </c>
      <c r="I111" s="85" t="s">
        <v>469</v>
      </c>
      <c r="J111" s="85" t="s">
        <v>602</v>
      </c>
      <c r="K111" s="85"/>
      <c r="L111" s="87">
        <f>SUMIF('1.1.1'!$E$5:$E$176,$G111,'1.1.1'!$BN$5:$BN$176)</f>
        <v>0</v>
      </c>
      <c r="M111" s="136"/>
      <c r="N111" s="86">
        <f>SUMIF('1.1.1'!$E$5:$E$176,$G111,'1.1.1'!$BM$5:$BM$176)</f>
        <v>0</v>
      </c>
    </row>
    <row r="112" spans="1:16" hidden="1" outlineLevel="1" x14ac:dyDescent="0.25">
      <c r="A112" s="2"/>
      <c r="B112" s="79"/>
      <c r="C112" s="80">
        <v>1</v>
      </c>
      <c r="D112" s="81" t="s">
        <v>3</v>
      </c>
      <c r="E112" s="82" t="s">
        <v>537</v>
      </c>
      <c r="F112" s="82" t="s">
        <v>220</v>
      </c>
      <c r="G112" s="83" t="s">
        <v>1063</v>
      </c>
      <c r="H112" s="84" t="s">
        <v>467</v>
      </c>
      <c r="I112" s="85" t="s">
        <v>469</v>
      </c>
      <c r="J112" s="85" t="s">
        <v>602</v>
      </c>
      <c r="K112" s="85"/>
      <c r="L112" s="87">
        <f>SUMIF('1.1.1'!$E$5:$E$176,$G112,'1.1.1'!$BN$5:$BN$176)</f>
        <v>0</v>
      </c>
      <c r="M112" s="136"/>
      <c r="N112" s="86">
        <f>SUMIF('1.1.1'!$E$5:$E$176,$G112,'1.1.1'!$BM$5:$BM$176)</f>
        <v>0</v>
      </c>
    </row>
    <row r="113" spans="1:16" hidden="1" outlineLevel="1" x14ac:dyDescent="0.25">
      <c r="A113" s="2"/>
      <c r="B113" s="79"/>
      <c r="C113" s="80">
        <v>1</v>
      </c>
      <c r="D113" s="81" t="s">
        <v>3</v>
      </c>
      <c r="E113" s="82" t="s">
        <v>537</v>
      </c>
      <c r="F113" s="82" t="s">
        <v>220</v>
      </c>
      <c r="G113" s="83" t="s">
        <v>0</v>
      </c>
      <c r="H113" s="84" t="s">
        <v>467</v>
      </c>
      <c r="I113" s="85" t="s">
        <v>469</v>
      </c>
      <c r="J113" s="85" t="s">
        <v>602</v>
      </c>
      <c r="K113" s="85"/>
      <c r="L113" s="87">
        <f>SUMIF('1.1.1'!$E$5:$E$176,$G113,'1.1.1'!$BN$5:$BN$176)</f>
        <v>0</v>
      </c>
      <c r="M113" s="136"/>
      <c r="N113" s="86">
        <f>SUMIF('1.1.1'!$E$5:$E$176,$G113,'1.1.1'!$BM$5:$BM$176)</f>
        <v>2300</v>
      </c>
    </row>
    <row r="114" spans="1:16" hidden="1" outlineLevel="1" x14ac:dyDescent="0.25">
      <c r="A114" s="2"/>
      <c r="B114" s="79"/>
      <c r="C114" s="80">
        <v>1</v>
      </c>
      <c r="D114" s="81" t="s">
        <v>3</v>
      </c>
      <c r="E114" s="82" t="s">
        <v>537</v>
      </c>
      <c r="F114" s="82" t="s">
        <v>220</v>
      </c>
      <c r="G114" s="83" t="s">
        <v>1064</v>
      </c>
      <c r="H114" s="84" t="s">
        <v>467</v>
      </c>
      <c r="I114" s="85" t="s">
        <v>469</v>
      </c>
      <c r="J114" s="85" t="s">
        <v>602</v>
      </c>
      <c r="K114" s="85"/>
      <c r="L114" s="87">
        <f>SUMIF('1.1.1'!$E$5:$E$176,$G114,'1.1.1'!$BN$5:$BN$176)</f>
        <v>0</v>
      </c>
      <c r="M114" s="136"/>
      <c r="N114" s="86">
        <f>SUMIF('1.1.1'!$E$5:$E$176,$G114,'1.1.1'!$BM$5:$BM$176)</f>
        <v>16085</v>
      </c>
      <c r="P114" t="str">
        <f t="shared" ref="P114" si="3">CONCATENATE(E114," - ",F114)</f>
        <v>1.1.1 C - P0704</v>
      </c>
    </row>
    <row r="115" spans="1:16" ht="25.5" hidden="1" collapsed="1" x14ac:dyDescent="0.25">
      <c r="A115" s="2">
        <v>1</v>
      </c>
      <c r="B115" s="3" t="s">
        <v>3</v>
      </c>
      <c r="C115" s="2">
        <v>1</v>
      </c>
      <c r="D115" s="863" t="s">
        <v>3</v>
      </c>
      <c r="E115" s="863" t="s">
        <v>556</v>
      </c>
      <c r="F115" s="863" t="s">
        <v>217</v>
      </c>
      <c r="G115" s="8" t="s">
        <v>83</v>
      </c>
      <c r="H115" s="864" t="s">
        <v>464</v>
      </c>
      <c r="I115" s="5" t="s">
        <v>469</v>
      </c>
      <c r="J115" s="5" t="s">
        <v>602</v>
      </c>
      <c r="K115" s="5">
        <f>'1.1.1'!AX$178</f>
        <v>1</v>
      </c>
      <c r="L115" s="29">
        <f>'1.1.1'!AY$177</f>
        <v>0</v>
      </c>
      <c r="M115" s="29">
        <f>'1.1.1'!AZ$177</f>
        <v>0</v>
      </c>
      <c r="N115" s="24">
        <f>'1.1.1'!AX$177</f>
        <v>1</v>
      </c>
      <c r="O115" s="875" t="s">
        <v>82</v>
      </c>
      <c r="P115" s="875" t="s">
        <v>83</v>
      </c>
    </row>
    <row r="116" spans="1:16" ht="25.5" hidden="1" x14ac:dyDescent="0.25">
      <c r="A116" s="2">
        <v>1</v>
      </c>
      <c r="B116" s="3" t="s">
        <v>2</v>
      </c>
      <c r="C116" s="3" t="s">
        <v>534</v>
      </c>
      <c r="D116" s="863" t="s">
        <v>2</v>
      </c>
      <c r="E116" s="863" t="s">
        <v>558</v>
      </c>
      <c r="F116" s="863" t="s">
        <v>223</v>
      </c>
      <c r="G116" s="8" t="s">
        <v>224</v>
      </c>
      <c r="H116" s="864" t="s">
        <v>648</v>
      </c>
      <c r="I116" s="5" t="s">
        <v>647</v>
      </c>
      <c r="J116" s="5" t="s">
        <v>602</v>
      </c>
      <c r="K116" s="5">
        <f>'1.2.1+1.2.2'!H$42</f>
        <v>36</v>
      </c>
      <c r="L116" s="29">
        <f>'1.2.1+1.2.2'!I$41</f>
        <v>195.69709999999998</v>
      </c>
      <c r="M116" s="29">
        <f>'1.2.1+1.2.2'!J$41</f>
        <v>265.60969999999998</v>
      </c>
      <c r="N116" s="24">
        <f>'1.2.1+1.2.2'!H$41</f>
        <v>809.77720000000011</v>
      </c>
      <c r="O116" s="874"/>
      <c r="P116" s="874"/>
    </row>
    <row r="117" spans="1:16" hidden="1" outlineLevel="1" x14ac:dyDescent="0.25">
      <c r="A117" s="2"/>
      <c r="B117" s="79"/>
      <c r="C117" s="82" t="s">
        <v>534</v>
      </c>
      <c r="D117" s="81" t="s">
        <v>2</v>
      </c>
      <c r="E117" s="82" t="s">
        <v>558</v>
      </c>
      <c r="F117" s="82" t="s">
        <v>223</v>
      </c>
      <c r="G117" s="83" t="s">
        <v>1058</v>
      </c>
      <c r="H117" s="84" t="s">
        <v>648</v>
      </c>
      <c r="I117" s="85" t="s">
        <v>647</v>
      </c>
      <c r="J117" s="85" t="s">
        <v>602</v>
      </c>
      <c r="K117" s="85"/>
      <c r="L117" s="87">
        <f>SUMIF('1.2.1+1.2.2'!$E$5:$E$40,$G117,'1.2.1+1.2.2'!$I$5:$I$40)</f>
        <v>0</v>
      </c>
      <c r="M117" s="136"/>
      <c r="N117" s="86">
        <f>SUMIF('1.2.1+1.2.2'!$E$5:$E$40,$G117,'1.2.1+1.2.2'!$H$5:$H$40)</f>
        <v>0</v>
      </c>
    </row>
    <row r="118" spans="1:16" hidden="1" outlineLevel="1" x14ac:dyDescent="0.25">
      <c r="A118" s="2"/>
      <c r="B118" s="79"/>
      <c r="C118" s="82" t="s">
        <v>534</v>
      </c>
      <c r="D118" s="81" t="s">
        <v>2</v>
      </c>
      <c r="E118" s="82" t="s">
        <v>558</v>
      </c>
      <c r="F118" s="82" t="s">
        <v>223</v>
      </c>
      <c r="G118" s="83" t="s">
        <v>1060</v>
      </c>
      <c r="H118" s="84" t="s">
        <v>648</v>
      </c>
      <c r="I118" s="85" t="s">
        <v>647</v>
      </c>
      <c r="J118" s="85" t="s">
        <v>602</v>
      </c>
      <c r="K118" s="85"/>
      <c r="L118" s="87">
        <f>SUMIF('1.2.1+1.2.2'!$E$5:$E$40,$G118,'1.2.1+1.2.2'!$I$5:$I$40)</f>
        <v>74.8125</v>
      </c>
      <c r="M118" s="136"/>
      <c r="N118" s="86">
        <f>SUMIF('1.2.1+1.2.2'!$E$5:$E$40,$G118,'1.2.1+1.2.2'!$H$5:$H$40)</f>
        <v>183.80840000000003</v>
      </c>
    </row>
    <row r="119" spans="1:16" hidden="1" outlineLevel="1" x14ac:dyDescent="0.25">
      <c r="A119" s="2"/>
      <c r="B119" s="79"/>
      <c r="C119" s="82" t="s">
        <v>534</v>
      </c>
      <c r="D119" s="81" t="s">
        <v>2</v>
      </c>
      <c r="E119" s="82" t="s">
        <v>558</v>
      </c>
      <c r="F119" s="82" t="s">
        <v>223</v>
      </c>
      <c r="G119" s="83" t="s">
        <v>1061</v>
      </c>
      <c r="H119" s="84" t="s">
        <v>648</v>
      </c>
      <c r="I119" s="85" t="s">
        <v>647</v>
      </c>
      <c r="J119" s="85" t="s">
        <v>602</v>
      </c>
      <c r="K119" s="85"/>
      <c r="L119" s="87">
        <f>SUMIF('1.2.1+1.2.2'!$E$5:$E$40,$G119,'1.2.1+1.2.2'!$I$5:$I$40)</f>
        <v>41.596000000000004</v>
      </c>
      <c r="M119" s="136"/>
      <c r="N119" s="86">
        <f>SUMIF('1.2.1+1.2.2'!$E$5:$E$40,$G119,'1.2.1+1.2.2'!$H$5:$H$40)</f>
        <v>205.83589999999998</v>
      </c>
    </row>
    <row r="120" spans="1:16" hidden="1" outlineLevel="1" x14ac:dyDescent="0.25">
      <c r="A120" s="2"/>
      <c r="B120" s="79"/>
      <c r="C120" s="82" t="s">
        <v>534</v>
      </c>
      <c r="D120" s="81" t="s">
        <v>2</v>
      </c>
      <c r="E120" s="82" t="s">
        <v>558</v>
      </c>
      <c r="F120" s="82" t="s">
        <v>223</v>
      </c>
      <c r="G120" s="83" t="s">
        <v>1059</v>
      </c>
      <c r="H120" s="84" t="s">
        <v>648</v>
      </c>
      <c r="I120" s="85" t="s">
        <v>647</v>
      </c>
      <c r="J120" s="85" t="s">
        <v>602</v>
      </c>
      <c r="K120" s="85"/>
      <c r="L120" s="87">
        <f>SUMIF('1.2.1+1.2.2'!$E$5:$E$40,$G120,'1.2.1+1.2.2'!$I$5:$I$40)</f>
        <v>10.235300000000001</v>
      </c>
      <c r="M120" s="136"/>
      <c r="N120" s="86">
        <f>SUMIF('1.2.1+1.2.2'!$E$5:$E$40,$G120,'1.2.1+1.2.2'!$H$5:$H$40)</f>
        <v>41.623599999999996</v>
      </c>
    </row>
    <row r="121" spans="1:16" hidden="1" outlineLevel="1" x14ac:dyDescent="0.25">
      <c r="A121" s="2"/>
      <c r="B121" s="79"/>
      <c r="C121" s="82" t="s">
        <v>534</v>
      </c>
      <c r="D121" s="81" t="s">
        <v>2</v>
      </c>
      <c r="E121" s="82" t="s">
        <v>558</v>
      </c>
      <c r="F121" s="82" t="s">
        <v>223</v>
      </c>
      <c r="G121" s="83" t="s">
        <v>1065</v>
      </c>
      <c r="H121" s="84" t="s">
        <v>648</v>
      </c>
      <c r="I121" s="85" t="s">
        <v>647</v>
      </c>
      <c r="J121" s="85" t="s">
        <v>602</v>
      </c>
      <c r="K121" s="85"/>
      <c r="L121" s="87">
        <f>SUMIF('1.2.1+1.2.2'!$E$5:$E$40,$G121,'1.2.1+1.2.2'!$I$5:$I$40)</f>
        <v>16.492000000000001</v>
      </c>
      <c r="M121" s="136"/>
      <c r="N121" s="86">
        <f>SUMIF('1.2.1+1.2.2'!$E$5:$E$40,$G121,'1.2.1+1.2.2'!$H$5:$H$40)</f>
        <v>138.01429999999999</v>
      </c>
    </row>
    <row r="122" spans="1:16" hidden="1" outlineLevel="1" x14ac:dyDescent="0.25">
      <c r="A122" s="2"/>
      <c r="B122" s="79"/>
      <c r="C122" s="82" t="s">
        <v>534</v>
      </c>
      <c r="D122" s="81" t="s">
        <v>2</v>
      </c>
      <c r="E122" s="82" t="s">
        <v>558</v>
      </c>
      <c r="F122" s="82" t="s">
        <v>223</v>
      </c>
      <c r="G122" s="83" t="s">
        <v>1062</v>
      </c>
      <c r="H122" s="84" t="s">
        <v>648</v>
      </c>
      <c r="I122" s="85" t="s">
        <v>647</v>
      </c>
      <c r="J122" s="85" t="s">
        <v>602</v>
      </c>
      <c r="K122" s="85"/>
      <c r="L122" s="87">
        <f>SUMIF('1.2.1+1.2.2'!$E$5:$E$40,$G122,'1.2.1+1.2.2'!$I$5:$I$40)</f>
        <v>6.2526999999999999</v>
      </c>
      <c r="M122" s="136"/>
      <c r="N122" s="86">
        <f>SUMIF('1.2.1+1.2.2'!$E$5:$E$40,$G122,'1.2.1+1.2.2'!$H$5:$H$40)</f>
        <v>130.06390000000002</v>
      </c>
    </row>
    <row r="123" spans="1:16" hidden="1" outlineLevel="1" x14ac:dyDescent="0.25">
      <c r="A123" s="2"/>
      <c r="B123" s="79"/>
      <c r="C123" s="82" t="s">
        <v>534</v>
      </c>
      <c r="D123" s="81" t="s">
        <v>2</v>
      </c>
      <c r="E123" s="82" t="s">
        <v>558</v>
      </c>
      <c r="F123" s="82" t="s">
        <v>223</v>
      </c>
      <c r="G123" s="83" t="s">
        <v>1063</v>
      </c>
      <c r="H123" s="84" t="s">
        <v>648</v>
      </c>
      <c r="I123" s="85" t="s">
        <v>647</v>
      </c>
      <c r="J123" s="85" t="s">
        <v>602</v>
      </c>
      <c r="K123" s="85"/>
      <c r="L123" s="87">
        <f>SUMIF('1.2.1+1.2.2'!$E$5:$E$40,$G123,'1.2.1+1.2.2'!$I$5:$I$40)</f>
        <v>0</v>
      </c>
      <c r="M123" s="136"/>
      <c r="N123" s="86">
        <f>SUMIF('1.2.1+1.2.2'!$E$5:$E$40,$G123,'1.2.1+1.2.2'!$H$5:$H$40)</f>
        <v>50.920499999999997</v>
      </c>
    </row>
    <row r="124" spans="1:16" hidden="1" outlineLevel="1" x14ac:dyDescent="0.25">
      <c r="A124" s="2"/>
      <c r="B124" s="79"/>
      <c r="C124" s="82" t="s">
        <v>534</v>
      </c>
      <c r="D124" s="81" t="s">
        <v>2</v>
      </c>
      <c r="E124" s="82" t="s">
        <v>558</v>
      </c>
      <c r="F124" s="82" t="s">
        <v>223</v>
      </c>
      <c r="G124" s="83" t="s">
        <v>0</v>
      </c>
      <c r="H124" s="84" t="s">
        <v>648</v>
      </c>
      <c r="I124" s="85" t="s">
        <v>647</v>
      </c>
      <c r="J124" s="85" t="s">
        <v>602</v>
      </c>
      <c r="K124" s="85"/>
      <c r="L124" s="87">
        <f>SUMIF('1.2.1+1.2.2'!$E$5:$E$40,$G124,'1.2.1+1.2.2'!$I$5:$I$40)</f>
        <v>2.7286000000000001</v>
      </c>
      <c r="M124" s="136"/>
      <c r="N124" s="86">
        <f>SUMIF('1.2.1+1.2.2'!$E$5:$E$40,$G124,'1.2.1+1.2.2'!$H$5:$H$40)</f>
        <v>14.140600000000001</v>
      </c>
    </row>
    <row r="125" spans="1:16" hidden="1" outlineLevel="1" x14ac:dyDescent="0.25">
      <c r="A125" s="2"/>
      <c r="B125" s="79"/>
      <c r="C125" s="82" t="s">
        <v>534</v>
      </c>
      <c r="D125" s="81" t="s">
        <v>2</v>
      </c>
      <c r="E125" s="82" t="s">
        <v>558</v>
      </c>
      <c r="F125" s="82" t="s">
        <v>223</v>
      </c>
      <c r="G125" s="83" t="s">
        <v>1066</v>
      </c>
      <c r="H125" s="84" t="s">
        <v>648</v>
      </c>
      <c r="I125" s="85" t="s">
        <v>647</v>
      </c>
      <c r="J125" s="85" t="s">
        <v>602</v>
      </c>
      <c r="K125" s="85"/>
      <c r="L125" s="87">
        <f>SUMIF('1.2.1+1.2.2'!$E$5:$E$40,$G125,'1.2.1+1.2.2'!$I$5:$I$40)</f>
        <v>43.58</v>
      </c>
      <c r="M125" s="136"/>
      <c r="N125" s="86">
        <f>SUMIF('1.2.1+1.2.2'!$E$5:$E$40,$G125,'1.2.1+1.2.2'!$H$5:$H$40)</f>
        <v>45.37</v>
      </c>
    </row>
    <row r="126" spans="1:16" hidden="1" collapsed="1" x14ac:dyDescent="0.25">
      <c r="A126" s="2">
        <v>1</v>
      </c>
      <c r="B126" s="3" t="s">
        <v>2</v>
      </c>
      <c r="C126" s="3" t="s">
        <v>534</v>
      </c>
      <c r="D126" s="863" t="s">
        <v>2</v>
      </c>
      <c r="E126" s="863" t="s">
        <v>558</v>
      </c>
      <c r="F126" s="863" t="s">
        <v>225</v>
      </c>
      <c r="G126" s="8" t="s">
        <v>226</v>
      </c>
      <c r="H126" s="864" t="s">
        <v>464</v>
      </c>
      <c r="I126" s="5" t="s">
        <v>469</v>
      </c>
      <c r="J126" s="5" t="s">
        <v>602</v>
      </c>
      <c r="K126" s="5">
        <f>'1.2.1+1.2.2'!N$42</f>
        <v>36</v>
      </c>
      <c r="L126" s="29">
        <f>'1.2.1+1.2.2'!O$41</f>
        <v>4.99</v>
      </c>
      <c r="M126" s="29">
        <f>'1.2.1+1.2.2'!P$41</f>
        <v>12</v>
      </c>
      <c r="N126" s="24">
        <f>'1.2.1+1.2.2'!N$41</f>
        <v>36</v>
      </c>
      <c r="O126" s="874"/>
      <c r="P126" s="874"/>
    </row>
    <row r="127" spans="1:16" ht="25.5" hidden="1" x14ac:dyDescent="0.25">
      <c r="A127" s="2">
        <v>1</v>
      </c>
      <c r="B127" s="3" t="s">
        <v>2</v>
      </c>
      <c r="C127" s="3" t="s">
        <v>534</v>
      </c>
      <c r="D127" s="13" t="s">
        <v>2</v>
      </c>
      <c r="E127" s="3" t="s">
        <v>558</v>
      </c>
      <c r="F127" s="3" t="s">
        <v>227</v>
      </c>
      <c r="G127" s="8" t="s">
        <v>87</v>
      </c>
      <c r="H127" s="9" t="s">
        <v>471</v>
      </c>
      <c r="I127" s="5" t="s">
        <v>647</v>
      </c>
      <c r="J127" s="5" t="s">
        <v>649</v>
      </c>
      <c r="K127" s="5">
        <f>'1.2.1+1.2.2'!T$42</f>
        <v>36</v>
      </c>
      <c r="L127" s="29">
        <f>'1.2.1+1.2.2'!U$41</f>
        <v>118171</v>
      </c>
      <c r="M127" s="29">
        <f>'1.2.1+1.2.2'!V$41</f>
        <v>151893</v>
      </c>
      <c r="N127" s="24">
        <f>'1.2.1+1.2.2'!T$41</f>
        <v>258357</v>
      </c>
      <c r="O127" s="195" t="s">
        <v>2039</v>
      </c>
      <c r="P127" s="195" t="s">
        <v>87</v>
      </c>
    </row>
    <row r="128" spans="1:16" hidden="1" outlineLevel="1" x14ac:dyDescent="0.25">
      <c r="A128" s="2"/>
      <c r="B128" s="79"/>
      <c r="C128" s="82" t="s">
        <v>534</v>
      </c>
      <c r="D128" s="81" t="s">
        <v>2</v>
      </c>
      <c r="E128" s="82" t="s">
        <v>558</v>
      </c>
      <c r="F128" s="82" t="s">
        <v>225</v>
      </c>
      <c r="G128" s="83" t="s">
        <v>1058</v>
      </c>
      <c r="H128" s="84" t="s">
        <v>464</v>
      </c>
      <c r="I128" s="85" t="s">
        <v>469</v>
      </c>
      <c r="J128" s="85" t="s">
        <v>602</v>
      </c>
      <c r="K128" s="85"/>
      <c r="L128" s="87">
        <f>SUMIF('1.2.1+1.2.2'!$E$5:$E$40,$G128,'1.2.1+1.2.2'!$O$5:$O$40)</f>
        <v>1</v>
      </c>
      <c r="M128" s="136"/>
      <c r="N128" s="86">
        <f>SUMIF('1.2.1+1.2.2'!$E$5:$E$40,$G128,'1.2.1+1.2.2'!$N$5:$N$40)</f>
        <v>2</v>
      </c>
    </row>
    <row r="129" spans="1:16" hidden="1" outlineLevel="1" x14ac:dyDescent="0.25">
      <c r="A129" s="2"/>
      <c r="B129" s="79"/>
      <c r="C129" s="82" t="s">
        <v>534</v>
      </c>
      <c r="D129" s="81" t="s">
        <v>2</v>
      </c>
      <c r="E129" s="82" t="s">
        <v>558</v>
      </c>
      <c r="F129" s="82" t="s">
        <v>225</v>
      </c>
      <c r="G129" s="83" t="s">
        <v>1060</v>
      </c>
      <c r="H129" s="84" t="s">
        <v>464</v>
      </c>
      <c r="I129" s="85" t="s">
        <v>469</v>
      </c>
      <c r="J129" s="85" t="s">
        <v>602</v>
      </c>
      <c r="K129" s="85"/>
      <c r="L129" s="87">
        <f>SUMIF('1.2.1+1.2.2'!$E$5:$E$40,$G129,'1.2.1+1.2.2'!$O$5:$O$40)</f>
        <v>0</v>
      </c>
      <c r="M129" s="136"/>
      <c r="N129" s="86">
        <f>SUMIF('1.2.1+1.2.2'!$E$5:$E$40,$G129,'1.2.1+1.2.2'!$N$5:$N$40)</f>
        <v>8</v>
      </c>
    </row>
    <row r="130" spans="1:16" hidden="1" outlineLevel="1" x14ac:dyDescent="0.25">
      <c r="A130" s="2"/>
      <c r="B130" s="79"/>
      <c r="C130" s="82" t="s">
        <v>534</v>
      </c>
      <c r="D130" s="81" t="s">
        <v>2</v>
      </c>
      <c r="E130" s="82" t="s">
        <v>558</v>
      </c>
      <c r="F130" s="82" t="s">
        <v>225</v>
      </c>
      <c r="G130" s="83" t="s">
        <v>1061</v>
      </c>
      <c r="H130" s="84" t="s">
        <v>464</v>
      </c>
      <c r="I130" s="85" t="s">
        <v>469</v>
      </c>
      <c r="J130" s="85" t="s">
        <v>602</v>
      </c>
      <c r="K130" s="85"/>
      <c r="L130" s="87">
        <f>SUMIF('1.2.1+1.2.2'!$E$5:$E$40,$G130,'1.2.1+1.2.2'!$O$5:$O$40)</f>
        <v>0</v>
      </c>
      <c r="M130" s="136"/>
      <c r="N130" s="86">
        <f>SUMIF('1.2.1+1.2.2'!$E$5:$E$40,$G130,'1.2.1+1.2.2'!$N$5:$N$40)</f>
        <v>5</v>
      </c>
    </row>
    <row r="131" spans="1:16" hidden="1" outlineLevel="1" x14ac:dyDescent="0.25">
      <c r="A131" s="2"/>
      <c r="B131" s="79"/>
      <c r="C131" s="82" t="s">
        <v>534</v>
      </c>
      <c r="D131" s="81" t="s">
        <v>2</v>
      </c>
      <c r="E131" s="82" t="s">
        <v>558</v>
      </c>
      <c r="F131" s="82" t="s">
        <v>225</v>
      </c>
      <c r="G131" s="83" t="s">
        <v>1059</v>
      </c>
      <c r="H131" s="84" t="s">
        <v>464</v>
      </c>
      <c r="I131" s="85" t="s">
        <v>469</v>
      </c>
      <c r="J131" s="85" t="s">
        <v>602</v>
      </c>
      <c r="K131" s="85"/>
      <c r="L131" s="87">
        <f>SUMIF('1.2.1+1.2.2'!$E$5:$E$40,$G131,'1.2.1+1.2.2'!$O$5:$O$40)</f>
        <v>0</v>
      </c>
      <c r="M131" s="136"/>
      <c r="N131" s="86">
        <f>SUMIF('1.2.1+1.2.2'!$E$5:$E$40,$G131,'1.2.1+1.2.2'!$N$5:$N$40)</f>
        <v>2</v>
      </c>
    </row>
    <row r="132" spans="1:16" hidden="1" outlineLevel="1" x14ac:dyDescent="0.25">
      <c r="A132" s="2"/>
      <c r="B132" s="79"/>
      <c r="C132" s="82" t="s">
        <v>534</v>
      </c>
      <c r="D132" s="81" t="s">
        <v>2</v>
      </c>
      <c r="E132" s="82" t="s">
        <v>558</v>
      </c>
      <c r="F132" s="82" t="s">
        <v>225</v>
      </c>
      <c r="G132" s="83" t="s">
        <v>1065</v>
      </c>
      <c r="H132" s="84" t="s">
        <v>464</v>
      </c>
      <c r="I132" s="85" t="s">
        <v>469</v>
      </c>
      <c r="J132" s="85" t="s">
        <v>602</v>
      </c>
      <c r="K132" s="85"/>
      <c r="L132" s="87">
        <f>SUMIF('1.2.1+1.2.2'!$E$5:$E$40,$G132,'1.2.1+1.2.2'!$O$5:$O$40)</f>
        <v>0</v>
      </c>
      <c r="M132" s="136"/>
      <c r="N132" s="86">
        <f>SUMIF('1.2.1+1.2.2'!$E$5:$E$40,$G132,'1.2.1+1.2.2'!$N$5:$N$40)</f>
        <v>9</v>
      </c>
    </row>
    <row r="133" spans="1:16" hidden="1" outlineLevel="1" x14ac:dyDescent="0.25">
      <c r="A133" s="2"/>
      <c r="B133" s="79"/>
      <c r="C133" s="82" t="s">
        <v>534</v>
      </c>
      <c r="D133" s="81" t="s">
        <v>2</v>
      </c>
      <c r="E133" s="82" t="s">
        <v>558</v>
      </c>
      <c r="F133" s="82" t="s">
        <v>225</v>
      </c>
      <c r="G133" s="83" t="s">
        <v>1062</v>
      </c>
      <c r="H133" s="84" t="s">
        <v>464</v>
      </c>
      <c r="I133" s="85" t="s">
        <v>469</v>
      </c>
      <c r="J133" s="85" t="s">
        <v>602</v>
      </c>
      <c r="K133" s="85"/>
      <c r="L133" s="87">
        <f>SUMIF('1.2.1+1.2.2'!$E$5:$E$40,$G133,'1.2.1+1.2.2'!$O$5:$O$40)</f>
        <v>0</v>
      </c>
      <c r="M133" s="136"/>
      <c r="N133" s="86">
        <f>SUMIF('1.2.1+1.2.2'!$E$5:$E$40,$G133,'1.2.1+1.2.2'!$N$5:$N$40)</f>
        <v>1</v>
      </c>
    </row>
    <row r="134" spans="1:16" hidden="1" outlineLevel="1" x14ac:dyDescent="0.25">
      <c r="A134" s="2"/>
      <c r="B134" s="79"/>
      <c r="C134" s="82" t="s">
        <v>534</v>
      </c>
      <c r="D134" s="81" t="s">
        <v>2</v>
      </c>
      <c r="E134" s="82" t="s">
        <v>558</v>
      </c>
      <c r="F134" s="82" t="s">
        <v>225</v>
      </c>
      <c r="G134" s="83" t="s">
        <v>1063</v>
      </c>
      <c r="H134" s="84" t="s">
        <v>464</v>
      </c>
      <c r="I134" s="85" t="s">
        <v>469</v>
      </c>
      <c r="J134" s="85" t="s">
        <v>602</v>
      </c>
      <c r="K134" s="85"/>
      <c r="L134" s="87">
        <f>SUMIF('1.2.1+1.2.2'!$E$5:$E$40,$G134,'1.2.1+1.2.2'!$O$5:$O$40)</f>
        <v>0</v>
      </c>
      <c r="M134" s="136"/>
      <c r="N134" s="86">
        <f>SUMIF('1.2.1+1.2.2'!$E$5:$E$40,$G134,'1.2.1+1.2.2'!$N$5:$N$40)</f>
        <v>3</v>
      </c>
    </row>
    <row r="135" spans="1:16" hidden="1" outlineLevel="1" x14ac:dyDescent="0.25">
      <c r="A135" s="2"/>
      <c r="B135" s="79"/>
      <c r="C135" s="82" t="s">
        <v>534</v>
      </c>
      <c r="D135" s="81" t="s">
        <v>2</v>
      </c>
      <c r="E135" s="82" t="s">
        <v>558</v>
      </c>
      <c r="F135" s="82" t="s">
        <v>225</v>
      </c>
      <c r="G135" s="83" t="s">
        <v>0</v>
      </c>
      <c r="H135" s="84" t="s">
        <v>464</v>
      </c>
      <c r="I135" s="85" t="s">
        <v>469</v>
      </c>
      <c r="J135" s="85" t="s">
        <v>602</v>
      </c>
      <c r="K135" s="85"/>
      <c r="L135" s="87">
        <f>SUMIF('1.2.1+1.2.2'!$E$5:$E$40,$G135,'1.2.1+1.2.2'!$O$5:$O$40)</f>
        <v>1</v>
      </c>
      <c r="M135" s="136"/>
      <c r="N135" s="86">
        <f>SUMIF('1.2.1+1.2.2'!$E$5:$E$40,$G135,'1.2.1+1.2.2'!$N$5:$N$40)</f>
        <v>3</v>
      </c>
    </row>
    <row r="136" spans="1:16" hidden="1" outlineLevel="1" x14ac:dyDescent="0.25">
      <c r="A136" s="2"/>
      <c r="B136" s="79"/>
      <c r="C136" s="82" t="s">
        <v>534</v>
      </c>
      <c r="D136" s="81" t="s">
        <v>2</v>
      </c>
      <c r="E136" s="82" t="s">
        <v>558</v>
      </c>
      <c r="F136" s="82" t="s">
        <v>225</v>
      </c>
      <c r="G136" s="83" t="s">
        <v>1066</v>
      </c>
      <c r="H136" s="84" t="s">
        <v>464</v>
      </c>
      <c r="I136" s="85" t="s">
        <v>469</v>
      </c>
      <c r="J136" s="85" t="s">
        <v>602</v>
      </c>
      <c r="K136" s="85"/>
      <c r="L136" s="87">
        <f>SUMIF('1.2.1+1.2.2'!$E$5:$E$40,$G136,'1.2.1+1.2.2'!$O$5:$O$40)</f>
        <v>2.99</v>
      </c>
      <c r="M136" s="136"/>
      <c r="N136" s="86">
        <f>SUMIF('1.2.1+1.2.2'!$E$5:$E$40,$G136,'1.2.1+1.2.2'!$N$5:$N$40)</f>
        <v>3</v>
      </c>
    </row>
    <row r="137" spans="1:16" ht="25.5" hidden="1" collapsed="1" x14ac:dyDescent="0.25">
      <c r="A137" s="2">
        <v>1</v>
      </c>
      <c r="B137" s="3" t="s">
        <v>2</v>
      </c>
      <c r="C137" s="3" t="s">
        <v>534</v>
      </c>
      <c r="D137" s="863" t="s">
        <v>2</v>
      </c>
      <c r="E137" s="3" t="s">
        <v>538</v>
      </c>
      <c r="F137" s="3" t="s">
        <v>223</v>
      </c>
      <c r="G137" s="8" t="s">
        <v>1075</v>
      </c>
      <c r="H137" s="9" t="s">
        <v>648</v>
      </c>
      <c r="I137" s="5" t="s">
        <v>647</v>
      </c>
      <c r="J137" s="5" t="s">
        <v>602</v>
      </c>
      <c r="K137" s="5">
        <f>'1.2.1+1.2.2'!K$42</f>
        <v>0</v>
      </c>
      <c r="L137" s="29">
        <f>'1.2.1+1.2.2'!L$41</f>
        <v>0</v>
      </c>
      <c r="M137" s="29">
        <f>'1.2.1+1.2.2'!M$41</f>
        <v>0</v>
      </c>
      <c r="N137" s="24">
        <f>'1.2.1+1.2.2'!K$41</f>
        <v>0</v>
      </c>
      <c r="O137" s="873"/>
      <c r="P137" s="873"/>
    </row>
    <row r="138" spans="1:16" ht="25.5" hidden="1" x14ac:dyDescent="0.25">
      <c r="A138" s="2">
        <v>1</v>
      </c>
      <c r="B138" s="3" t="s">
        <v>2</v>
      </c>
      <c r="C138" s="3" t="s">
        <v>534</v>
      </c>
      <c r="D138" s="863" t="s">
        <v>2</v>
      </c>
      <c r="E138" s="3" t="s">
        <v>538</v>
      </c>
      <c r="F138" s="3" t="s">
        <v>225</v>
      </c>
      <c r="G138" s="8" t="s">
        <v>1076</v>
      </c>
      <c r="H138" s="9" t="s">
        <v>464</v>
      </c>
      <c r="I138" s="5" t="s">
        <v>469</v>
      </c>
      <c r="J138" s="5" t="s">
        <v>602</v>
      </c>
      <c r="K138" s="5">
        <f>'1.2.1+1.2.2'!Q$42</f>
        <v>0</v>
      </c>
      <c r="L138" s="29">
        <f>'1.2.1+1.2.2'!R$41</f>
        <v>0</v>
      </c>
      <c r="M138" s="29">
        <f>'1.2.1+1.2.2'!S$41</f>
        <v>0</v>
      </c>
      <c r="N138" s="24">
        <f>'1.2.1+1.2.2'!Q$41</f>
        <v>0</v>
      </c>
      <c r="O138" s="873"/>
      <c r="P138" s="873"/>
    </row>
    <row r="139" spans="1:16" hidden="1" outlineLevel="1" x14ac:dyDescent="0.25">
      <c r="A139" s="2"/>
      <c r="B139" s="79"/>
      <c r="C139" s="82" t="s">
        <v>534</v>
      </c>
      <c r="D139" s="81" t="s">
        <v>2</v>
      </c>
      <c r="E139" s="82" t="s">
        <v>558</v>
      </c>
      <c r="F139" s="82" t="s">
        <v>227</v>
      </c>
      <c r="G139" s="83" t="s">
        <v>1058</v>
      </c>
      <c r="H139" s="84" t="s">
        <v>471</v>
      </c>
      <c r="I139" s="85" t="s">
        <v>647</v>
      </c>
      <c r="J139" s="85" t="s">
        <v>649</v>
      </c>
      <c r="K139" s="85"/>
      <c r="L139" s="87">
        <f>SUMIF('1.2.1+1.2.2'!$E$5:$E$40,$G139,'1.2.1+1.2.2'!$U$5:$U$40)</f>
        <v>3500</v>
      </c>
      <c r="M139" s="136"/>
      <c r="N139" s="86">
        <f>SUMIF('1.2.1+1.2.2'!$E$5:$E$40,$G139,'1.2.1+1.2.2'!$T$5:$T$40)</f>
        <v>7133</v>
      </c>
    </row>
    <row r="140" spans="1:16" hidden="1" outlineLevel="1" x14ac:dyDescent="0.25">
      <c r="A140" s="2"/>
      <c r="B140" s="79"/>
      <c r="C140" s="82" t="s">
        <v>534</v>
      </c>
      <c r="D140" s="81" t="s">
        <v>2</v>
      </c>
      <c r="E140" s="82" t="s">
        <v>558</v>
      </c>
      <c r="F140" s="82" t="s">
        <v>227</v>
      </c>
      <c r="G140" s="83" t="s">
        <v>1060</v>
      </c>
      <c r="H140" s="84" t="s">
        <v>471</v>
      </c>
      <c r="I140" s="85" t="s">
        <v>647</v>
      </c>
      <c r="J140" s="85" t="s">
        <v>649</v>
      </c>
      <c r="K140" s="85"/>
      <c r="L140" s="87">
        <f>SUMIF('1.2.1+1.2.2'!$E$5:$E$40,$G140,'1.2.1+1.2.2'!$U$5:$U$40)</f>
        <v>0</v>
      </c>
      <c r="M140" s="136"/>
      <c r="N140" s="86">
        <f>SUMIF('1.2.1+1.2.2'!$E$5:$E$40,$G140,'1.2.1+1.2.2'!$T$5:$T$40)</f>
        <v>25405</v>
      </c>
    </row>
    <row r="141" spans="1:16" hidden="1" outlineLevel="1" x14ac:dyDescent="0.25">
      <c r="A141" s="2"/>
      <c r="B141" s="79"/>
      <c r="C141" s="82" t="s">
        <v>534</v>
      </c>
      <c r="D141" s="81" t="s">
        <v>2</v>
      </c>
      <c r="E141" s="82" t="s">
        <v>558</v>
      </c>
      <c r="F141" s="82" t="s">
        <v>227</v>
      </c>
      <c r="G141" s="83" t="s">
        <v>1061</v>
      </c>
      <c r="H141" s="84" t="s">
        <v>471</v>
      </c>
      <c r="I141" s="85" t="s">
        <v>647</v>
      </c>
      <c r="J141" s="85" t="s">
        <v>649</v>
      </c>
      <c r="K141" s="85"/>
      <c r="L141" s="87">
        <f>SUMIF('1.2.1+1.2.2'!$E$5:$E$40,$G141,'1.2.1+1.2.2'!$U$5:$U$40)</f>
        <v>0</v>
      </c>
      <c r="M141" s="136"/>
      <c r="N141" s="86">
        <f>SUMIF('1.2.1+1.2.2'!$E$5:$E$40,$G141,'1.2.1+1.2.2'!$T$5:$T$40)</f>
        <v>32508</v>
      </c>
    </row>
    <row r="142" spans="1:16" hidden="1" outlineLevel="1" x14ac:dyDescent="0.25">
      <c r="A142" s="2"/>
      <c r="B142" s="79"/>
      <c r="C142" s="82" t="s">
        <v>534</v>
      </c>
      <c r="D142" s="81" t="s">
        <v>2</v>
      </c>
      <c r="E142" s="82" t="s">
        <v>558</v>
      </c>
      <c r="F142" s="82" t="s">
        <v>227</v>
      </c>
      <c r="G142" s="83" t="s">
        <v>1059</v>
      </c>
      <c r="H142" s="84" t="s">
        <v>471</v>
      </c>
      <c r="I142" s="85" t="s">
        <v>647</v>
      </c>
      <c r="J142" s="85" t="s">
        <v>649</v>
      </c>
      <c r="K142" s="85"/>
      <c r="L142" s="87">
        <f>SUMIF('1.2.1+1.2.2'!$E$5:$E$40,$G142,'1.2.1+1.2.2'!$U$5:$U$40)</f>
        <v>0</v>
      </c>
      <c r="M142" s="136"/>
      <c r="N142" s="86">
        <f>SUMIF('1.2.1+1.2.2'!$E$5:$E$40,$G142,'1.2.1+1.2.2'!$T$5:$T$40)</f>
        <v>4940</v>
      </c>
    </row>
    <row r="143" spans="1:16" hidden="1" outlineLevel="1" x14ac:dyDescent="0.25">
      <c r="A143" s="2"/>
      <c r="B143" s="79"/>
      <c r="C143" s="82" t="s">
        <v>534</v>
      </c>
      <c r="D143" s="81" t="s">
        <v>2</v>
      </c>
      <c r="E143" s="82" t="s">
        <v>558</v>
      </c>
      <c r="F143" s="82" t="s">
        <v>227</v>
      </c>
      <c r="G143" s="83" t="s">
        <v>1065</v>
      </c>
      <c r="H143" s="84" t="s">
        <v>471</v>
      </c>
      <c r="I143" s="85" t="s">
        <v>647</v>
      </c>
      <c r="J143" s="85" t="s">
        <v>649</v>
      </c>
      <c r="K143" s="85"/>
      <c r="L143" s="87">
        <f>SUMIF('1.2.1+1.2.2'!$E$5:$E$40,$G143,'1.2.1+1.2.2'!$U$5:$U$40)</f>
        <v>0</v>
      </c>
      <c r="M143" s="136"/>
      <c r="N143" s="86">
        <f>SUMIF('1.2.1+1.2.2'!$E$5:$E$40,$G143,'1.2.1+1.2.2'!$T$5:$T$40)</f>
        <v>31593</v>
      </c>
    </row>
    <row r="144" spans="1:16" hidden="1" outlineLevel="1" x14ac:dyDescent="0.25">
      <c r="A144" s="2"/>
      <c r="B144" s="79"/>
      <c r="C144" s="82" t="s">
        <v>534</v>
      </c>
      <c r="D144" s="81" t="s">
        <v>2</v>
      </c>
      <c r="E144" s="82" t="s">
        <v>558</v>
      </c>
      <c r="F144" s="82" t="s">
        <v>227</v>
      </c>
      <c r="G144" s="83" t="s">
        <v>1062</v>
      </c>
      <c r="H144" s="84" t="s">
        <v>471</v>
      </c>
      <c r="I144" s="85" t="s">
        <v>647</v>
      </c>
      <c r="J144" s="85" t="s">
        <v>649</v>
      </c>
      <c r="K144" s="85"/>
      <c r="L144" s="87">
        <f>SUMIF('1.2.1+1.2.2'!$E$5:$E$40,$G144,'1.2.1+1.2.2'!$U$5:$U$40)</f>
        <v>0</v>
      </c>
      <c r="M144" s="136"/>
      <c r="N144" s="86">
        <f>SUMIF('1.2.1+1.2.2'!$E$5:$E$40,$G144,'1.2.1+1.2.2'!$T$5:$T$40)</f>
        <v>19997</v>
      </c>
    </row>
    <row r="145" spans="1:16" hidden="1" outlineLevel="1" x14ac:dyDescent="0.25">
      <c r="A145" s="2"/>
      <c r="B145" s="79"/>
      <c r="C145" s="82" t="s">
        <v>534</v>
      </c>
      <c r="D145" s="81" t="s">
        <v>2</v>
      </c>
      <c r="E145" s="82" t="s">
        <v>558</v>
      </c>
      <c r="F145" s="82" t="s">
        <v>227</v>
      </c>
      <c r="G145" s="83" t="s">
        <v>1063</v>
      </c>
      <c r="H145" s="84" t="s">
        <v>471</v>
      </c>
      <c r="I145" s="85" t="s">
        <v>647</v>
      </c>
      <c r="J145" s="85" t="s">
        <v>649</v>
      </c>
      <c r="K145" s="85"/>
      <c r="L145" s="87">
        <f>SUMIF('1.2.1+1.2.2'!$E$5:$E$40,$G145,'1.2.1+1.2.2'!$U$5:$U$40)</f>
        <v>0</v>
      </c>
      <c r="M145" s="136"/>
      <c r="N145" s="86">
        <f>SUMIF('1.2.1+1.2.2'!$E$5:$E$40,$G145,'1.2.1+1.2.2'!$T$5:$T$40)</f>
        <v>16975</v>
      </c>
    </row>
    <row r="146" spans="1:16" hidden="1" outlineLevel="1" x14ac:dyDescent="0.25">
      <c r="A146" s="2"/>
      <c r="B146" s="79"/>
      <c r="C146" s="82" t="s">
        <v>534</v>
      </c>
      <c r="D146" s="81" t="s">
        <v>2</v>
      </c>
      <c r="E146" s="82" t="s">
        <v>558</v>
      </c>
      <c r="F146" s="82" t="s">
        <v>227</v>
      </c>
      <c r="G146" s="83" t="s">
        <v>0</v>
      </c>
      <c r="H146" s="84" t="s">
        <v>471</v>
      </c>
      <c r="I146" s="85" t="s">
        <v>647</v>
      </c>
      <c r="J146" s="85" t="s">
        <v>649</v>
      </c>
      <c r="K146" s="85"/>
      <c r="L146" s="87">
        <f>SUMIF('1.2.1+1.2.2'!$E$5:$E$40,$G146,'1.2.1+1.2.2'!$U$5:$U$40)</f>
        <v>2512</v>
      </c>
      <c r="M146" s="136"/>
      <c r="N146" s="86">
        <f>SUMIF('1.2.1+1.2.2'!$E$5:$E$40,$G146,'1.2.1+1.2.2'!$T$5:$T$40)</f>
        <v>7647</v>
      </c>
    </row>
    <row r="147" spans="1:16" hidden="1" outlineLevel="1" x14ac:dyDescent="0.25">
      <c r="A147" s="2"/>
      <c r="B147" s="79"/>
      <c r="C147" s="82" t="s">
        <v>534</v>
      </c>
      <c r="D147" s="81" t="s">
        <v>2</v>
      </c>
      <c r="E147" s="82" t="s">
        <v>558</v>
      </c>
      <c r="F147" s="82" t="s">
        <v>227</v>
      </c>
      <c r="G147" s="83" t="s">
        <v>1066</v>
      </c>
      <c r="H147" s="84" t="s">
        <v>471</v>
      </c>
      <c r="I147" s="85" t="s">
        <v>647</v>
      </c>
      <c r="J147" s="85" t="s">
        <v>649</v>
      </c>
      <c r="K147" s="85"/>
      <c r="L147" s="87">
        <f>SUMIF('1.2.1+1.2.2'!$E$5:$E$40,$G147,'1.2.1+1.2.2'!$U$5:$U$40)</f>
        <v>112159</v>
      </c>
      <c r="M147" s="136"/>
      <c r="N147" s="86">
        <f>SUMIF('1.2.1+1.2.2'!$E$5:$E$40,$G147,'1.2.1+1.2.2'!$T$5:$T$40)</f>
        <v>112159</v>
      </c>
    </row>
    <row r="148" spans="1:16" ht="25.5" hidden="1" collapsed="1" x14ac:dyDescent="0.25">
      <c r="A148" s="2">
        <v>1</v>
      </c>
      <c r="B148" s="3" t="s">
        <v>2</v>
      </c>
      <c r="C148" s="3" t="s">
        <v>534</v>
      </c>
      <c r="D148" s="13" t="s">
        <v>2</v>
      </c>
      <c r="E148" s="3" t="s">
        <v>538</v>
      </c>
      <c r="F148" s="3" t="s">
        <v>227</v>
      </c>
      <c r="G148" s="8" t="s">
        <v>1077</v>
      </c>
      <c r="H148" s="9" t="s">
        <v>471</v>
      </c>
      <c r="I148" s="5" t="s">
        <v>647</v>
      </c>
      <c r="J148" s="5" t="s">
        <v>649</v>
      </c>
      <c r="K148" s="5">
        <f>'1.2.1+1.2.2'!W$42</f>
        <v>0</v>
      </c>
      <c r="L148" s="29">
        <f>'1.2.1+1.2.2'!X$41</f>
        <v>0</v>
      </c>
      <c r="M148" s="29">
        <f>'1.2.1+1.2.2'!Y$41</f>
        <v>0</v>
      </c>
      <c r="N148" s="24">
        <f>'1.2.1+1.2.2'!W$41</f>
        <v>0</v>
      </c>
      <c r="O148" s="195" t="s">
        <v>2039</v>
      </c>
      <c r="P148" s="195" t="s">
        <v>87</v>
      </c>
    </row>
    <row r="149" spans="1:16" ht="25.5" hidden="1" x14ac:dyDescent="0.25">
      <c r="A149" s="2">
        <v>1</v>
      </c>
      <c r="B149" s="3" t="s">
        <v>10</v>
      </c>
      <c r="C149" s="3" t="s">
        <v>534</v>
      </c>
      <c r="D149" s="863" t="s">
        <v>10</v>
      </c>
      <c r="E149" s="3" t="s">
        <v>559</v>
      </c>
      <c r="F149" s="3" t="s">
        <v>228</v>
      </c>
      <c r="G149" s="8" t="s">
        <v>229</v>
      </c>
      <c r="H149" s="9" t="s">
        <v>648</v>
      </c>
      <c r="I149" s="5" t="s">
        <v>647</v>
      </c>
      <c r="J149" s="5" t="s">
        <v>602</v>
      </c>
      <c r="K149" s="5">
        <f>'1.2.1+1.2.2'!Z$42</f>
        <v>2</v>
      </c>
      <c r="L149" s="29">
        <f>'1.2.1+1.2.2'!AA$41</f>
        <v>2.0990000000000002</v>
      </c>
      <c r="M149" s="29">
        <f>'1.2.1+1.2.2'!AB$41</f>
        <v>2.0990000000000002</v>
      </c>
      <c r="N149" s="24">
        <f>'1.2.1+1.2.2'!Z$41</f>
        <v>24.5078</v>
      </c>
      <c r="O149" s="874"/>
      <c r="P149" s="874"/>
    </row>
    <row r="150" spans="1:16" hidden="1" outlineLevel="1" x14ac:dyDescent="0.25">
      <c r="A150" s="2"/>
      <c r="B150" s="79"/>
      <c r="C150" s="82" t="s">
        <v>534</v>
      </c>
      <c r="D150" s="81" t="s">
        <v>10</v>
      </c>
      <c r="E150" s="82" t="s">
        <v>559</v>
      </c>
      <c r="F150" s="82" t="s">
        <v>228</v>
      </c>
      <c r="G150" s="83" t="s">
        <v>1058</v>
      </c>
      <c r="H150" s="84" t="s">
        <v>648</v>
      </c>
      <c r="I150" s="85" t="s">
        <v>647</v>
      </c>
      <c r="J150" s="85" t="s">
        <v>602</v>
      </c>
      <c r="K150" s="85"/>
      <c r="L150" s="87">
        <f>SUMIF('1.2.1+1.2.2'!$E$5:$E$40,$G150,'1.2.1+1.2.2'!$AA$5:$AA$40)</f>
        <v>0</v>
      </c>
      <c r="M150" s="136"/>
      <c r="N150" s="86">
        <f>SUMIF('1.2.1+1.2.2'!$E$5:$E$40,$G150,'1.2.1+1.2.2'!$Z$5:$Z$40)</f>
        <v>0</v>
      </c>
    </row>
    <row r="151" spans="1:16" hidden="1" outlineLevel="1" x14ac:dyDescent="0.25">
      <c r="A151" s="2"/>
      <c r="B151" s="79"/>
      <c r="C151" s="82" t="s">
        <v>534</v>
      </c>
      <c r="D151" s="81" t="s">
        <v>10</v>
      </c>
      <c r="E151" s="82" t="s">
        <v>559</v>
      </c>
      <c r="F151" s="82" t="s">
        <v>228</v>
      </c>
      <c r="G151" s="83" t="s">
        <v>1060</v>
      </c>
      <c r="H151" s="84" t="s">
        <v>648</v>
      </c>
      <c r="I151" s="85" t="s">
        <v>647</v>
      </c>
      <c r="J151" s="85" t="s">
        <v>602</v>
      </c>
      <c r="K151" s="85"/>
      <c r="L151" s="87">
        <f>SUMIF('1.2.1+1.2.2'!$E$5:$E$40,$G151,'1.2.1+1.2.2'!$AA$5:$AA$40)</f>
        <v>0</v>
      </c>
      <c r="M151" s="136"/>
      <c r="N151" s="86">
        <f>SUMIF('1.2.1+1.2.2'!$E$5:$E$40,$G151,'1.2.1+1.2.2'!$Z$5:$Z$40)</f>
        <v>0</v>
      </c>
    </row>
    <row r="152" spans="1:16" hidden="1" outlineLevel="1" x14ac:dyDescent="0.25">
      <c r="A152" s="2"/>
      <c r="B152" s="79"/>
      <c r="C152" s="82" t="s">
        <v>534</v>
      </c>
      <c r="D152" s="81" t="s">
        <v>10</v>
      </c>
      <c r="E152" s="82" t="s">
        <v>559</v>
      </c>
      <c r="F152" s="82" t="s">
        <v>228</v>
      </c>
      <c r="G152" s="83" t="s">
        <v>1061</v>
      </c>
      <c r="H152" s="84" t="s">
        <v>648</v>
      </c>
      <c r="I152" s="85" t="s">
        <v>647</v>
      </c>
      <c r="J152" s="85" t="s">
        <v>602</v>
      </c>
      <c r="K152" s="85"/>
      <c r="L152" s="87">
        <f>SUMIF('1.2.1+1.2.2'!$E$5:$E$40,$G152,'1.2.1+1.2.2'!$AA$5:$AA$40)</f>
        <v>0</v>
      </c>
      <c r="M152" s="136"/>
      <c r="N152" s="86">
        <f>SUMIF('1.2.1+1.2.2'!$E$5:$E$40,$G152,'1.2.1+1.2.2'!$Z$5:$Z$40)</f>
        <v>0</v>
      </c>
    </row>
    <row r="153" spans="1:16" hidden="1" outlineLevel="1" x14ac:dyDescent="0.25">
      <c r="A153" s="2"/>
      <c r="B153" s="79"/>
      <c r="C153" s="82" t="s">
        <v>534</v>
      </c>
      <c r="D153" s="81" t="s">
        <v>10</v>
      </c>
      <c r="E153" s="82" t="s">
        <v>559</v>
      </c>
      <c r="F153" s="82" t="s">
        <v>228</v>
      </c>
      <c r="G153" s="83" t="s">
        <v>1059</v>
      </c>
      <c r="H153" s="84" t="s">
        <v>648</v>
      </c>
      <c r="I153" s="85" t="s">
        <v>647</v>
      </c>
      <c r="J153" s="85" t="s">
        <v>602</v>
      </c>
      <c r="K153" s="85"/>
      <c r="L153" s="87">
        <f>SUMIF('1.2.1+1.2.2'!$E$5:$E$40,$G153,'1.2.1+1.2.2'!$AA$5:$AA$40)</f>
        <v>0</v>
      </c>
      <c r="M153" s="136"/>
      <c r="N153" s="86">
        <f>SUMIF('1.2.1+1.2.2'!$E$5:$E$40,$G153,'1.2.1+1.2.2'!$Z$5:$Z$40)</f>
        <v>0</v>
      </c>
    </row>
    <row r="154" spans="1:16" hidden="1" outlineLevel="1" x14ac:dyDescent="0.25">
      <c r="A154" s="2"/>
      <c r="B154" s="79"/>
      <c r="C154" s="82" t="s">
        <v>534</v>
      </c>
      <c r="D154" s="81" t="s">
        <v>10</v>
      </c>
      <c r="E154" s="82" t="s">
        <v>559</v>
      </c>
      <c r="F154" s="82" t="s">
        <v>228</v>
      </c>
      <c r="G154" s="83" t="s">
        <v>1065</v>
      </c>
      <c r="H154" s="84" t="s">
        <v>648</v>
      </c>
      <c r="I154" s="85" t="s">
        <v>647</v>
      </c>
      <c r="J154" s="85" t="s">
        <v>602</v>
      </c>
      <c r="K154" s="85"/>
      <c r="L154" s="87">
        <f>SUMIF('1.2.1+1.2.2'!$E$5:$E$40,$G154,'1.2.1+1.2.2'!$AA$5:$AA$40)</f>
        <v>0</v>
      </c>
      <c r="M154" s="136"/>
      <c r="N154" s="86">
        <f>SUMIF('1.2.1+1.2.2'!$E$5:$E$40,$G154,'1.2.1+1.2.2'!$Z$5:$Z$40)</f>
        <v>0</v>
      </c>
    </row>
    <row r="155" spans="1:16" hidden="1" outlineLevel="1" x14ac:dyDescent="0.25">
      <c r="A155" s="2"/>
      <c r="B155" s="79"/>
      <c r="C155" s="82" t="s">
        <v>534</v>
      </c>
      <c r="D155" s="81" t="s">
        <v>10</v>
      </c>
      <c r="E155" s="82" t="s">
        <v>559</v>
      </c>
      <c r="F155" s="82" t="s">
        <v>228</v>
      </c>
      <c r="G155" s="83" t="s">
        <v>1062</v>
      </c>
      <c r="H155" s="84" t="s">
        <v>648</v>
      </c>
      <c r="I155" s="85" t="s">
        <v>647</v>
      </c>
      <c r="J155" s="85" t="s">
        <v>602</v>
      </c>
      <c r="K155" s="85"/>
      <c r="L155" s="87">
        <f>SUMIF('1.2.1+1.2.2'!$E$5:$E$40,$G155,'1.2.1+1.2.2'!$AA$5:$AA$40)</f>
        <v>2.0990000000000002</v>
      </c>
      <c r="M155" s="136"/>
      <c r="N155" s="86">
        <f>SUMIF('1.2.1+1.2.2'!$E$5:$E$40,$G155,'1.2.1+1.2.2'!$Z$5:$Z$40)</f>
        <v>24.5078</v>
      </c>
    </row>
    <row r="156" spans="1:16" hidden="1" outlineLevel="1" x14ac:dyDescent="0.25">
      <c r="A156" s="2"/>
      <c r="B156" s="79"/>
      <c r="C156" s="82" t="s">
        <v>534</v>
      </c>
      <c r="D156" s="81" t="s">
        <v>10</v>
      </c>
      <c r="E156" s="82" t="s">
        <v>559</v>
      </c>
      <c r="F156" s="82" t="s">
        <v>228</v>
      </c>
      <c r="G156" s="83" t="s">
        <v>1063</v>
      </c>
      <c r="H156" s="84" t="s">
        <v>648</v>
      </c>
      <c r="I156" s="85" t="s">
        <v>647</v>
      </c>
      <c r="J156" s="85" t="s">
        <v>602</v>
      </c>
      <c r="K156" s="85"/>
      <c r="L156" s="87">
        <f>SUMIF('1.2.1+1.2.2'!$E$5:$E$40,$G156,'1.2.1+1.2.2'!$AA$5:$AA$40)</f>
        <v>0</v>
      </c>
      <c r="M156" s="136"/>
      <c r="N156" s="86">
        <f>SUMIF('1.2.1+1.2.2'!$E$5:$E$40,$G156,'1.2.1+1.2.2'!$Z$5:$Z$40)</f>
        <v>0</v>
      </c>
    </row>
    <row r="157" spans="1:16" hidden="1" outlineLevel="1" x14ac:dyDescent="0.25">
      <c r="A157" s="2"/>
      <c r="B157" s="79"/>
      <c r="C157" s="82" t="s">
        <v>534</v>
      </c>
      <c r="D157" s="81" t="s">
        <v>10</v>
      </c>
      <c r="E157" s="82" t="s">
        <v>559</v>
      </c>
      <c r="F157" s="82" t="s">
        <v>228</v>
      </c>
      <c r="G157" s="83" t="s">
        <v>0</v>
      </c>
      <c r="H157" s="84" t="s">
        <v>648</v>
      </c>
      <c r="I157" s="85" t="s">
        <v>647</v>
      </c>
      <c r="J157" s="85" t="s">
        <v>602</v>
      </c>
      <c r="K157" s="85"/>
      <c r="L157" s="87">
        <f>SUMIF('1.2.1+1.2.2'!$E$5:$E$40,$G157,'1.2.1+1.2.2'!$AA$5:$AA$40)</f>
        <v>0</v>
      </c>
      <c r="M157" s="136"/>
      <c r="N157" s="86">
        <f>SUMIF('1.2.1+1.2.2'!$E$5:$E$40,$G157,'1.2.1+1.2.2'!$Z$5:$Z$40)</f>
        <v>0</v>
      </c>
    </row>
    <row r="158" spans="1:16" hidden="1" outlineLevel="1" x14ac:dyDescent="0.25">
      <c r="A158" s="2"/>
      <c r="B158" s="79"/>
      <c r="C158" s="82" t="s">
        <v>534</v>
      </c>
      <c r="D158" s="81" t="s">
        <v>10</v>
      </c>
      <c r="E158" s="82" t="s">
        <v>559</v>
      </c>
      <c r="F158" s="82" t="s">
        <v>228</v>
      </c>
      <c r="G158" s="83" t="s">
        <v>1066</v>
      </c>
      <c r="H158" s="84" t="s">
        <v>648</v>
      </c>
      <c r="I158" s="85" t="s">
        <v>647</v>
      </c>
      <c r="J158" s="85" t="s">
        <v>602</v>
      </c>
      <c r="K158" s="85"/>
      <c r="L158" s="87">
        <f>SUMIF('1.2.1+1.2.2'!$E$5:$E$40,$G158,'1.2.1+1.2.2'!$AA$5:$AA$40)</f>
        <v>0</v>
      </c>
      <c r="M158" s="136"/>
      <c r="N158" s="86">
        <f>SUMIF('1.2.1+1.2.2'!$E$5:$E$40,$G158,'1.2.1+1.2.2'!$Z$5:$Z$40)</f>
        <v>0</v>
      </c>
    </row>
    <row r="159" spans="1:16" hidden="1" collapsed="1" x14ac:dyDescent="0.25">
      <c r="A159" s="2">
        <v>1</v>
      </c>
      <c r="B159" s="3" t="s">
        <v>10</v>
      </c>
      <c r="C159" s="3" t="s">
        <v>534</v>
      </c>
      <c r="D159" s="863" t="s">
        <v>10</v>
      </c>
      <c r="E159" s="3" t="s">
        <v>559</v>
      </c>
      <c r="F159" s="3" t="s">
        <v>230</v>
      </c>
      <c r="G159" s="8" t="s">
        <v>231</v>
      </c>
      <c r="H159" s="9" t="s">
        <v>464</v>
      </c>
      <c r="I159" s="5" t="s">
        <v>469</v>
      </c>
      <c r="J159" s="5"/>
      <c r="K159" s="5">
        <f>'1.2.1+1.2.2'!AC$42</f>
        <v>0</v>
      </c>
      <c r="L159" s="29">
        <f>'1.2.1+1.2.2'!AD$41</f>
        <v>0</v>
      </c>
      <c r="M159" s="29">
        <f>'1.2.1+1.2.2'!AE$41</f>
        <v>0</v>
      </c>
      <c r="N159" s="24">
        <f>'1.2.1+1.2.2'!AC$41</f>
        <v>0</v>
      </c>
      <c r="O159" s="874"/>
      <c r="P159" s="874"/>
    </row>
    <row r="160" spans="1:16" ht="25.5" hidden="1" x14ac:dyDescent="0.25">
      <c r="A160" s="2">
        <v>1</v>
      </c>
      <c r="B160" s="3" t="s">
        <v>10</v>
      </c>
      <c r="C160" s="3" t="s">
        <v>534</v>
      </c>
      <c r="D160" s="863" t="s">
        <v>10</v>
      </c>
      <c r="E160" s="3" t="s">
        <v>559</v>
      </c>
      <c r="F160" s="3" t="s">
        <v>232</v>
      </c>
      <c r="G160" s="8" t="s">
        <v>233</v>
      </c>
      <c r="H160" s="9" t="s">
        <v>470</v>
      </c>
      <c r="I160" s="5" t="s">
        <v>647</v>
      </c>
      <c r="J160" s="5" t="s">
        <v>649</v>
      </c>
      <c r="K160" s="5">
        <f>'1.2.1+1.2.2'!AF$42</f>
        <v>2</v>
      </c>
      <c r="L160" s="29">
        <f>'1.2.1+1.2.2'!AG$41</f>
        <v>0</v>
      </c>
      <c r="M160" s="29">
        <f>'1.2.1+1.2.2'!AH$41</f>
        <v>140</v>
      </c>
      <c r="N160" s="24">
        <f>'1.2.1+1.2.2'!AF$41</f>
        <v>2540</v>
      </c>
      <c r="O160" s="875" t="s">
        <v>88</v>
      </c>
      <c r="P160" s="875" t="s">
        <v>233</v>
      </c>
    </row>
    <row r="161" spans="1:16" hidden="1" outlineLevel="1" x14ac:dyDescent="0.25">
      <c r="A161" s="2"/>
      <c r="B161" s="79"/>
      <c r="C161" s="82" t="s">
        <v>534</v>
      </c>
      <c r="D161" s="81" t="s">
        <v>10</v>
      </c>
      <c r="E161" s="82" t="s">
        <v>559</v>
      </c>
      <c r="F161" s="82" t="s">
        <v>232</v>
      </c>
      <c r="G161" s="83" t="s">
        <v>1058</v>
      </c>
      <c r="H161" s="84" t="s">
        <v>470</v>
      </c>
      <c r="I161" s="85" t="s">
        <v>647</v>
      </c>
      <c r="J161" s="85" t="s">
        <v>649</v>
      </c>
      <c r="K161" s="85"/>
      <c r="L161" s="87">
        <f>SUMIF('1.2.1+1.2.2'!$E$5:$E$40,$G161,'1.2.1+1.2.2'!$AG$5:$AG$40)</f>
        <v>0</v>
      </c>
      <c r="M161" s="136"/>
      <c r="N161" s="86">
        <f>SUMIF('1.2.1+1.2.2'!$E$5:$E$40,$G161,'1.2.1+1.2.2'!$AF$5:$AF$40)</f>
        <v>0</v>
      </c>
    </row>
    <row r="162" spans="1:16" hidden="1" outlineLevel="1" x14ac:dyDescent="0.25">
      <c r="A162" s="2"/>
      <c r="B162" s="79"/>
      <c r="C162" s="82" t="s">
        <v>534</v>
      </c>
      <c r="D162" s="81" t="s">
        <v>10</v>
      </c>
      <c r="E162" s="82" t="s">
        <v>559</v>
      </c>
      <c r="F162" s="82" t="s">
        <v>232</v>
      </c>
      <c r="G162" s="83" t="s">
        <v>1060</v>
      </c>
      <c r="H162" s="84" t="s">
        <v>470</v>
      </c>
      <c r="I162" s="85" t="s">
        <v>647</v>
      </c>
      <c r="J162" s="85" t="s">
        <v>649</v>
      </c>
      <c r="K162" s="85"/>
      <c r="L162" s="87">
        <f>SUMIF('1.2.1+1.2.2'!$E$5:$E$40,$G162,'1.2.1+1.2.2'!$AG$5:$AG$40)</f>
        <v>0</v>
      </c>
      <c r="M162" s="136"/>
      <c r="N162" s="86">
        <f>SUMIF('1.2.1+1.2.2'!$E$5:$E$40,$G162,'1.2.1+1.2.2'!$AF$5:$AF$40)</f>
        <v>0</v>
      </c>
    </row>
    <row r="163" spans="1:16" hidden="1" outlineLevel="1" x14ac:dyDescent="0.25">
      <c r="A163" s="2"/>
      <c r="B163" s="79"/>
      <c r="C163" s="82" t="s">
        <v>534</v>
      </c>
      <c r="D163" s="81" t="s">
        <v>10</v>
      </c>
      <c r="E163" s="82" t="s">
        <v>559</v>
      </c>
      <c r="F163" s="82" t="s">
        <v>232</v>
      </c>
      <c r="G163" s="83" t="s">
        <v>1061</v>
      </c>
      <c r="H163" s="84" t="s">
        <v>470</v>
      </c>
      <c r="I163" s="85" t="s">
        <v>647</v>
      </c>
      <c r="J163" s="85" t="s">
        <v>649</v>
      </c>
      <c r="K163" s="85"/>
      <c r="L163" s="87">
        <f>SUMIF('1.2.1+1.2.2'!$E$5:$E$40,$G163,'1.2.1+1.2.2'!$AG$5:$AG$40)</f>
        <v>0</v>
      </c>
      <c r="M163" s="136"/>
      <c r="N163" s="86">
        <f>SUMIF('1.2.1+1.2.2'!$E$5:$E$40,$G163,'1.2.1+1.2.2'!$AF$5:$AF$40)</f>
        <v>0</v>
      </c>
    </row>
    <row r="164" spans="1:16" hidden="1" outlineLevel="1" x14ac:dyDescent="0.25">
      <c r="A164" s="2"/>
      <c r="B164" s="79"/>
      <c r="C164" s="82" t="s">
        <v>534</v>
      </c>
      <c r="D164" s="81" t="s">
        <v>10</v>
      </c>
      <c r="E164" s="82" t="s">
        <v>559</v>
      </c>
      <c r="F164" s="82" t="s">
        <v>232</v>
      </c>
      <c r="G164" s="83" t="s">
        <v>1059</v>
      </c>
      <c r="H164" s="84" t="s">
        <v>470</v>
      </c>
      <c r="I164" s="85" t="s">
        <v>647</v>
      </c>
      <c r="J164" s="85" t="s">
        <v>649</v>
      </c>
      <c r="K164" s="85"/>
      <c r="L164" s="87">
        <f>SUMIF('1.2.1+1.2.2'!$E$5:$E$40,$G164,'1.2.1+1.2.2'!$AG$5:$AG$40)</f>
        <v>0</v>
      </c>
      <c r="M164" s="136"/>
      <c r="N164" s="86">
        <f>SUMIF('1.2.1+1.2.2'!$E$5:$E$40,$G164,'1.2.1+1.2.2'!$AF$5:$AF$40)</f>
        <v>0</v>
      </c>
    </row>
    <row r="165" spans="1:16" hidden="1" outlineLevel="1" x14ac:dyDescent="0.25">
      <c r="A165" s="2"/>
      <c r="B165" s="79"/>
      <c r="C165" s="82" t="s">
        <v>534</v>
      </c>
      <c r="D165" s="81" t="s">
        <v>10</v>
      </c>
      <c r="E165" s="82" t="s">
        <v>559</v>
      </c>
      <c r="F165" s="82" t="s">
        <v>232</v>
      </c>
      <c r="G165" s="83" t="s">
        <v>1065</v>
      </c>
      <c r="H165" s="84" t="s">
        <v>470</v>
      </c>
      <c r="I165" s="85" t="s">
        <v>647</v>
      </c>
      <c r="J165" s="85" t="s">
        <v>649</v>
      </c>
      <c r="K165" s="85"/>
      <c r="L165" s="87">
        <f>SUMIF('1.2.1+1.2.2'!$E$5:$E$40,$G165,'1.2.1+1.2.2'!$AG$5:$AG$40)</f>
        <v>0</v>
      </c>
      <c r="M165" s="136"/>
      <c r="N165" s="86">
        <f>SUMIF('1.2.1+1.2.2'!$E$5:$E$40,$G165,'1.2.1+1.2.2'!$AF$5:$AF$40)</f>
        <v>0</v>
      </c>
    </row>
    <row r="166" spans="1:16" hidden="1" outlineLevel="1" x14ac:dyDescent="0.25">
      <c r="A166" s="2"/>
      <c r="B166" s="79"/>
      <c r="C166" s="82" t="s">
        <v>534</v>
      </c>
      <c r="D166" s="81" t="s">
        <v>10</v>
      </c>
      <c r="E166" s="82" t="s">
        <v>559</v>
      </c>
      <c r="F166" s="82" t="s">
        <v>232</v>
      </c>
      <c r="G166" s="83" t="s">
        <v>1062</v>
      </c>
      <c r="H166" s="84" t="s">
        <v>470</v>
      </c>
      <c r="I166" s="85" t="s">
        <v>647</v>
      </c>
      <c r="J166" s="85" t="s">
        <v>649</v>
      </c>
      <c r="K166" s="85"/>
      <c r="L166" s="87">
        <f>SUMIF('1.2.1+1.2.2'!$E$5:$E$40,$G166,'1.2.1+1.2.2'!$AG$5:$AG$40)</f>
        <v>0</v>
      </c>
      <c r="M166" s="136"/>
      <c r="N166" s="86">
        <f>SUMIF('1.2.1+1.2.2'!$E$5:$E$40,$G166,'1.2.1+1.2.2'!$AF$5:$AF$40)</f>
        <v>2540</v>
      </c>
    </row>
    <row r="167" spans="1:16" hidden="1" outlineLevel="1" x14ac:dyDescent="0.25">
      <c r="A167" s="2"/>
      <c r="B167" s="79"/>
      <c r="C167" s="82" t="s">
        <v>534</v>
      </c>
      <c r="D167" s="81" t="s">
        <v>10</v>
      </c>
      <c r="E167" s="82" t="s">
        <v>559</v>
      </c>
      <c r="F167" s="82" t="s">
        <v>232</v>
      </c>
      <c r="G167" s="83" t="s">
        <v>1063</v>
      </c>
      <c r="H167" s="84" t="s">
        <v>470</v>
      </c>
      <c r="I167" s="85" t="s">
        <v>647</v>
      </c>
      <c r="J167" s="85" t="s">
        <v>649</v>
      </c>
      <c r="K167" s="85"/>
      <c r="L167" s="87">
        <f>SUMIF('1.2.1+1.2.2'!$E$5:$E$40,$G167,'1.2.1+1.2.2'!$AG$5:$AG$40)</f>
        <v>0</v>
      </c>
      <c r="M167" s="136"/>
      <c r="N167" s="86">
        <f>SUMIF('1.2.1+1.2.2'!$E$5:$E$40,$G167,'1.2.1+1.2.2'!$AF$5:$AF$40)</f>
        <v>0</v>
      </c>
    </row>
    <row r="168" spans="1:16" hidden="1" outlineLevel="1" x14ac:dyDescent="0.25">
      <c r="A168" s="2"/>
      <c r="B168" s="79"/>
      <c r="C168" s="82" t="s">
        <v>534</v>
      </c>
      <c r="D168" s="81" t="s">
        <v>10</v>
      </c>
      <c r="E168" s="82" t="s">
        <v>559</v>
      </c>
      <c r="F168" s="82" t="s">
        <v>232</v>
      </c>
      <c r="G168" s="83" t="s">
        <v>0</v>
      </c>
      <c r="H168" s="84" t="s">
        <v>470</v>
      </c>
      <c r="I168" s="85" t="s">
        <v>647</v>
      </c>
      <c r="J168" s="85" t="s">
        <v>649</v>
      </c>
      <c r="K168" s="85"/>
      <c r="L168" s="87">
        <f>SUMIF('1.2.1+1.2.2'!$E$5:$E$40,$G168,'1.2.1+1.2.2'!$AG$5:$AG$40)</f>
        <v>0</v>
      </c>
      <c r="M168" s="136"/>
      <c r="N168" s="86">
        <f>SUMIF('1.2.1+1.2.2'!$E$5:$E$40,$G168,'1.2.1+1.2.2'!$AF$5:$AF$40)</f>
        <v>0</v>
      </c>
    </row>
    <row r="169" spans="1:16" hidden="1" outlineLevel="1" x14ac:dyDescent="0.25">
      <c r="A169" s="2"/>
      <c r="B169" s="79"/>
      <c r="C169" s="82" t="s">
        <v>534</v>
      </c>
      <c r="D169" s="81" t="s">
        <v>10</v>
      </c>
      <c r="E169" s="82" t="s">
        <v>559</v>
      </c>
      <c r="F169" s="82" t="s">
        <v>232</v>
      </c>
      <c r="G169" s="83" t="s">
        <v>1066</v>
      </c>
      <c r="H169" s="84" t="s">
        <v>470</v>
      </c>
      <c r="I169" s="85" t="s">
        <v>647</v>
      </c>
      <c r="J169" s="85" t="s">
        <v>649</v>
      </c>
      <c r="K169" s="85"/>
      <c r="L169" s="87">
        <f>SUMIF('1.2.1+1.2.2'!$E$5:$E$40,$G169,'1.2.1+1.2.2'!$AG$5:$AG$40)</f>
        <v>0</v>
      </c>
      <c r="M169" s="136"/>
      <c r="N169" s="86">
        <f>SUMIF('1.2.1+1.2.2'!$E$5:$E$40,$G169,'1.2.1+1.2.2'!$AF$5:$AF$40)</f>
        <v>0</v>
      </c>
    </row>
    <row r="170" spans="1:16" hidden="1" collapsed="1" x14ac:dyDescent="0.25">
      <c r="A170" s="2">
        <v>1</v>
      </c>
      <c r="B170" s="3" t="s">
        <v>11</v>
      </c>
      <c r="C170" s="3" t="s">
        <v>534</v>
      </c>
      <c r="D170" s="863" t="s">
        <v>11</v>
      </c>
      <c r="E170" s="3" t="s">
        <v>550</v>
      </c>
      <c r="F170" s="3" t="s">
        <v>236</v>
      </c>
      <c r="G170" s="8" t="s">
        <v>237</v>
      </c>
      <c r="H170" s="9" t="s">
        <v>464</v>
      </c>
      <c r="I170" s="5" t="s">
        <v>469</v>
      </c>
      <c r="J170" s="5" t="s">
        <v>649</v>
      </c>
      <c r="K170" s="5">
        <f>'1.2.3'!K$10</f>
        <v>0</v>
      </c>
      <c r="L170" s="29">
        <f>'1.2.3'!L$9</f>
        <v>0</v>
      </c>
      <c r="M170" s="29">
        <f>'1.2.3'!M$9</f>
        <v>0</v>
      </c>
      <c r="N170" s="24">
        <f>'1.2.3'!K$9</f>
        <v>0</v>
      </c>
      <c r="O170" s="874"/>
      <c r="P170" s="874"/>
    </row>
    <row r="171" spans="1:16" hidden="1" x14ac:dyDescent="0.25">
      <c r="A171" s="2">
        <v>1</v>
      </c>
      <c r="B171" s="3" t="s">
        <v>11</v>
      </c>
      <c r="C171" s="3" t="s">
        <v>534</v>
      </c>
      <c r="D171" s="863" t="s">
        <v>11</v>
      </c>
      <c r="E171" s="3" t="s">
        <v>550</v>
      </c>
      <c r="F171" s="3" t="s">
        <v>238</v>
      </c>
      <c r="G171" s="8" t="s">
        <v>239</v>
      </c>
      <c r="H171" s="9" t="s">
        <v>464</v>
      </c>
      <c r="I171" s="5" t="s">
        <v>469</v>
      </c>
      <c r="J171" s="5" t="s">
        <v>649</v>
      </c>
      <c r="K171" s="5">
        <f>'1.2.3'!N$10</f>
        <v>1</v>
      </c>
      <c r="L171" s="29">
        <f>'1.2.3'!O$9</f>
        <v>94954</v>
      </c>
      <c r="M171" s="29">
        <f>'1.2.3'!P$9</f>
        <v>94954</v>
      </c>
      <c r="N171" s="24">
        <f>'1.2.3'!N$9</f>
        <v>94954</v>
      </c>
      <c r="O171" s="874"/>
      <c r="P171" s="874"/>
    </row>
    <row r="172" spans="1:16" ht="25.5" hidden="1" x14ac:dyDescent="0.25">
      <c r="A172" s="2">
        <v>1</v>
      </c>
      <c r="B172" s="3" t="s">
        <v>11</v>
      </c>
      <c r="C172" s="3" t="s">
        <v>534</v>
      </c>
      <c r="D172" s="863" t="s">
        <v>11</v>
      </c>
      <c r="E172" s="3" t="s">
        <v>550</v>
      </c>
      <c r="F172" s="3" t="s">
        <v>240</v>
      </c>
      <c r="G172" s="8" t="s">
        <v>241</v>
      </c>
      <c r="H172" s="9" t="s">
        <v>464</v>
      </c>
      <c r="I172" s="5" t="s">
        <v>469</v>
      </c>
      <c r="J172" s="5" t="s">
        <v>602</v>
      </c>
      <c r="K172" s="5">
        <f>'1.2.3'!Q$10</f>
        <v>2</v>
      </c>
      <c r="L172" s="29">
        <f>'1.2.3'!R$9</f>
        <v>15480</v>
      </c>
      <c r="M172" s="29">
        <f>'1.2.3'!S$9</f>
        <v>0</v>
      </c>
      <c r="N172" s="24">
        <f>'1.2.3'!Q$9</f>
        <v>112190</v>
      </c>
      <c r="O172" s="875" t="s">
        <v>97</v>
      </c>
      <c r="P172" s="875" t="s">
        <v>2044</v>
      </c>
    </row>
    <row r="173" spans="1:16" ht="25.5" hidden="1" x14ac:dyDescent="0.25">
      <c r="A173" s="2">
        <v>1</v>
      </c>
      <c r="B173" s="3" t="s">
        <v>11</v>
      </c>
      <c r="C173" s="3" t="s">
        <v>534</v>
      </c>
      <c r="D173" s="863" t="s">
        <v>11</v>
      </c>
      <c r="E173" s="3" t="s">
        <v>550</v>
      </c>
      <c r="F173" s="3" t="s">
        <v>242</v>
      </c>
      <c r="G173" s="8" t="s">
        <v>243</v>
      </c>
      <c r="H173" s="9" t="s">
        <v>464</v>
      </c>
      <c r="I173" s="5" t="s">
        <v>469</v>
      </c>
      <c r="J173" s="5" t="s">
        <v>602</v>
      </c>
      <c r="K173" s="5">
        <f>'1.2.3'!T$10</f>
        <v>3</v>
      </c>
      <c r="L173" s="29">
        <f>'1.2.3'!U$9</f>
        <v>580460</v>
      </c>
      <c r="M173" s="29">
        <f>'1.2.3'!V$9</f>
        <v>4763</v>
      </c>
      <c r="N173" s="24">
        <f>'1.2.3'!T$9</f>
        <v>775356</v>
      </c>
      <c r="O173" s="875" t="s">
        <v>97</v>
      </c>
      <c r="P173" s="875" t="s">
        <v>2044</v>
      </c>
    </row>
    <row r="174" spans="1:16" hidden="1" x14ac:dyDescent="0.25">
      <c r="A174" s="2">
        <v>1</v>
      </c>
      <c r="B174" s="3" t="s">
        <v>11</v>
      </c>
      <c r="C174" s="3" t="s">
        <v>534</v>
      </c>
      <c r="D174" s="863" t="s">
        <v>11</v>
      </c>
      <c r="E174" s="3" t="s">
        <v>550</v>
      </c>
      <c r="F174" s="3" t="s">
        <v>246</v>
      </c>
      <c r="G174" s="8" t="s">
        <v>247</v>
      </c>
      <c r="H174" s="9" t="s">
        <v>464</v>
      </c>
      <c r="I174" s="5" t="s">
        <v>469</v>
      </c>
      <c r="J174" s="5" t="s">
        <v>649</v>
      </c>
      <c r="K174" s="5">
        <f>'1.2.3'!Z$10</f>
        <v>2</v>
      </c>
      <c r="L174" s="29">
        <f>'1.2.3'!AA$9</f>
        <v>122</v>
      </c>
      <c r="M174" s="29">
        <f>'1.2.3'!AB$9</f>
        <v>0</v>
      </c>
      <c r="N174" s="24">
        <f>'1.2.3'!Z$9</f>
        <v>122</v>
      </c>
      <c r="O174" s="874"/>
      <c r="P174" s="874"/>
    </row>
    <row r="175" spans="1:16" hidden="1" x14ac:dyDescent="0.25">
      <c r="A175" s="2">
        <v>1</v>
      </c>
      <c r="B175" s="3" t="s">
        <v>11</v>
      </c>
      <c r="C175" s="3" t="s">
        <v>534</v>
      </c>
      <c r="D175" s="863" t="s">
        <v>11</v>
      </c>
      <c r="E175" s="3" t="s">
        <v>550</v>
      </c>
      <c r="F175" s="3" t="s">
        <v>248</v>
      </c>
      <c r="G175" s="8" t="s">
        <v>249</v>
      </c>
      <c r="H175" s="9" t="s">
        <v>464</v>
      </c>
      <c r="I175" s="5" t="s">
        <v>469</v>
      </c>
      <c r="J175" s="5" t="s">
        <v>649</v>
      </c>
      <c r="K175" s="5">
        <f>'1.2.3'!AC$10</f>
        <v>3</v>
      </c>
      <c r="L175" s="29">
        <f>'1.2.3'!AD$9</f>
        <v>1404</v>
      </c>
      <c r="M175" s="29">
        <f>'1.2.3'!AE$9</f>
        <v>308</v>
      </c>
      <c r="N175" s="24">
        <f>'1.2.3'!AC$9</f>
        <v>1486</v>
      </c>
      <c r="O175" s="874"/>
      <c r="P175" s="874"/>
    </row>
    <row r="176" spans="1:16" hidden="1" x14ac:dyDescent="0.25">
      <c r="A176" s="2">
        <v>1</v>
      </c>
      <c r="B176" s="3" t="s">
        <v>11</v>
      </c>
      <c r="C176" s="3" t="s">
        <v>534</v>
      </c>
      <c r="D176" s="863" t="s">
        <v>11</v>
      </c>
      <c r="E176" s="3" t="s">
        <v>550</v>
      </c>
      <c r="F176" s="3" t="s">
        <v>251</v>
      </c>
      <c r="G176" s="8" t="s">
        <v>252</v>
      </c>
      <c r="H176" s="9" t="s">
        <v>464</v>
      </c>
      <c r="I176" s="5"/>
      <c r="J176" s="5"/>
      <c r="K176" s="5">
        <f>'1.2.3'!AI$10</f>
        <v>0</v>
      </c>
      <c r="L176" s="29">
        <f>'1.2.3'!AJ$9</f>
        <v>0</v>
      </c>
      <c r="M176" s="29">
        <f>'1.2.3'!AK$9</f>
        <v>0</v>
      </c>
      <c r="N176" s="24">
        <f>'1.2.3'!AI$9</f>
        <v>0</v>
      </c>
      <c r="O176" s="874"/>
      <c r="P176" s="874"/>
    </row>
    <row r="177" spans="1:16" ht="25.5" hidden="1" x14ac:dyDescent="0.25">
      <c r="A177" s="2">
        <v>1</v>
      </c>
      <c r="B177" s="3" t="s">
        <v>11</v>
      </c>
      <c r="C177" s="3" t="s">
        <v>534</v>
      </c>
      <c r="D177" s="863" t="s">
        <v>11</v>
      </c>
      <c r="E177" s="3" t="s">
        <v>550</v>
      </c>
      <c r="F177" s="3" t="s">
        <v>253</v>
      </c>
      <c r="G177" s="8" t="s">
        <v>254</v>
      </c>
      <c r="H177" s="9" t="s">
        <v>464</v>
      </c>
      <c r="I177" s="5" t="s">
        <v>469</v>
      </c>
      <c r="J177" s="5" t="s">
        <v>602</v>
      </c>
      <c r="K177" s="5">
        <f>'1.2.3'!AO$10</f>
        <v>0</v>
      </c>
      <c r="L177" s="29">
        <f>'1.2.3'!AP$9</f>
        <v>0</v>
      </c>
      <c r="M177" s="29">
        <f>'1.2.3'!AQ$9</f>
        <v>0</v>
      </c>
      <c r="N177" s="24">
        <f>'1.2.3'!AO$9</f>
        <v>0</v>
      </c>
      <c r="O177" s="875" t="s">
        <v>89</v>
      </c>
      <c r="P177" s="875" t="s">
        <v>90</v>
      </c>
    </row>
    <row r="178" spans="1:16" ht="25.5" hidden="1" x14ac:dyDescent="0.25">
      <c r="A178" s="2">
        <v>1</v>
      </c>
      <c r="B178" s="3" t="s">
        <v>11</v>
      </c>
      <c r="C178" s="3" t="s">
        <v>534</v>
      </c>
      <c r="D178" s="863" t="s">
        <v>11</v>
      </c>
      <c r="E178" s="3" t="s">
        <v>550</v>
      </c>
      <c r="F178" s="3" t="s">
        <v>255</v>
      </c>
      <c r="G178" s="8" t="s">
        <v>256</v>
      </c>
      <c r="H178" s="9" t="s">
        <v>464</v>
      </c>
      <c r="I178" s="5" t="s">
        <v>469</v>
      </c>
      <c r="J178" s="5" t="s">
        <v>602</v>
      </c>
      <c r="K178" s="5">
        <f>'1.2.3'!AR$10</f>
        <v>0</v>
      </c>
      <c r="L178" s="29">
        <f>'1.2.3'!AS$9</f>
        <v>0</v>
      </c>
      <c r="M178" s="29">
        <f>'1.2.3'!AT$9</f>
        <v>0</v>
      </c>
      <c r="N178" s="24">
        <f>'1.2.3'!AR$9</f>
        <v>0</v>
      </c>
      <c r="O178" s="875" t="s">
        <v>89</v>
      </c>
      <c r="P178" s="875" t="s">
        <v>90</v>
      </c>
    </row>
    <row r="179" spans="1:16" ht="25.5" hidden="1" x14ac:dyDescent="0.25">
      <c r="A179" s="2">
        <v>1</v>
      </c>
      <c r="B179" s="3" t="s">
        <v>11</v>
      </c>
      <c r="C179" s="3" t="s">
        <v>534</v>
      </c>
      <c r="D179" s="863" t="s">
        <v>11</v>
      </c>
      <c r="E179" s="3" t="s">
        <v>550</v>
      </c>
      <c r="F179" s="3" t="s">
        <v>257</v>
      </c>
      <c r="G179" s="8" t="s">
        <v>258</v>
      </c>
      <c r="H179" s="9" t="s">
        <v>464</v>
      </c>
      <c r="I179" s="5" t="s">
        <v>469</v>
      </c>
      <c r="J179" s="5" t="s">
        <v>602</v>
      </c>
      <c r="K179" s="5">
        <f>'1.2.3'!AU$10</f>
        <v>2</v>
      </c>
      <c r="L179" s="29">
        <f>'1.2.3'!AV$9</f>
        <v>49</v>
      </c>
      <c r="M179" s="29">
        <f>'1.2.3'!AW$9</f>
        <v>0</v>
      </c>
      <c r="N179" s="24">
        <f>'1.2.3'!AU$9</f>
        <v>122</v>
      </c>
      <c r="O179" s="875" t="s">
        <v>91</v>
      </c>
      <c r="P179" s="875" t="s">
        <v>2045</v>
      </c>
    </row>
    <row r="180" spans="1:16" ht="25.5" hidden="1" x14ac:dyDescent="0.25">
      <c r="A180" s="2">
        <v>1</v>
      </c>
      <c r="B180" s="3" t="s">
        <v>11</v>
      </c>
      <c r="C180" s="3" t="s">
        <v>534</v>
      </c>
      <c r="D180" s="863" t="s">
        <v>11</v>
      </c>
      <c r="E180" s="3" t="s">
        <v>550</v>
      </c>
      <c r="F180" s="3" t="s">
        <v>259</v>
      </c>
      <c r="G180" s="8" t="s">
        <v>260</v>
      </c>
      <c r="H180" s="9" t="s">
        <v>464</v>
      </c>
      <c r="I180" s="5" t="s">
        <v>469</v>
      </c>
      <c r="J180" s="5" t="s">
        <v>602</v>
      </c>
      <c r="K180" s="5">
        <f>'1.2.3'!AX$10</f>
        <v>1</v>
      </c>
      <c r="L180" s="29">
        <f>'1.2.3'!AY$9</f>
        <v>273</v>
      </c>
      <c r="M180" s="29">
        <f>'1.2.3'!AZ$9</f>
        <v>0</v>
      </c>
      <c r="N180" s="24">
        <f>'1.2.3'!AX$9</f>
        <v>1510</v>
      </c>
      <c r="O180" s="875" t="s">
        <v>91</v>
      </c>
      <c r="P180" s="875" t="s">
        <v>2045</v>
      </c>
    </row>
    <row r="181" spans="1:16" hidden="1" x14ac:dyDescent="0.25">
      <c r="A181" s="2">
        <v>1</v>
      </c>
      <c r="B181" s="3" t="s">
        <v>11</v>
      </c>
      <c r="C181" s="3" t="s">
        <v>534</v>
      </c>
      <c r="D181" s="863" t="s">
        <v>11</v>
      </c>
      <c r="E181" s="3" t="s">
        <v>560</v>
      </c>
      <c r="F181" s="3" t="s">
        <v>234</v>
      </c>
      <c r="G181" s="8" t="s">
        <v>235</v>
      </c>
      <c r="H181" s="9" t="s">
        <v>648</v>
      </c>
      <c r="I181" s="5"/>
      <c r="J181" s="5"/>
      <c r="K181" s="5">
        <f>'1.2.3'!H$10</f>
        <v>0</v>
      </c>
      <c r="L181" s="29">
        <f>'1.2.3'!I$9</f>
        <v>0</v>
      </c>
      <c r="M181" s="29">
        <f>'1.2.3'!J$9</f>
        <v>0</v>
      </c>
      <c r="N181" s="24">
        <f>'1.2.3'!H$9</f>
        <v>0</v>
      </c>
      <c r="O181" s="874"/>
      <c r="P181" s="874"/>
    </row>
    <row r="182" spans="1:16" ht="25.5" hidden="1" x14ac:dyDescent="0.25">
      <c r="A182" s="2">
        <v>1</v>
      </c>
      <c r="B182" s="3" t="s">
        <v>11</v>
      </c>
      <c r="C182" s="3" t="s">
        <v>534</v>
      </c>
      <c r="D182" s="863" t="s">
        <v>11</v>
      </c>
      <c r="E182" s="3" t="s">
        <v>560</v>
      </c>
      <c r="F182" s="3" t="s">
        <v>250</v>
      </c>
      <c r="G182" s="8" t="s">
        <v>94</v>
      </c>
      <c r="H182" s="9" t="s">
        <v>464</v>
      </c>
      <c r="I182" s="5"/>
      <c r="J182" s="5"/>
      <c r="K182" s="5">
        <f>'1.2.3'!AF$10</f>
        <v>0</v>
      </c>
      <c r="L182" s="29">
        <f>'1.2.3'!AG$9</f>
        <v>0</v>
      </c>
      <c r="M182" s="29">
        <f>'1.2.3'!AH$9</f>
        <v>0</v>
      </c>
      <c r="N182" s="24">
        <f>'1.2.3'!AF$9</f>
        <v>0</v>
      </c>
      <c r="O182" s="875" t="s">
        <v>93</v>
      </c>
      <c r="P182" s="875" t="s">
        <v>94</v>
      </c>
    </row>
    <row r="183" spans="1:16" ht="25.5" hidden="1" x14ac:dyDescent="0.25">
      <c r="A183" s="2">
        <v>1</v>
      </c>
      <c r="B183" s="3" t="s">
        <v>11</v>
      </c>
      <c r="C183" s="3" t="s">
        <v>534</v>
      </c>
      <c r="D183" s="863" t="s">
        <v>11</v>
      </c>
      <c r="E183" s="3" t="s">
        <v>560</v>
      </c>
      <c r="F183" s="3" t="s">
        <v>261</v>
      </c>
      <c r="G183" s="8" t="s">
        <v>262</v>
      </c>
      <c r="H183" s="9" t="s">
        <v>464</v>
      </c>
      <c r="I183" s="5"/>
      <c r="J183" s="5"/>
      <c r="K183" s="5">
        <f>'1.2.3'!BD$10</f>
        <v>0</v>
      </c>
      <c r="L183" s="29">
        <f>'1.2.3'!BE$9</f>
        <v>0</v>
      </c>
      <c r="M183" s="29">
        <f>'1.2.3'!BF$9</f>
        <v>0</v>
      </c>
      <c r="N183" s="24">
        <f>'1.2.3'!BD$9</f>
        <v>0</v>
      </c>
      <c r="O183" s="874"/>
      <c r="P183" s="874"/>
    </row>
    <row r="184" spans="1:16" ht="25.5" hidden="1" x14ac:dyDescent="0.25">
      <c r="A184" s="2">
        <v>1</v>
      </c>
      <c r="B184" s="3" t="s">
        <v>11</v>
      </c>
      <c r="C184" s="3" t="s">
        <v>534</v>
      </c>
      <c r="D184" s="863" t="s">
        <v>11</v>
      </c>
      <c r="E184" s="3" t="s">
        <v>542</v>
      </c>
      <c r="F184" s="3" t="s">
        <v>244</v>
      </c>
      <c r="G184" s="8" t="s">
        <v>245</v>
      </c>
      <c r="H184" s="9" t="s">
        <v>464</v>
      </c>
      <c r="I184" s="5"/>
      <c r="J184" s="5"/>
      <c r="K184" s="5">
        <f>'1.2.3'!W$10</f>
        <v>0</v>
      </c>
      <c r="L184" s="29">
        <f>'1.2.3'!X$9</f>
        <v>0</v>
      </c>
      <c r="M184" s="29">
        <f>'1.2.3'!Y$9</f>
        <v>0</v>
      </c>
      <c r="N184" s="24">
        <f>'1.2.3'!W$9</f>
        <v>0</v>
      </c>
      <c r="O184" s="875" t="s">
        <v>95</v>
      </c>
      <c r="P184" s="875" t="s">
        <v>245</v>
      </c>
    </row>
    <row r="185" spans="1:16" hidden="1" x14ac:dyDescent="0.25">
      <c r="A185" s="2">
        <v>1</v>
      </c>
      <c r="B185" s="3" t="s">
        <v>11</v>
      </c>
      <c r="C185" s="3" t="s">
        <v>534</v>
      </c>
      <c r="D185" s="863" t="s">
        <v>11</v>
      </c>
      <c r="E185" s="3" t="s">
        <v>542</v>
      </c>
      <c r="F185" s="3" t="s">
        <v>209</v>
      </c>
      <c r="G185" s="8" t="s">
        <v>210</v>
      </c>
      <c r="H185" s="9" t="s">
        <v>464</v>
      </c>
      <c r="I185" s="5"/>
      <c r="J185" s="5"/>
      <c r="K185" s="5">
        <f>'1.2.3'!AL$10</f>
        <v>0</v>
      </c>
      <c r="L185" s="29">
        <f>'1.2.3'!AM$9</f>
        <v>0</v>
      </c>
      <c r="M185" s="29">
        <f>'1.2.3'!AN$9</f>
        <v>0</v>
      </c>
      <c r="N185" s="24">
        <f>'1.2.3'!AL$9</f>
        <v>0</v>
      </c>
      <c r="O185" s="874"/>
      <c r="P185" s="874"/>
    </row>
    <row r="186" spans="1:16" hidden="1" x14ac:dyDescent="0.25">
      <c r="A186" s="2">
        <v>1</v>
      </c>
      <c r="B186" s="3" t="s">
        <v>11</v>
      </c>
      <c r="C186" s="3" t="s">
        <v>534</v>
      </c>
      <c r="D186" s="863" t="s">
        <v>11</v>
      </c>
      <c r="E186" s="3" t="s">
        <v>542</v>
      </c>
      <c r="F186" s="3" t="s">
        <v>215</v>
      </c>
      <c r="G186" s="8" t="s">
        <v>216</v>
      </c>
      <c r="H186" s="9" t="s">
        <v>464</v>
      </c>
      <c r="I186" s="5"/>
      <c r="J186" s="5"/>
      <c r="K186" s="5">
        <f>'1.2.3'!BA$10</f>
        <v>0</v>
      </c>
      <c r="L186" s="29">
        <f>'1.2.3'!BB$9</f>
        <v>0</v>
      </c>
      <c r="M186" s="29">
        <f>'1.2.3'!BC$9</f>
        <v>0</v>
      </c>
      <c r="N186" s="24">
        <f>'1.2.3'!BA$9</f>
        <v>0</v>
      </c>
      <c r="O186" s="875" t="s">
        <v>84</v>
      </c>
      <c r="P186" s="875" t="s">
        <v>216</v>
      </c>
    </row>
    <row r="187" spans="1:16" ht="25.5" hidden="1" x14ac:dyDescent="0.25">
      <c r="A187" s="2">
        <v>1</v>
      </c>
      <c r="B187" s="3" t="s">
        <v>20</v>
      </c>
      <c r="C187" s="3" t="s">
        <v>534</v>
      </c>
      <c r="D187" s="863" t="s">
        <v>20</v>
      </c>
      <c r="E187" s="3" t="s">
        <v>551</v>
      </c>
      <c r="F187" s="3" t="s">
        <v>263</v>
      </c>
      <c r="G187" s="8" t="s">
        <v>264</v>
      </c>
      <c r="H187" s="9" t="s">
        <v>486</v>
      </c>
      <c r="I187" s="5" t="s">
        <v>469</v>
      </c>
      <c r="J187" s="5" t="s">
        <v>602</v>
      </c>
      <c r="K187" s="5">
        <v>0</v>
      </c>
      <c r="L187" s="30">
        <v>0</v>
      </c>
      <c r="M187" s="30">
        <v>0</v>
      </c>
      <c r="N187" s="25">
        <v>0</v>
      </c>
      <c r="O187" s="875" t="s">
        <v>99</v>
      </c>
      <c r="P187" s="875" t="s">
        <v>264</v>
      </c>
    </row>
    <row r="188" spans="1:16" hidden="1" x14ac:dyDescent="0.25">
      <c r="A188" s="2">
        <v>1</v>
      </c>
      <c r="B188" s="3" t="s">
        <v>20</v>
      </c>
      <c r="C188" s="3" t="s">
        <v>534</v>
      </c>
      <c r="D188" s="863" t="s">
        <v>20</v>
      </c>
      <c r="E188" s="3" t="s">
        <v>551</v>
      </c>
      <c r="F188" s="3" t="s">
        <v>273</v>
      </c>
      <c r="G188" s="8" t="s">
        <v>274</v>
      </c>
      <c r="H188" s="9" t="s">
        <v>464</v>
      </c>
      <c r="I188" s="5"/>
      <c r="J188" s="5"/>
      <c r="K188" s="5">
        <v>0</v>
      </c>
      <c r="L188" s="30">
        <v>0</v>
      </c>
      <c r="M188" s="30">
        <v>0</v>
      </c>
      <c r="N188" s="25">
        <v>0</v>
      </c>
      <c r="O188" s="874"/>
      <c r="P188" s="874"/>
    </row>
    <row r="189" spans="1:16" ht="25.5" hidden="1" x14ac:dyDescent="0.25">
      <c r="A189" s="2">
        <v>1</v>
      </c>
      <c r="B189" s="3" t="s">
        <v>20</v>
      </c>
      <c r="C189" s="3" t="s">
        <v>534</v>
      </c>
      <c r="D189" s="863" t="s">
        <v>20</v>
      </c>
      <c r="E189" s="3" t="s">
        <v>563</v>
      </c>
      <c r="F189" s="3" t="s">
        <v>263</v>
      </c>
      <c r="G189" s="8" t="s">
        <v>264</v>
      </c>
      <c r="H189" s="74" t="s">
        <v>486</v>
      </c>
      <c r="I189" s="5" t="s">
        <v>469</v>
      </c>
      <c r="J189" s="5" t="s">
        <v>602</v>
      </c>
      <c r="K189" s="5">
        <v>0</v>
      </c>
      <c r="L189" s="30">
        <v>0</v>
      </c>
      <c r="M189" s="30">
        <v>0</v>
      </c>
      <c r="N189" s="25">
        <v>0</v>
      </c>
      <c r="O189" s="875" t="s">
        <v>99</v>
      </c>
      <c r="P189" s="875" t="s">
        <v>264</v>
      </c>
    </row>
    <row r="190" spans="1:16" hidden="1" x14ac:dyDescent="0.25">
      <c r="A190" s="2">
        <v>1</v>
      </c>
      <c r="B190" s="3" t="s">
        <v>20</v>
      </c>
      <c r="C190" s="3" t="s">
        <v>534</v>
      </c>
      <c r="D190" s="863" t="s">
        <v>20</v>
      </c>
      <c r="E190" s="3" t="s">
        <v>563</v>
      </c>
      <c r="F190" s="3" t="s">
        <v>265</v>
      </c>
      <c r="G190" s="8" t="s">
        <v>266</v>
      </c>
      <c r="H190" s="9" t="s">
        <v>486</v>
      </c>
      <c r="I190" s="5" t="s">
        <v>469</v>
      </c>
      <c r="J190" s="5" t="s">
        <v>649</v>
      </c>
      <c r="K190" s="5">
        <v>0</v>
      </c>
      <c r="L190" s="30">
        <v>0</v>
      </c>
      <c r="M190" s="30">
        <v>0</v>
      </c>
      <c r="N190" s="25">
        <v>0</v>
      </c>
      <c r="O190" s="874"/>
      <c r="P190" s="874"/>
    </row>
    <row r="191" spans="1:16" hidden="1" x14ac:dyDescent="0.25">
      <c r="A191" s="2">
        <v>1</v>
      </c>
      <c r="B191" s="3" t="s">
        <v>20</v>
      </c>
      <c r="C191" s="3" t="s">
        <v>534</v>
      </c>
      <c r="D191" s="863" t="s">
        <v>20</v>
      </c>
      <c r="E191" s="3" t="s">
        <v>563</v>
      </c>
      <c r="F191" s="3" t="s">
        <v>272</v>
      </c>
      <c r="G191" s="8" t="s">
        <v>102</v>
      </c>
      <c r="H191" s="9" t="s">
        <v>464</v>
      </c>
      <c r="I191" s="5" t="s">
        <v>469</v>
      </c>
      <c r="J191" s="5" t="s">
        <v>602</v>
      </c>
      <c r="K191" s="5">
        <v>0</v>
      </c>
      <c r="L191" s="30">
        <v>0</v>
      </c>
      <c r="M191" s="30">
        <v>0</v>
      </c>
      <c r="N191" s="25">
        <v>0</v>
      </c>
      <c r="O191" s="875" t="s">
        <v>101</v>
      </c>
      <c r="P191" s="875" t="s">
        <v>102</v>
      </c>
    </row>
    <row r="192" spans="1:16" hidden="1" x14ac:dyDescent="0.25">
      <c r="A192" s="2">
        <v>1</v>
      </c>
      <c r="B192" s="3" t="s">
        <v>20</v>
      </c>
      <c r="C192" s="3" t="s">
        <v>534</v>
      </c>
      <c r="D192" s="863" t="s">
        <v>20</v>
      </c>
      <c r="E192" s="3" t="s">
        <v>563</v>
      </c>
      <c r="F192" s="3" t="s">
        <v>275</v>
      </c>
      <c r="G192" s="8" t="s">
        <v>276</v>
      </c>
      <c r="H192" s="9" t="s">
        <v>464</v>
      </c>
      <c r="I192" s="5" t="s">
        <v>469</v>
      </c>
      <c r="J192" s="5" t="s">
        <v>649</v>
      </c>
      <c r="K192" s="5">
        <v>0</v>
      </c>
      <c r="L192" s="30">
        <v>0</v>
      </c>
      <c r="M192" s="30">
        <v>0</v>
      </c>
      <c r="N192" s="25">
        <v>0</v>
      </c>
      <c r="O192" s="874"/>
      <c r="P192" s="874"/>
    </row>
    <row r="193" spans="1:16" hidden="1" x14ac:dyDescent="0.25">
      <c r="A193" s="2">
        <v>1</v>
      </c>
      <c r="B193" s="3" t="s">
        <v>20</v>
      </c>
      <c r="C193" s="3" t="s">
        <v>534</v>
      </c>
      <c r="D193" s="863" t="s">
        <v>20</v>
      </c>
      <c r="E193" s="3" t="s">
        <v>563</v>
      </c>
      <c r="F193" s="3" t="s">
        <v>277</v>
      </c>
      <c r="G193" s="8" t="s">
        <v>278</v>
      </c>
      <c r="H193" s="9" t="s">
        <v>464</v>
      </c>
      <c r="I193" s="5" t="s">
        <v>469</v>
      </c>
      <c r="J193" s="5" t="s">
        <v>649</v>
      </c>
      <c r="K193" s="5">
        <v>0</v>
      </c>
      <c r="L193" s="30">
        <v>0</v>
      </c>
      <c r="M193" s="30">
        <v>0</v>
      </c>
      <c r="N193" s="25">
        <v>0</v>
      </c>
      <c r="O193" s="874"/>
      <c r="P193" s="874"/>
    </row>
    <row r="194" spans="1:16" ht="25.5" hidden="1" x14ac:dyDescent="0.25">
      <c r="A194" s="2">
        <v>1</v>
      </c>
      <c r="B194" s="3" t="s">
        <v>20</v>
      </c>
      <c r="C194" s="3" t="s">
        <v>534</v>
      </c>
      <c r="D194" s="863" t="s">
        <v>20</v>
      </c>
      <c r="E194" s="3" t="s">
        <v>543</v>
      </c>
      <c r="F194" s="3" t="s">
        <v>267</v>
      </c>
      <c r="G194" s="8" t="s">
        <v>268</v>
      </c>
      <c r="H194" s="9" t="s">
        <v>464</v>
      </c>
      <c r="I194" s="5"/>
      <c r="J194" s="5"/>
      <c r="K194" s="5">
        <v>0</v>
      </c>
      <c r="L194" s="30">
        <v>0</v>
      </c>
      <c r="M194" s="30">
        <v>0</v>
      </c>
      <c r="N194" s="25">
        <v>0</v>
      </c>
      <c r="O194" s="874"/>
      <c r="P194" s="874"/>
    </row>
    <row r="195" spans="1:16" ht="25.5" hidden="1" x14ac:dyDescent="0.25">
      <c r="A195" s="2">
        <v>1</v>
      </c>
      <c r="B195" s="3" t="s">
        <v>20</v>
      </c>
      <c r="C195" s="3" t="s">
        <v>534</v>
      </c>
      <c r="D195" s="863" t="s">
        <v>20</v>
      </c>
      <c r="E195" s="3" t="s">
        <v>543</v>
      </c>
      <c r="F195" s="3" t="s">
        <v>269</v>
      </c>
      <c r="G195" s="8" t="s">
        <v>270</v>
      </c>
      <c r="H195" s="9" t="s">
        <v>464</v>
      </c>
      <c r="I195" s="5"/>
      <c r="J195" s="5"/>
      <c r="K195" s="5">
        <v>0</v>
      </c>
      <c r="L195" s="30">
        <v>0</v>
      </c>
      <c r="M195" s="30">
        <v>0</v>
      </c>
      <c r="N195" s="25">
        <v>0</v>
      </c>
      <c r="O195" s="875" t="s">
        <v>105</v>
      </c>
      <c r="P195" s="875" t="s">
        <v>270</v>
      </c>
    </row>
    <row r="196" spans="1:16" hidden="1" x14ac:dyDescent="0.25">
      <c r="A196" s="2">
        <v>1</v>
      </c>
      <c r="B196" s="3" t="s">
        <v>20</v>
      </c>
      <c r="C196" s="3" t="s">
        <v>534</v>
      </c>
      <c r="D196" s="863" t="s">
        <v>20</v>
      </c>
      <c r="E196" s="3" t="s">
        <v>543</v>
      </c>
      <c r="F196" s="3" t="s">
        <v>271</v>
      </c>
      <c r="G196" s="8" t="s">
        <v>104</v>
      </c>
      <c r="H196" s="9" t="s">
        <v>464</v>
      </c>
      <c r="I196" s="5"/>
      <c r="J196" s="5"/>
      <c r="K196" s="5">
        <v>0</v>
      </c>
      <c r="L196" s="30">
        <v>0</v>
      </c>
      <c r="M196" s="30">
        <v>0</v>
      </c>
      <c r="N196" s="25">
        <v>0</v>
      </c>
      <c r="O196" s="875" t="s">
        <v>103</v>
      </c>
      <c r="P196" s="875" t="s">
        <v>104</v>
      </c>
    </row>
    <row r="197" spans="1:16" hidden="1" x14ac:dyDescent="0.25">
      <c r="A197" s="2">
        <v>1</v>
      </c>
      <c r="B197" s="3" t="s">
        <v>20</v>
      </c>
      <c r="C197" s="3" t="s">
        <v>534</v>
      </c>
      <c r="D197" s="863" t="s">
        <v>20</v>
      </c>
      <c r="E197" s="3" t="s">
        <v>545</v>
      </c>
      <c r="F197" s="3" t="s">
        <v>209</v>
      </c>
      <c r="G197" s="8" t="s">
        <v>210</v>
      </c>
      <c r="H197" s="9" t="s">
        <v>464</v>
      </c>
      <c r="I197" s="5"/>
      <c r="J197" s="5"/>
      <c r="K197" s="5">
        <v>0</v>
      </c>
      <c r="L197" s="30">
        <v>0</v>
      </c>
      <c r="M197" s="30">
        <v>0</v>
      </c>
      <c r="N197" s="25">
        <v>0</v>
      </c>
      <c r="O197" s="874"/>
      <c r="P197" s="874"/>
    </row>
    <row r="198" spans="1:16" hidden="1" x14ac:dyDescent="0.25">
      <c r="A198" s="2">
        <v>1</v>
      </c>
      <c r="B198" s="3" t="s">
        <v>20</v>
      </c>
      <c r="C198" s="3" t="s">
        <v>534</v>
      </c>
      <c r="D198" s="863" t="s">
        <v>20</v>
      </c>
      <c r="E198" s="3" t="s">
        <v>545</v>
      </c>
      <c r="F198" s="3" t="s">
        <v>215</v>
      </c>
      <c r="G198" s="8" t="s">
        <v>216</v>
      </c>
      <c r="H198" s="9" t="s">
        <v>464</v>
      </c>
      <c r="I198" s="5"/>
      <c r="J198" s="5"/>
      <c r="K198" s="5">
        <v>0</v>
      </c>
      <c r="L198" s="30">
        <v>0</v>
      </c>
      <c r="M198" s="30">
        <v>0</v>
      </c>
      <c r="N198" s="25">
        <v>0</v>
      </c>
      <c r="O198" s="875" t="s">
        <v>84</v>
      </c>
      <c r="P198" s="875" t="s">
        <v>216</v>
      </c>
    </row>
    <row r="199" spans="1:16" ht="38.25" hidden="1" x14ac:dyDescent="0.25">
      <c r="A199" s="2">
        <v>1</v>
      </c>
      <c r="B199" s="3" t="s">
        <v>25</v>
      </c>
      <c r="C199" s="3" t="s">
        <v>534</v>
      </c>
      <c r="D199" s="863" t="s">
        <v>25</v>
      </c>
      <c r="E199" s="3" t="s">
        <v>552</v>
      </c>
      <c r="F199" s="3" t="s">
        <v>279</v>
      </c>
      <c r="G199" s="8" t="s">
        <v>112</v>
      </c>
      <c r="H199" s="9" t="s">
        <v>491</v>
      </c>
      <c r="I199" s="5"/>
      <c r="J199" s="5"/>
      <c r="K199" s="5">
        <f>'1.4.1'!H$24</f>
        <v>0</v>
      </c>
      <c r="L199" s="29">
        <f>'1.4.1'!I$23</f>
        <v>0</v>
      </c>
      <c r="M199" s="29">
        <f>'1.4.1'!J$23</f>
        <v>0</v>
      </c>
      <c r="N199" s="24">
        <f>'1.4.1'!H$23</f>
        <v>0</v>
      </c>
      <c r="O199" s="875" t="s">
        <v>111</v>
      </c>
      <c r="P199" s="875" t="s">
        <v>112</v>
      </c>
    </row>
    <row r="200" spans="1:16" hidden="1" x14ac:dyDescent="0.25">
      <c r="A200" s="2">
        <v>1</v>
      </c>
      <c r="B200" s="3" t="s">
        <v>25</v>
      </c>
      <c r="C200" s="3" t="s">
        <v>534</v>
      </c>
      <c r="D200" s="863" t="s">
        <v>25</v>
      </c>
      <c r="E200" s="3" t="s">
        <v>552</v>
      </c>
      <c r="F200" s="3" t="s">
        <v>281</v>
      </c>
      <c r="G200" s="8" t="s">
        <v>282</v>
      </c>
      <c r="H200" s="9" t="s">
        <v>464</v>
      </c>
      <c r="I200" s="5"/>
      <c r="J200" s="5"/>
      <c r="K200" s="5">
        <f>'1.4.1'!N$24</f>
        <v>0</v>
      </c>
      <c r="L200" s="29">
        <f>'1.4.1'!O$23</f>
        <v>0</v>
      </c>
      <c r="M200" s="29">
        <f>'1.4.1'!P$23</f>
        <v>0</v>
      </c>
      <c r="N200" s="24">
        <f>'1.4.1'!N$23</f>
        <v>0</v>
      </c>
      <c r="O200" s="874"/>
      <c r="P200" s="874"/>
    </row>
    <row r="201" spans="1:16" ht="25.5" hidden="1" x14ac:dyDescent="0.25">
      <c r="A201" s="2">
        <v>1</v>
      </c>
      <c r="B201" s="3" t="s">
        <v>25</v>
      </c>
      <c r="C201" s="3" t="s">
        <v>534</v>
      </c>
      <c r="D201" s="863" t="s">
        <v>25</v>
      </c>
      <c r="E201" s="3" t="s">
        <v>552</v>
      </c>
      <c r="F201" s="3" t="s">
        <v>293</v>
      </c>
      <c r="G201" s="8" t="s">
        <v>294</v>
      </c>
      <c r="H201" s="9" t="s">
        <v>464</v>
      </c>
      <c r="I201" s="5" t="s">
        <v>469</v>
      </c>
      <c r="J201" s="5" t="s">
        <v>602</v>
      </c>
      <c r="K201" s="5">
        <f>'1.4.1'!AI$24</f>
        <v>0</v>
      </c>
      <c r="L201" s="29">
        <f>'1.4.1'!AJ$23</f>
        <v>0</v>
      </c>
      <c r="M201" s="29">
        <f>'1.4.1'!AK$23</f>
        <v>0</v>
      </c>
      <c r="N201" s="24">
        <f>'1.4.1'!AI$23</f>
        <v>0</v>
      </c>
      <c r="O201" s="874"/>
      <c r="P201" s="874"/>
    </row>
    <row r="202" spans="1:16" ht="38.25" hidden="1" x14ac:dyDescent="0.25">
      <c r="A202" s="2">
        <v>1</v>
      </c>
      <c r="B202" s="3" t="s">
        <v>25</v>
      </c>
      <c r="C202" s="3" t="s">
        <v>534</v>
      </c>
      <c r="D202" s="863" t="s">
        <v>25</v>
      </c>
      <c r="E202" s="3" t="s">
        <v>552</v>
      </c>
      <c r="F202" s="3" t="s">
        <v>295</v>
      </c>
      <c r="G202" s="8" t="s">
        <v>114</v>
      </c>
      <c r="H202" s="9" t="s">
        <v>464</v>
      </c>
      <c r="I202" s="5" t="s">
        <v>469</v>
      </c>
      <c r="J202" s="5" t="s">
        <v>602</v>
      </c>
      <c r="K202" s="5">
        <f>'1.4.1'!AL$24</f>
        <v>18</v>
      </c>
      <c r="L202" s="29">
        <f>'1.4.1'!AM$23</f>
        <v>1</v>
      </c>
      <c r="M202" s="29">
        <f>'1.4.1'!AN$23</f>
        <v>3</v>
      </c>
      <c r="N202" s="24">
        <f>'1.4.1'!AL$23</f>
        <v>22</v>
      </c>
      <c r="O202" s="875" t="s">
        <v>113</v>
      </c>
      <c r="P202" s="875" t="s">
        <v>2058</v>
      </c>
    </row>
    <row r="203" spans="1:16" ht="15.75" hidden="1" x14ac:dyDescent="0.25">
      <c r="A203" s="2">
        <v>1</v>
      </c>
      <c r="B203" s="3" t="s">
        <v>25</v>
      </c>
      <c r="C203" s="3" t="s">
        <v>534</v>
      </c>
      <c r="D203" s="863" t="s">
        <v>25</v>
      </c>
      <c r="E203" s="3" t="s">
        <v>552</v>
      </c>
      <c r="F203" s="3" t="s">
        <v>300</v>
      </c>
      <c r="G203" s="8" t="s">
        <v>1078</v>
      </c>
      <c r="H203" s="9" t="s">
        <v>657</v>
      </c>
      <c r="I203" s="5" t="s">
        <v>469</v>
      </c>
      <c r="J203" s="5" t="s">
        <v>649</v>
      </c>
      <c r="K203" s="5">
        <f>'1.4.1'!AX$24</f>
        <v>0</v>
      </c>
      <c r="L203" s="29">
        <f>'1.4.1'!AY$23</f>
        <v>0</v>
      </c>
      <c r="M203" s="29">
        <f>'1.4.1'!AZ$23</f>
        <v>0</v>
      </c>
      <c r="N203" s="24">
        <f>'1.4.1'!AX$23</f>
        <v>0</v>
      </c>
      <c r="O203" s="874"/>
      <c r="P203" s="874"/>
    </row>
    <row r="204" spans="1:16" ht="15.75" hidden="1" x14ac:dyDescent="0.25">
      <c r="A204" s="2">
        <v>1</v>
      </c>
      <c r="B204" s="3" t="s">
        <v>25</v>
      </c>
      <c r="C204" s="3" t="s">
        <v>534</v>
      </c>
      <c r="D204" s="863" t="s">
        <v>25</v>
      </c>
      <c r="E204" s="3" t="s">
        <v>552</v>
      </c>
      <c r="F204" s="3" t="s">
        <v>302</v>
      </c>
      <c r="G204" s="8" t="s">
        <v>1079</v>
      </c>
      <c r="H204" s="9" t="s">
        <v>657</v>
      </c>
      <c r="I204" s="5" t="s">
        <v>469</v>
      </c>
      <c r="J204" s="5" t="s">
        <v>649</v>
      </c>
      <c r="K204" s="5">
        <f>'1.4.1'!BA$24</f>
        <v>1</v>
      </c>
      <c r="L204" s="29">
        <f>'1.4.1'!BB$23</f>
        <v>0</v>
      </c>
      <c r="M204" s="29">
        <f>'1.4.1'!BC$23</f>
        <v>32889.666700000002</v>
      </c>
      <c r="N204" s="24">
        <f>'1.4.1'!BA$23</f>
        <v>32889.666700000002</v>
      </c>
      <c r="O204" s="873"/>
      <c r="P204" s="873"/>
    </row>
    <row r="205" spans="1:16" ht="15.75" hidden="1" x14ac:dyDescent="0.25">
      <c r="A205" s="2">
        <v>1</v>
      </c>
      <c r="B205" s="3" t="s">
        <v>25</v>
      </c>
      <c r="C205" s="3" t="s">
        <v>534</v>
      </c>
      <c r="D205" s="863" t="s">
        <v>25</v>
      </c>
      <c r="E205" s="3" t="s">
        <v>552</v>
      </c>
      <c r="F205" s="3" t="s">
        <v>304</v>
      </c>
      <c r="G205" s="8" t="s">
        <v>1080</v>
      </c>
      <c r="H205" s="9" t="s">
        <v>657</v>
      </c>
      <c r="I205" s="5" t="s">
        <v>469</v>
      </c>
      <c r="J205" s="5" t="s">
        <v>649</v>
      </c>
      <c r="K205" s="5">
        <f>'1.4.1'!BD$24</f>
        <v>18</v>
      </c>
      <c r="L205" s="29">
        <f>'1.4.1'!BE$23</f>
        <v>0</v>
      </c>
      <c r="M205" s="29">
        <f>'1.4.1'!BF$23</f>
        <v>11325.036700000001</v>
      </c>
      <c r="N205" s="24">
        <f>'1.4.1'!BD$23</f>
        <v>1510393.7327000003</v>
      </c>
      <c r="O205" s="873"/>
      <c r="P205" s="873"/>
    </row>
    <row r="206" spans="1:16" ht="15.75" hidden="1" x14ac:dyDescent="0.25">
      <c r="A206" s="2">
        <v>1</v>
      </c>
      <c r="B206" s="3" t="s">
        <v>25</v>
      </c>
      <c r="C206" s="3" t="s">
        <v>534</v>
      </c>
      <c r="D206" s="863" t="s">
        <v>25</v>
      </c>
      <c r="E206" s="3" t="s">
        <v>552</v>
      </c>
      <c r="F206" s="3" t="s">
        <v>306</v>
      </c>
      <c r="G206" s="8" t="s">
        <v>1081</v>
      </c>
      <c r="H206" s="9" t="s">
        <v>657</v>
      </c>
      <c r="I206" s="5" t="s">
        <v>469</v>
      </c>
      <c r="J206" s="5" t="s">
        <v>649</v>
      </c>
      <c r="K206" s="5">
        <f>'1.4.1'!BG$24</f>
        <v>18</v>
      </c>
      <c r="L206" s="29">
        <f>'1.4.1'!BH$23</f>
        <v>0</v>
      </c>
      <c r="M206" s="29">
        <f>'1.4.1'!BI$23</f>
        <v>10573.132</v>
      </c>
      <c r="N206" s="24">
        <f>'1.4.1'!BG$23</f>
        <v>924543.89600000007</v>
      </c>
      <c r="O206" s="873"/>
      <c r="P206" s="873"/>
    </row>
    <row r="207" spans="1:16" ht="15.75" hidden="1" x14ac:dyDescent="0.25">
      <c r="A207" s="2">
        <v>1</v>
      </c>
      <c r="B207" s="3" t="s">
        <v>25</v>
      </c>
      <c r="C207" s="3" t="s">
        <v>534</v>
      </c>
      <c r="D207" s="863" t="s">
        <v>25</v>
      </c>
      <c r="E207" s="3" t="s">
        <v>552</v>
      </c>
      <c r="F207" s="3" t="s">
        <v>308</v>
      </c>
      <c r="G207" s="8" t="s">
        <v>1082</v>
      </c>
      <c r="H207" s="9" t="s">
        <v>657</v>
      </c>
      <c r="I207" s="5" t="s">
        <v>469</v>
      </c>
      <c r="J207" s="5" t="s">
        <v>649</v>
      </c>
      <c r="K207" s="5">
        <f>'1.4.1'!BJ$24</f>
        <v>1</v>
      </c>
      <c r="L207" s="29">
        <f>'1.4.1'!BK$23</f>
        <v>0</v>
      </c>
      <c r="M207" s="29">
        <f>'1.4.1'!BL$23</f>
        <v>238.16669999999999</v>
      </c>
      <c r="N207" s="24">
        <f>'1.4.1'!BJ$23</f>
        <v>238.16669999999999</v>
      </c>
      <c r="O207" s="873"/>
      <c r="P207" s="873"/>
    </row>
    <row r="208" spans="1:16" hidden="1" x14ac:dyDescent="0.25">
      <c r="A208" s="2">
        <v>1</v>
      </c>
      <c r="B208" s="3" t="s">
        <v>25</v>
      </c>
      <c r="C208" s="3" t="s">
        <v>534</v>
      </c>
      <c r="D208" s="863" t="s">
        <v>25</v>
      </c>
      <c r="E208" s="3" t="s">
        <v>552</v>
      </c>
      <c r="F208" s="3" t="s">
        <v>310</v>
      </c>
      <c r="G208" s="8" t="s">
        <v>311</v>
      </c>
      <c r="H208" s="9" t="s">
        <v>657</v>
      </c>
      <c r="I208" s="5" t="s">
        <v>469</v>
      </c>
      <c r="J208" s="5" t="s">
        <v>649</v>
      </c>
      <c r="K208" s="5">
        <f>'1.4.1'!BM$24</f>
        <v>0</v>
      </c>
      <c r="L208" s="29">
        <f>'1.4.1'!BN$23</f>
        <v>0</v>
      </c>
      <c r="M208" s="29">
        <f>'1.4.1'!BO$23</f>
        <v>0</v>
      </c>
      <c r="N208" s="24">
        <f>'1.4.1'!BM$23</f>
        <v>0</v>
      </c>
      <c r="O208" s="873"/>
      <c r="P208" s="873"/>
    </row>
    <row r="209" spans="1:16" hidden="1" x14ac:dyDescent="0.25">
      <c r="A209" s="2">
        <v>1</v>
      </c>
      <c r="B209" s="3" t="s">
        <v>25</v>
      </c>
      <c r="C209" s="3" t="s">
        <v>534</v>
      </c>
      <c r="D209" s="863" t="s">
        <v>25</v>
      </c>
      <c r="E209" s="3" t="s">
        <v>547</v>
      </c>
      <c r="F209" s="3" t="s">
        <v>209</v>
      </c>
      <c r="G209" s="8" t="s">
        <v>210</v>
      </c>
      <c r="H209" s="9" t="s">
        <v>464</v>
      </c>
      <c r="I209" s="5"/>
      <c r="J209" s="5"/>
      <c r="K209" s="5">
        <f>'1.4.1'!Z$24</f>
        <v>0</v>
      </c>
      <c r="L209" s="29">
        <f>'1.4.1'!AA$23</f>
        <v>0</v>
      </c>
      <c r="M209" s="29">
        <f>'1.4.1'!AB$23</f>
        <v>0</v>
      </c>
      <c r="N209" s="24">
        <f>'1.4.1'!Z$23</f>
        <v>0</v>
      </c>
      <c r="O209" s="873"/>
      <c r="P209" s="873"/>
    </row>
    <row r="210" spans="1:16" hidden="1" outlineLevel="1" x14ac:dyDescent="0.25">
      <c r="A210" s="2"/>
      <c r="B210" s="79"/>
      <c r="C210" s="82" t="s">
        <v>534</v>
      </c>
      <c r="D210" s="81" t="s">
        <v>25</v>
      </c>
      <c r="E210" s="82" t="s">
        <v>552</v>
      </c>
      <c r="F210" s="82" t="s">
        <v>295</v>
      </c>
      <c r="G210" s="83" t="s">
        <v>1062</v>
      </c>
      <c r="H210" s="84" t="s">
        <v>464</v>
      </c>
      <c r="I210" s="85" t="s">
        <v>469</v>
      </c>
      <c r="J210" s="85" t="s">
        <v>602</v>
      </c>
      <c r="K210" s="85"/>
      <c r="L210" s="87">
        <f>SUMIF('1.4.1'!$E$5:$E$22,$G210,'1.4.1'!$AM$5:$AM$22)</f>
        <v>0</v>
      </c>
      <c r="M210" s="136"/>
      <c r="N210" s="86">
        <f>SUMIF('1.4.1'!$E$5:$E$22,$G210,'1.4.1'!$AL$5:$AL$22)</f>
        <v>1</v>
      </c>
    </row>
    <row r="211" spans="1:16" hidden="1" outlineLevel="1" x14ac:dyDescent="0.25">
      <c r="A211" s="2"/>
      <c r="B211" s="79"/>
      <c r="C211" s="82" t="s">
        <v>534</v>
      </c>
      <c r="D211" s="81" t="s">
        <v>25</v>
      </c>
      <c r="E211" s="82" t="s">
        <v>552</v>
      </c>
      <c r="F211" s="82" t="s">
        <v>295</v>
      </c>
      <c r="G211" s="83" t="s">
        <v>1063</v>
      </c>
      <c r="H211" s="84" t="s">
        <v>464</v>
      </c>
      <c r="I211" s="85" t="s">
        <v>469</v>
      </c>
      <c r="J211" s="85" t="s">
        <v>602</v>
      </c>
      <c r="K211" s="85"/>
      <c r="L211" s="87">
        <f>SUMIF('1.4.1'!$E$5:$E$22,$G211,'1.4.1'!$AM$5:$AM$22)</f>
        <v>1</v>
      </c>
      <c r="M211" s="136"/>
      <c r="N211" s="86">
        <f>SUMIF('1.4.1'!$E$5:$E$22,$G211,'1.4.1'!$AL$5:$AL$22)</f>
        <v>20</v>
      </c>
    </row>
    <row r="212" spans="1:16" hidden="1" outlineLevel="1" x14ac:dyDescent="0.25">
      <c r="A212" s="2"/>
      <c r="B212" s="79"/>
      <c r="C212" s="82" t="s">
        <v>534</v>
      </c>
      <c r="D212" s="81" t="s">
        <v>25</v>
      </c>
      <c r="E212" s="82" t="s">
        <v>552</v>
      </c>
      <c r="F212" s="82" t="s">
        <v>295</v>
      </c>
      <c r="G212" s="83" t="s">
        <v>0</v>
      </c>
      <c r="H212" s="84" t="s">
        <v>464</v>
      </c>
      <c r="I212" s="85" t="s">
        <v>469</v>
      </c>
      <c r="J212" s="85" t="s">
        <v>602</v>
      </c>
      <c r="K212" s="85"/>
      <c r="L212" s="87">
        <f>SUMIF('1.4.1'!$E$5:$E$22,$G212,'1.4.1'!$AM$5:$AM$22)</f>
        <v>0</v>
      </c>
      <c r="M212" s="136"/>
      <c r="N212" s="86">
        <f>SUMIF('1.4.1'!$E$5:$E$22,$G212,'1.4.1'!$AL$5:$AL$22)</f>
        <v>1</v>
      </c>
    </row>
    <row r="213" spans="1:16" hidden="1" collapsed="1" x14ac:dyDescent="0.25">
      <c r="A213" s="2">
        <v>1</v>
      </c>
      <c r="B213" s="3" t="s">
        <v>25</v>
      </c>
      <c r="C213" s="3" t="s">
        <v>534</v>
      </c>
      <c r="D213" s="863" t="s">
        <v>25</v>
      </c>
      <c r="E213" s="3" t="s">
        <v>547</v>
      </c>
      <c r="F213" s="3" t="s">
        <v>215</v>
      </c>
      <c r="G213" s="8" t="s">
        <v>216</v>
      </c>
      <c r="H213" s="9" t="s">
        <v>464</v>
      </c>
      <c r="I213" s="5"/>
      <c r="J213" s="5"/>
      <c r="K213" s="5">
        <f>'1.4.1'!AU$24</f>
        <v>0</v>
      </c>
      <c r="L213" s="29">
        <f>'1.4.1'!AV$23</f>
        <v>0</v>
      </c>
      <c r="M213" s="29">
        <f>'1.4.1'!AW$23</f>
        <v>0</v>
      </c>
      <c r="N213" s="24">
        <f>'1.4.1'!AU$23</f>
        <v>0</v>
      </c>
      <c r="O213" s="875" t="s">
        <v>84</v>
      </c>
      <c r="P213" s="875" t="s">
        <v>216</v>
      </c>
    </row>
    <row r="214" spans="1:16" ht="25.5" hidden="1" x14ac:dyDescent="0.25">
      <c r="A214" s="2">
        <v>1</v>
      </c>
      <c r="B214" s="3" t="s">
        <v>25</v>
      </c>
      <c r="C214" s="3" t="s">
        <v>534</v>
      </c>
      <c r="D214" s="863" t="s">
        <v>25</v>
      </c>
      <c r="E214" s="3" t="s">
        <v>544</v>
      </c>
      <c r="F214" s="3" t="s">
        <v>280</v>
      </c>
      <c r="G214" s="8" t="s">
        <v>110</v>
      </c>
      <c r="H214" s="9" t="s">
        <v>464</v>
      </c>
      <c r="I214" s="5"/>
      <c r="J214" s="5"/>
      <c r="K214" s="5">
        <f>'1.4.1'!K$24</f>
        <v>0</v>
      </c>
      <c r="L214" s="29">
        <f>'1.4.1'!L$23</f>
        <v>0</v>
      </c>
      <c r="M214" s="29">
        <f>'1.4.1'!M$23</f>
        <v>0</v>
      </c>
      <c r="N214" s="24">
        <f>'1.4.1'!K$23</f>
        <v>0</v>
      </c>
      <c r="O214" s="875" t="s">
        <v>109</v>
      </c>
      <c r="P214" s="875" t="s">
        <v>2060</v>
      </c>
    </row>
    <row r="215" spans="1:16" ht="25.5" hidden="1" x14ac:dyDescent="0.25">
      <c r="A215" s="2">
        <v>1</v>
      </c>
      <c r="B215" s="3" t="s">
        <v>25</v>
      </c>
      <c r="C215" s="3" t="s">
        <v>534</v>
      </c>
      <c r="D215" s="863" t="s">
        <v>25</v>
      </c>
      <c r="E215" s="3" t="s">
        <v>544</v>
      </c>
      <c r="F215" s="3" t="s">
        <v>283</v>
      </c>
      <c r="G215" s="8" t="s">
        <v>284</v>
      </c>
      <c r="H215" s="9" t="s">
        <v>464</v>
      </c>
      <c r="I215" s="5"/>
      <c r="J215" s="5"/>
      <c r="K215" s="5">
        <f>'1.4.1'!Q$24</f>
        <v>0</v>
      </c>
      <c r="L215" s="29">
        <f>'1.4.1'!R$23</f>
        <v>0</v>
      </c>
      <c r="M215" s="29">
        <f>'1.4.1'!S$23</f>
        <v>0</v>
      </c>
      <c r="N215" s="24">
        <f>'1.4.1'!Q$23</f>
        <v>0</v>
      </c>
      <c r="O215" s="874"/>
      <c r="P215" s="874"/>
    </row>
    <row r="216" spans="1:16" ht="25.5" hidden="1" x14ac:dyDescent="0.25">
      <c r="A216" s="2">
        <v>1</v>
      </c>
      <c r="B216" s="3" t="s">
        <v>25</v>
      </c>
      <c r="C216" s="3" t="s">
        <v>534</v>
      </c>
      <c r="D216" s="863" t="s">
        <v>25</v>
      </c>
      <c r="E216" s="3" t="s">
        <v>544</v>
      </c>
      <c r="F216" s="3" t="s">
        <v>285</v>
      </c>
      <c r="G216" s="8" t="s">
        <v>286</v>
      </c>
      <c r="H216" s="9" t="s">
        <v>464</v>
      </c>
      <c r="I216" s="5"/>
      <c r="J216" s="5"/>
      <c r="K216" s="5">
        <f>'1.4.1'!T$24</f>
        <v>0</v>
      </c>
      <c r="L216" s="29">
        <f>'1.4.1'!U$23</f>
        <v>0</v>
      </c>
      <c r="M216" s="29">
        <f>'1.4.1'!V$23</f>
        <v>0</v>
      </c>
      <c r="N216" s="24">
        <f>'1.4.1'!T$23</f>
        <v>0</v>
      </c>
      <c r="O216" s="875" t="s">
        <v>107</v>
      </c>
      <c r="P216" s="875" t="s">
        <v>108</v>
      </c>
    </row>
    <row r="217" spans="1:16" hidden="1" x14ac:dyDescent="0.25">
      <c r="A217" s="2">
        <v>1</v>
      </c>
      <c r="B217" s="3" t="s">
        <v>25</v>
      </c>
      <c r="C217" s="3" t="s">
        <v>534</v>
      </c>
      <c r="D217" s="863" t="s">
        <v>25</v>
      </c>
      <c r="E217" s="3" t="s">
        <v>544</v>
      </c>
      <c r="F217" s="3" t="s">
        <v>287</v>
      </c>
      <c r="G217" s="8" t="s">
        <v>288</v>
      </c>
      <c r="H217" s="9" t="s">
        <v>464</v>
      </c>
      <c r="I217" s="5"/>
      <c r="J217" s="5"/>
      <c r="K217" s="5">
        <f>'1.4.1'!W$24</f>
        <v>0</v>
      </c>
      <c r="L217" s="29">
        <f>'1.4.1'!X$23</f>
        <v>0</v>
      </c>
      <c r="M217" s="29">
        <f>'1.4.1'!Y$23</f>
        <v>0</v>
      </c>
      <c r="N217" s="24">
        <f>'1.4.1'!W$23</f>
        <v>0</v>
      </c>
      <c r="O217" s="874"/>
      <c r="P217" s="874"/>
    </row>
    <row r="218" spans="1:16" hidden="1" outlineLevel="1" x14ac:dyDescent="0.25">
      <c r="A218" s="2"/>
      <c r="B218" s="79"/>
      <c r="C218" s="82" t="s">
        <v>534</v>
      </c>
      <c r="D218" s="81" t="s">
        <v>25</v>
      </c>
      <c r="E218" s="82" t="s">
        <v>552</v>
      </c>
      <c r="F218" s="82" t="s">
        <v>302</v>
      </c>
      <c r="G218" s="83" t="s">
        <v>1062</v>
      </c>
      <c r="H218" s="84" t="s">
        <v>657</v>
      </c>
      <c r="I218" s="85" t="s">
        <v>469</v>
      </c>
      <c r="J218" s="85" t="s">
        <v>649</v>
      </c>
      <c r="K218" s="85"/>
      <c r="L218" s="87">
        <f>SUMIF('1.4.1'!$E$5:$E$22,$G218,'1.4.1'!$BB$5:$BB$22)</f>
        <v>0</v>
      </c>
      <c r="M218" s="136"/>
      <c r="N218" s="86">
        <f>SUMIF('1.4.1'!$E$5:$E$22,$G218,'1.4.1'!$BA$5:$BA$22)</f>
        <v>0</v>
      </c>
    </row>
    <row r="219" spans="1:16" hidden="1" outlineLevel="1" x14ac:dyDescent="0.25">
      <c r="A219" s="2"/>
      <c r="B219" s="79"/>
      <c r="C219" s="82" t="s">
        <v>534</v>
      </c>
      <c r="D219" s="81" t="s">
        <v>25</v>
      </c>
      <c r="E219" s="82" t="s">
        <v>552</v>
      </c>
      <c r="F219" s="82" t="s">
        <v>302</v>
      </c>
      <c r="G219" s="83" t="s">
        <v>1063</v>
      </c>
      <c r="H219" s="84" t="s">
        <v>657</v>
      </c>
      <c r="I219" s="85" t="s">
        <v>469</v>
      </c>
      <c r="J219" s="85" t="s">
        <v>649</v>
      </c>
      <c r="K219" s="85"/>
      <c r="L219" s="87">
        <f>SUMIF('1.4.1'!$E$5:$E$22,$G219,'1.4.1'!$BB$5:$BB$22)</f>
        <v>0</v>
      </c>
      <c r="M219" s="136"/>
      <c r="N219" s="86">
        <f>SUMIF('1.4.1'!$E$5:$E$22,$G219,'1.4.1'!$BA$5:$BA$22)</f>
        <v>32889.666700000002</v>
      </c>
    </row>
    <row r="220" spans="1:16" hidden="1" outlineLevel="1" x14ac:dyDescent="0.25">
      <c r="A220" s="2"/>
      <c r="B220" s="79"/>
      <c r="C220" s="82" t="s">
        <v>534</v>
      </c>
      <c r="D220" s="81" t="s">
        <v>25</v>
      </c>
      <c r="E220" s="82" t="s">
        <v>552</v>
      </c>
      <c r="F220" s="82" t="s">
        <v>302</v>
      </c>
      <c r="G220" s="83" t="s">
        <v>0</v>
      </c>
      <c r="H220" s="84" t="s">
        <v>657</v>
      </c>
      <c r="I220" s="85" t="s">
        <v>469</v>
      </c>
      <c r="J220" s="85" t="s">
        <v>649</v>
      </c>
      <c r="K220" s="85"/>
      <c r="L220" s="87">
        <f>SUMIF('1.4.1'!$E$5:$E$22,$G220,'1.4.1'!$BB$5:$BB$22)</f>
        <v>0</v>
      </c>
      <c r="M220" s="136"/>
      <c r="N220" s="86">
        <f>SUMIF('1.4.1'!$E$5:$E$22,$G220,'1.4.1'!$BA$5:$BA$22)</f>
        <v>0</v>
      </c>
    </row>
    <row r="221" spans="1:16" ht="25.5" hidden="1" collapsed="1" x14ac:dyDescent="0.25">
      <c r="A221" s="2">
        <v>1</v>
      </c>
      <c r="B221" s="3" t="s">
        <v>25</v>
      </c>
      <c r="C221" s="3" t="s">
        <v>534</v>
      </c>
      <c r="D221" s="863" t="s">
        <v>25</v>
      </c>
      <c r="E221" s="3" t="s">
        <v>544</v>
      </c>
      <c r="F221" s="3" t="s">
        <v>289</v>
      </c>
      <c r="G221" s="8" t="s">
        <v>290</v>
      </c>
      <c r="H221" s="9" t="s">
        <v>464</v>
      </c>
      <c r="I221" s="5"/>
      <c r="J221" s="5"/>
      <c r="K221" s="5">
        <f>'1.4.1'!AC$24</f>
        <v>0</v>
      </c>
      <c r="L221" s="29">
        <f>'1.4.1'!AD$23</f>
        <v>0</v>
      </c>
      <c r="M221" s="29">
        <f>'1.4.1'!AE$23</f>
        <v>0</v>
      </c>
      <c r="N221" s="24">
        <f>'1.4.1'!AC$23</f>
        <v>0</v>
      </c>
      <c r="O221" s="875" t="s">
        <v>107</v>
      </c>
      <c r="P221" s="875" t="s">
        <v>108</v>
      </c>
    </row>
    <row r="222" spans="1:16" hidden="1" outlineLevel="1" x14ac:dyDescent="0.25">
      <c r="A222" s="2"/>
      <c r="B222" s="79"/>
      <c r="C222" s="82" t="s">
        <v>534</v>
      </c>
      <c r="D222" s="81" t="s">
        <v>25</v>
      </c>
      <c r="E222" s="82" t="s">
        <v>552</v>
      </c>
      <c r="F222" s="82" t="s">
        <v>304</v>
      </c>
      <c r="G222" s="83" t="s">
        <v>1062</v>
      </c>
      <c r="H222" s="84" t="s">
        <v>657</v>
      </c>
      <c r="I222" s="85" t="s">
        <v>469</v>
      </c>
      <c r="J222" s="85" t="s">
        <v>649</v>
      </c>
      <c r="K222" s="85"/>
      <c r="L222" s="87">
        <f>SUMIF('1.4.1'!$E$5:$E$22,$G222,'1.4.1'!$BE$5:$BE$22)</f>
        <v>0</v>
      </c>
      <c r="M222" s="136"/>
      <c r="N222" s="86">
        <f>SUMIF('1.4.1'!$E$5:$E$22,$G222,'1.4.1'!$BD$5:$BD$22)</f>
        <v>5980</v>
      </c>
    </row>
    <row r="223" spans="1:16" hidden="1" outlineLevel="1" x14ac:dyDescent="0.25">
      <c r="A223" s="2"/>
      <c r="B223" s="79"/>
      <c r="C223" s="82" t="s">
        <v>534</v>
      </c>
      <c r="D223" s="81" t="s">
        <v>25</v>
      </c>
      <c r="E223" s="82" t="s">
        <v>552</v>
      </c>
      <c r="F223" s="82" t="s">
        <v>304</v>
      </c>
      <c r="G223" s="83" t="s">
        <v>1063</v>
      </c>
      <c r="H223" s="84" t="s">
        <v>657</v>
      </c>
      <c r="I223" s="85" t="s">
        <v>469</v>
      </c>
      <c r="J223" s="85" t="s">
        <v>649</v>
      </c>
      <c r="K223" s="85"/>
      <c r="L223" s="87">
        <f>SUMIF('1.4.1'!$E$5:$E$22,$G223,'1.4.1'!$BE$5:$BE$22)</f>
        <v>0</v>
      </c>
      <c r="M223" s="136"/>
      <c r="N223" s="86">
        <f>SUMIF('1.4.1'!$E$5:$E$22,$G223,'1.4.1'!$BD$5:$BD$22)</f>
        <v>1503530.4267000002</v>
      </c>
    </row>
    <row r="224" spans="1:16" hidden="1" outlineLevel="1" x14ac:dyDescent="0.25">
      <c r="A224" s="2"/>
      <c r="B224" s="79"/>
      <c r="C224" s="82" t="s">
        <v>534</v>
      </c>
      <c r="D224" s="81" t="s">
        <v>25</v>
      </c>
      <c r="E224" s="82" t="s">
        <v>552</v>
      </c>
      <c r="F224" s="82" t="s">
        <v>304</v>
      </c>
      <c r="G224" s="83" t="s">
        <v>0</v>
      </c>
      <c r="H224" s="84" t="s">
        <v>657</v>
      </c>
      <c r="I224" s="85" t="s">
        <v>469</v>
      </c>
      <c r="J224" s="85" t="s">
        <v>649</v>
      </c>
      <c r="K224" s="85"/>
      <c r="L224" s="87">
        <f>SUMIF('1.4.1'!$E$5:$E$22,$G224,'1.4.1'!$BE$5:$BE$22)</f>
        <v>0</v>
      </c>
      <c r="M224" s="136"/>
      <c r="N224" s="86">
        <f>SUMIF('1.4.1'!$E$5:$E$22,$G224,'1.4.1'!$BD$5:$BD$22)</f>
        <v>883.30600000000004</v>
      </c>
    </row>
    <row r="225" spans="1:16" hidden="1" collapsed="1" x14ac:dyDescent="0.25">
      <c r="A225" s="2">
        <v>1</v>
      </c>
      <c r="B225" s="3" t="s">
        <v>25</v>
      </c>
      <c r="C225" s="3" t="s">
        <v>534</v>
      </c>
      <c r="D225" s="863" t="s">
        <v>25</v>
      </c>
      <c r="E225" s="3" t="s">
        <v>544</v>
      </c>
      <c r="F225" s="3" t="s">
        <v>291</v>
      </c>
      <c r="G225" s="8" t="s">
        <v>292</v>
      </c>
      <c r="H225" s="9" t="s">
        <v>464</v>
      </c>
      <c r="I225" s="5"/>
      <c r="J225" s="5"/>
      <c r="K225" s="5">
        <f>'1.4.1'!AF$24</f>
        <v>0</v>
      </c>
      <c r="L225" s="29">
        <f>'1.4.1'!AG$23</f>
        <v>0</v>
      </c>
      <c r="M225" s="29">
        <f>'1.4.1'!AH$23</f>
        <v>0</v>
      </c>
      <c r="N225" s="24">
        <f>'1.4.1'!AF$23</f>
        <v>0</v>
      </c>
      <c r="O225" s="874"/>
      <c r="P225" s="874"/>
    </row>
    <row r="226" spans="1:16" hidden="1" outlineLevel="1" x14ac:dyDescent="0.25">
      <c r="A226" s="2"/>
      <c r="B226" s="79"/>
      <c r="C226" s="82" t="s">
        <v>534</v>
      </c>
      <c r="D226" s="81" t="s">
        <v>25</v>
      </c>
      <c r="E226" s="82" t="s">
        <v>552</v>
      </c>
      <c r="F226" s="82" t="s">
        <v>306</v>
      </c>
      <c r="G226" s="83" t="s">
        <v>1062</v>
      </c>
      <c r="H226" s="84" t="s">
        <v>657</v>
      </c>
      <c r="I226" s="85" t="s">
        <v>469</v>
      </c>
      <c r="J226" s="85" t="s">
        <v>649</v>
      </c>
      <c r="K226" s="85"/>
      <c r="L226" s="87">
        <f>SUMIF('1.4.1'!$E$5:$E$22,$G226,'1.4.1'!$BH$5:$BH$22)</f>
        <v>0</v>
      </c>
      <c r="M226" s="136"/>
      <c r="N226" s="86">
        <f>SUMIF('1.4.1'!$E$5:$E$22,$G226,'1.4.1'!$BG$5:$BG$22)</f>
        <v>3870</v>
      </c>
    </row>
    <row r="227" spans="1:16" hidden="1" outlineLevel="1" x14ac:dyDescent="0.25">
      <c r="A227" s="2"/>
      <c r="B227" s="79"/>
      <c r="C227" s="82" t="s">
        <v>534</v>
      </c>
      <c r="D227" s="81" t="s">
        <v>25</v>
      </c>
      <c r="E227" s="82" t="s">
        <v>552</v>
      </c>
      <c r="F227" s="82" t="s">
        <v>306</v>
      </c>
      <c r="G227" s="83" t="s">
        <v>1063</v>
      </c>
      <c r="H227" s="84" t="s">
        <v>657</v>
      </c>
      <c r="I227" s="85" t="s">
        <v>469</v>
      </c>
      <c r="J227" s="85" t="s">
        <v>649</v>
      </c>
      <c r="K227" s="85"/>
      <c r="L227" s="87">
        <f>SUMIF('1.4.1'!$E$5:$E$22,$G227,'1.4.1'!$BH$5:$BH$22)</f>
        <v>0</v>
      </c>
      <c r="M227" s="136"/>
      <c r="N227" s="86">
        <f>SUMIF('1.4.1'!$E$5:$E$22,$G227,'1.4.1'!$BG$5:$BG$22)</f>
        <v>919886.60200000007</v>
      </c>
    </row>
    <row r="228" spans="1:16" hidden="1" outlineLevel="1" x14ac:dyDescent="0.25">
      <c r="A228" s="2"/>
      <c r="B228" s="79"/>
      <c r="C228" s="82" t="s">
        <v>534</v>
      </c>
      <c r="D228" s="81" t="s">
        <v>25</v>
      </c>
      <c r="E228" s="82" t="s">
        <v>552</v>
      </c>
      <c r="F228" s="82" t="s">
        <v>306</v>
      </c>
      <c r="G228" s="83" t="s">
        <v>0</v>
      </c>
      <c r="H228" s="84" t="s">
        <v>657</v>
      </c>
      <c r="I228" s="85" t="s">
        <v>469</v>
      </c>
      <c r="J228" s="85" t="s">
        <v>649</v>
      </c>
      <c r="K228" s="85"/>
      <c r="L228" s="87">
        <f>SUMIF('1.4.1'!$E$5:$E$22,$G228,'1.4.1'!$BH$5:$BH$22)</f>
        <v>0</v>
      </c>
      <c r="M228" s="136"/>
      <c r="N228" s="86">
        <f>SUMIF('1.4.1'!$E$5:$E$22,$G228,'1.4.1'!$BG$5:$BG$22)</f>
        <v>787.29399999999998</v>
      </c>
    </row>
    <row r="229" spans="1:16" ht="25.5" hidden="1" collapsed="1" x14ac:dyDescent="0.25">
      <c r="A229" s="2">
        <v>1</v>
      </c>
      <c r="B229" s="3" t="s">
        <v>25</v>
      </c>
      <c r="C229" s="3" t="s">
        <v>534</v>
      </c>
      <c r="D229" s="863" t="s">
        <v>25</v>
      </c>
      <c r="E229" s="3" t="s">
        <v>544</v>
      </c>
      <c r="F229" s="3" t="s">
        <v>296</v>
      </c>
      <c r="G229" s="8" t="s">
        <v>297</v>
      </c>
      <c r="H229" s="9" t="s">
        <v>464</v>
      </c>
      <c r="I229" s="5"/>
      <c r="J229" s="5"/>
      <c r="K229" s="5">
        <f>'1.4.1'!AO$24</f>
        <v>0</v>
      </c>
      <c r="L229" s="29">
        <f>'1.4.1'!AP$23</f>
        <v>0</v>
      </c>
      <c r="M229" s="29">
        <f>'1.4.1'!AQ$23</f>
        <v>0</v>
      </c>
      <c r="N229" s="24">
        <f>'1.4.1'!AO$23</f>
        <v>0</v>
      </c>
      <c r="O229" s="874"/>
      <c r="P229" s="874"/>
    </row>
    <row r="230" spans="1:16" hidden="1" outlineLevel="1" x14ac:dyDescent="0.25">
      <c r="A230" s="2"/>
      <c r="B230" s="79"/>
      <c r="C230" s="82" t="s">
        <v>534</v>
      </c>
      <c r="D230" s="81" t="s">
        <v>25</v>
      </c>
      <c r="E230" s="82" t="s">
        <v>552</v>
      </c>
      <c r="F230" s="82" t="s">
        <v>308</v>
      </c>
      <c r="G230" s="83" t="s">
        <v>1062</v>
      </c>
      <c r="H230" s="84" t="s">
        <v>657</v>
      </c>
      <c r="I230" s="85" t="s">
        <v>469</v>
      </c>
      <c r="J230" s="85" t="s">
        <v>649</v>
      </c>
      <c r="K230" s="85"/>
      <c r="L230" s="87">
        <f>SUMIF('1.4.1'!$E$5:$E$22,$G230,'1.4.1'!$BK$5:$BK$22)</f>
        <v>0</v>
      </c>
      <c r="M230" s="136"/>
      <c r="N230" s="86">
        <f>SUMIF('1.4.1'!$E$5:$E$22,$G230,'1.4.1'!$BJ$5:$BJ$22)</f>
        <v>0</v>
      </c>
    </row>
    <row r="231" spans="1:16" hidden="1" outlineLevel="1" x14ac:dyDescent="0.25">
      <c r="A231" s="2"/>
      <c r="B231" s="79"/>
      <c r="C231" s="82" t="s">
        <v>534</v>
      </c>
      <c r="D231" s="81" t="s">
        <v>25</v>
      </c>
      <c r="E231" s="82" t="s">
        <v>552</v>
      </c>
      <c r="F231" s="82" t="s">
        <v>308</v>
      </c>
      <c r="G231" s="83" t="s">
        <v>1063</v>
      </c>
      <c r="H231" s="84" t="s">
        <v>657</v>
      </c>
      <c r="I231" s="85" t="s">
        <v>469</v>
      </c>
      <c r="J231" s="85" t="s">
        <v>649</v>
      </c>
      <c r="K231" s="85"/>
      <c r="L231" s="87">
        <f>SUMIF('1.4.1'!$E$5:$E$22,$G231,'1.4.1'!$BK$5:$BK$22)</f>
        <v>0</v>
      </c>
      <c r="M231" s="136"/>
      <c r="N231" s="86">
        <f>SUMIF('1.4.1'!$E$5:$E$22,$G231,'1.4.1'!$BJ$5:$BJ$22)</f>
        <v>238.16669999999999</v>
      </c>
    </row>
    <row r="232" spans="1:16" hidden="1" outlineLevel="1" x14ac:dyDescent="0.25">
      <c r="A232" s="2"/>
      <c r="B232" s="79"/>
      <c r="C232" s="82" t="s">
        <v>534</v>
      </c>
      <c r="D232" s="81" t="s">
        <v>25</v>
      </c>
      <c r="E232" s="82" t="s">
        <v>552</v>
      </c>
      <c r="F232" s="82" t="s">
        <v>308</v>
      </c>
      <c r="G232" s="83" t="s">
        <v>0</v>
      </c>
      <c r="H232" s="84" t="s">
        <v>657</v>
      </c>
      <c r="I232" s="85" t="s">
        <v>469</v>
      </c>
      <c r="J232" s="85" t="s">
        <v>649</v>
      </c>
      <c r="K232" s="85"/>
      <c r="L232" s="87">
        <f>SUMIF('1.4.1'!$E$5:$E$22,$G232,'1.4.1'!$BK$5:$BK$22)</f>
        <v>0</v>
      </c>
      <c r="M232" s="136"/>
      <c r="N232" s="86">
        <f>SUMIF('1.4.1'!$E$5:$E$22,$G232,'1.4.1'!$BJ$5:$BJ$22)</f>
        <v>0</v>
      </c>
    </row>
    <row r="233" spans="1:16" hidden="1" collapsed="1" x14ac:dyDescent="0.25">
      <c r="A233" s="2">
        <v>1</v>
      </c>
      <c r="B233" s="3" t="s">
        <v>25</v>
      </c>
      <c r="C233" s="3" t="s">
        <v>534</v>
      </c>
      <c r="D233" s="863" t="s">
        <v>25</v>
      </c>
      <c r="E233" s="3" t="s">
        <v>544</v>
      </c>
      <c r="F233" s="3" t="s">
        <v>298</v>
      </c>
      <c r="G233" s="8" t="s">
        <v>299</v>
      </c>
      <c r="H233" s="9" t="s">
        <v>464</v>
      </c>
      <c r="I233" s="5"/>
      <c r="J233" s="5"/>
      <c r="K233" s="5">
        <f>'1.4.1'!AR$24</f>
        <v>0</v>
      </c>
      <c r="L233" s="29">
        <f>'1.4.1'!AS$23</f>
        <v>0</v>
      </c>
      <c r="M233" s="29">
        <f>'1.4.1'!AT$23</f>
        <v>0</v>
      </c>
      <c r="N233" s="24">
        <f>'1.4.1'!AR$23</f>
        <v>0</v>
      </c>
      <c r="O233" s="874"/>
      <c r="P233" s="874"/>
    </row>
    <row r="234" spans="1:16" hidden="1" x14ac:dyDescent="0.25">
      <c r="A234" s="2">
        <v>1</v>
      </c>
      <c r="B234" s="3" t="s">
        <v>31</v>
      </c>
      <c r="C234" s="3" t="s">
        <v>534</v>
      </c>
      <c r="D234" s="13" t="s">
        <v>31</v>
      </c>
      <c r="E234" s="3" t="s">
        <v>566</v>
      </c>
      <c r="F234" s="3" t="s">
        <v>312</v>
      </c>
      <c r="G234" s="8" t="s">
        <v>313</v>
      </c>
      <c r="H234" s="9" t="s">
        <v>486</v>
      </c>
      <c r="I234" s="5"/>
      <c r="J234" s="5"/>
      <c r="K234" s="5">
        <f>'1.4.2'!H$8</f>
        <v>0</v>
      </c>
      <c r="L234" s="29">
        <f>'1.4.2'!I$7</f>
        <v>0</v>
      </c>
      <c r="M234" s="29">
        <f>'1.4.2'!J$7</f>
        <v>0</v>
      </c>
      <c r="N234" s="24">
        <f>'1.4.2'!H$7</f>
        <v>0</v>
      </c>
      <c r="O234" s="195" t="s">
        <v>115</v>
      </c>
      <c r="P234" s="195" t="s">
        <v>313</v>
      </c>
    </row>
    <row r="235" spans="1:16" hidden="1" x14ac:dyDescent="0.25">
      <c r="A235" s="2">
        <v>1</v>
      </c>
      <c r="B235" s="3" t="s">
        <v>31</v>
      </c>
      <c r="C235" s="3" t="s">
        <v>534</v>
      </c>
      <c r="D235" s="863" t="s">
        <v>31</v>
      </c>
      <c r="E235" s="3" t="s">
        <v>566</v>
      </c>
      <c r="F235" s="3" t="s">
        <v>314</v>
      </c>
      <c r="G235" s="8" t="s">
        <v>120</v>
      </c>
      <c r="H235" s="9" t="s">
        <v>486</v>
      </c>
      <c r="I235" s="5" t="s">
        <v>469</v>
      </c>
      <c r="J235" s="5" t="s">
        <v>602</v>
      </c>
      <c r="K235" s="5">
        <f>'1.4.2'!K$8</f>
        <v>1</v>
      </c>
      <c r="L235" s="29">
        <f>'1.4.2'!L$7</f>
        <v>205.1</v>
      </c>
      <c r="M235" s="29">
        <f>'1.4.2'!M$7</f>
        <v>0</v>
      </c>
      <c r="N235" s="24">
        <f>'1.4.2'!K$7</f>
        <v>205.1</v>
      </c>
      <c r="O235" s="875" t="s">
        <v>119</v>
      </c>
      <c r="P235" s="875" t="s">
        <v>120</v>
      </c>
    </row>
    <row r="236" spans="1:16" hidden="1" x14ac:dyDescent="0.25">
      <c r="A236" s="2">
        <v>1</v>
      </c>
      <c r="B236" s="3" t="s">
        <v>31</v>
      </c>
      <c r="C236" s="3" t="s">
        <v>534</v>
      </c>
      <c r="D236" s="863" t="s">
        <v>31</v>
      </c>
      <c r="E236" s="3" t="s">
        <v>566</v>
      </c>
      <c r="F236" s="3" t="s">
        <v>315</v>
      </c>
      <c r="G236" s="8" t="s">
        <v>118</v>
      </c>
      <c r="H236" s="76" t="s">
        <v>486</v>
      </c>
      <c r="I236" s="5" t="s">
        <v>469</v>
      </c>
      <c r="J236" s="5" t="s">
        <v>602</v>
      </c>
      <c r="K236" s="5">
        <f>'1.4.2'!N$8</f>
        <v>1</v>
      </c>
      <c r="L236" s="29">
        <f>'1.4.2'!O$7</f>
        <v>0</v>
      </c>
      <c r="M236" s="29">
        <f>'1.4.2'!P$7</f>
        <v>0</v>
      </c>
      <c r="N236" s="24">
        <f>'1.4.2'!N$7</f>
        <v>12.46</v>
      </c>
      <c r="O236" s="875" t="s">
        <v>117</v>
      </c>
      <c r="P236" s="875" t="s">
        <v>118</v>
      </c>
    </row>
    <row r="237" spans="1:16" hidden="1" x14ac:dyDescent="0.25">
      <c r="A237" s="2">
        <v>1</v>
      </c>
      <c r="B237" s="3" t="s">
        <v>31</v>
      </c>
      <c r="C237" s="3" t="s">
        <v>534</v>
      </c>
      <c r="D237" s="863" t="s">
        <v>31</v>
      </c>
      <c r="E237" s="3" t="s">
        <v>566</v>
      </c>
      <c r="F237" s="3" t="s">
        <v>316</v>
      </c>
      <c r="G237" s="8" t="s">
        <v>317</v>
      </c>
      <c r="H237" s="9" t="s">
        <v>464</v>
      </c>
      <c r="I237" s="5" t="s">
        <v>469</v>
      </c>
      <c r="J237" s="5" t="s">
        <v>649</v>
      </c>
      <c r="K237" s="5">
        <f>'1.4.2'!Q$8</f>
        <v>1</v>
      </c>
      <c r="L237" s="29">
        <f>'1.4.2'!R$7</f>
        <v>83</v>
      </c>
      <c r="M237" s="29">
        <f>'1.4.2'!S$7</f>
        <v>0</v>
      </c>
      <c r="N237" s="24">
        <f>'1.4.2'!Q$7</f>
        <v>83</v>
      </c>
      <c r="O237" s="874"/>
      <c r="P237" s="874"/>
    </row>
    <row r="238" spans="1:16" hidden="1" x14ac:dyDescent="0.25">
      <c r="A238" s="2">
        <v>1</v>
      </c>
      <c r="B238" s="3" t="s">
        <v>31</v>
      </c>
      <c r="C238" s="3" t="s">
        <v>534</v>
      </c>
      <c r="D238" s="863" t="s">
        <v>31</v>
      </c>
      <c r="E238" s="3" t="s">
        <v>566</v>
      </c>
      <c r="F238" s="3" t="s">
        <v>318</v>
      </c>
      <c r="G238" s="8" t="s">
        <v>1085</v>
      </c>
      <c r="H238" s="9" t="s">
        <v>464</v>
      </c>
      <c r="I238" s="5" t="s">
        <v>469</v>
      </c>
      <c r="J238" s="5" t="s">
        <v>649</v>
      </c>
      <c r="K238" s="5">
        <f>'1.4.2'!W$8</f>
        <v>1</v>
      </c>
      <c r="L238" s="29">
        <f>'1.4.2'!X$7</f>
        <v>0</v>
      </c>
      <c r="M238" s="29">
        <f>'1.4.2'!Y$7</f>
        <v>0</v>
      </c>
      <c r="N238" s="24">
        <f>'1.4.2'!W$7</f>
        <v>53</v>
      </c>
      <c r="O238" s="874"/>
      <c r="P238" s="874"/>
    </row>
    <row r="239" spans="1:16" hidden="1" x14ac:dyDescent="0.25">
      <c r="A239" s="2">
        <v>1</v>
      </c>
      <c r="B239" s="3" t="s">
        <v>31</v>
      </c>
      <c r="C239" s="3" t="s">
        <v>534</v>
      </c>
      <c r="D239" s="863" t="s">
        <v>31</v>
      </c>
      <c r="E239" s="3" t="s">
        <v>566</v>
      </c>
      <c r="F239" s="3" t="s">
        <v>320</v>
      </c>
      <c r="G239" s="8" t="s">
        <v>321</v>
      </c>
      <c r="H239" s="76" t="s">
        <v>464</v>
      </c>
      <c r="I239" s="5"/>
      <c r="J239" s="5"/>
      <c r="K239" s="5">
        <f>'1.4.2'!Z$8</f>
        <v>0</v>
      </c>
      <c r="L239" s="29">
        <f>'1.4.2'!AA$7</f>
        <v>0</v>
      </c>
      <c r="M239" s="29">
        <f>'1.4.2'!AB$7</f>
        <v>0</v>
      </c>
      <c r="N239" s="24">
        <f>'1.4.2'!Z$7</f>
        <v>0</v>
      </c>
      <c r="O239" s="874"/>
      <c r="P239" s="874"/>
    </row>
    <row r="240" spans="1:16" ht="25.5" hidden="1" x14ac:dyDescent="0.25">
      <c r="A240" s="2">
        <v>1</v>
      </c>
      <c r="B240" s="3" t="s">
        <v>31</v>
      </c>
      <c r="C240" s="3" t="s">
        <v>534</v>
      </c>
      <c r="D240" s="863" t="s">
        <v>31</v>
      </c>
      <c r="E240" s="3" t="s">
        <v>566</v>
      </c>
      <c r="F240" s="3" t="s">
        <v>322</v>
      </c>
      <c r="G240" s="8" t="s">
        <v>323</v>
      </c>
      <c r="H240" s="9" t="s">
        <v>464</v>
      </c>
      <c r="I240" s="5" t="s">
        <v>469</v>
      </c>
      <c r="J240" s="5" t="s">
        <v>649</v>
      </c>
      <c r="K240" s="5">
        <f>'1.4.2'!AC$8</f>
        <v>1</v>
      </c>
      <c r="L240" s="29">
        <f>'1.4.2'!AD$7</f>
        <v>0</v>
      </c>
      <c r="M240" s="29">
        <f>'1.4.2'!AE$7</f>
        <v>0</v>
      </c>
      <c r="N240" s="24">
        <f>'1.4.2'!AC$7</f>
        <v>20</v>
      </c>
      <c r="O240" s="874"/>
      <c r="P240" s="874"/>
    </row>
    <row r="241" spans="1:16" hidden="1" x14ac:dyDescent="0.25">
      <c r="A241" s="2">
        <v>1</v>
      </c>
      <c r="B241" s="3" t="s">
        <v>31</v>
      </c>
      <c r="C241" s="3" t="s">
        <v>534</v>
      </c>
      <c r="D241" s="863" t="s">
        <v>31</v>
      </c>
      <c r="E241" s="3" t="s">
        <v>548</v>
      </c>
      <c r="F241" s="3" t="s">
        <v>209</v>
      </c>
      <c r="G241" s="8" t="s">
        <v>210</v>
      </c>
      <c r="H241" s="9" t="s">
        <v>464</v>
      </c>
      <c r="I241" s="5"/>
      <c r="J241" s="5"/>
      <c r="K241" s="5">
        <f>'1.4.2'!T$8</f>
        <v>0</v>
      </c>
      <c r="L241" s="29">
        <f>'1.4.2'!U$7</f>
        <v>0</v>
      </c>
      <c r="M241" s="29">
        <f>'1.4.2'!V$7</f>
        <v>0</v>
      </c>
      <c r="N241" s="24">
        <f>'1.4.2'!T$7</f>
        <v>0</v>
      </c>
      <c r="O241" s="874"/>
      <c r="P241" s="874"/>
    </row>
    <row r="242" spans="1:16" hidden="1" x14ac:dyDescent="0.25">
      <c r="A242" s="2">
        <v>1</v>
      </c>
      <c r="B242" s="3" t="s">
        <v>31</v>
      </c>
      <c r="C242" s="3" t="s">
        <v>534</v>
      </c>
      <c r="D242" s="863" t="s">
        <v>31</v>
      </c>
      <c r="E242" s="3" t="s">
        <v>548</v>
      </c>
      <c r="F242" s="3" t="s">
        <v>215</v>
      </c>
      <c r="G242" s="8" t="s">
        <v>216</v>
      </c>
      <c r="H242" s="9" t="s">
        <v>464</v>
      </c>
      <c r="I242" s="5"/>
      <c r="J242" s="5"/>
      <c r="K242" s="5">
        <f>'1.4.2'!AF$8</f>
        <v>0</v>
      </c>
      <c r="L242" s="29">
        <f>'1.4.2'!AG$7</f>
        <v>0</v>
      </c>
      <c r="M242" s="29">
        <f>'1.4.2'!AH$7</f>
        <v>0</v>
      </c>
      <c r="N242" s="24">
        <f>'1.4.2'!AF$7</f>
        <v>0</v>
      </c>
      <c r="O242" s="875" t="s">
        <v>84</v>
      </c>
      <c r="P242" s="875" t="s">
        <v>216</v>
      </c>
    </row>
    <row r="243" spans="1:16" hidden="1" x14ac:dyDescent="0.25">
      <c r="A243" s="2">
        <v>2</v>
      </c>
      <c r="B243" s="3" t="s">
        <v>33</v>
      </c>
      <c r="C243" s="3" t="s">
        <v>540</v>
      </c>
      <c r="D243" s="863" t="s">
        <v>33</v>
      </c>
      <c r="E243" s="3" t="s">
        <v>571</v>
      </c>
      <c r="F243" s="3" t="s">
        <v>324</v>
      </c>
      <c r="G243" s="8" t="s">
        <v>325</v>
      </c>
      <c r="H243" s="9" t="s">
        <v>1074</v>
      </c>
      <c r="I243" s="5"/>
      <c r="J243" s="5"/>
      <c r="K243" s="5">
        <v>0</v>
      </c>
      <c r="L243" s="30">
        <v>0</v>
      </c>
      <c r="M243" s="30">
        <v>0</v>
      </c>
      <c r="N243" s="25">
        <v>0</v>
      </c>
      <c r="O243" s="874"/>
      <c r="P243" s="874"/>
    </row>
    <row r="244" spans="1:16" ht="25.5" hidden="1" x14ac:dyDescent="0.25">
      <c r="A244" s="2">
        <v>2</v>
      </c>
      <c r="B244" s="3" t="s">
        <v>33</v>
      </c>
      <c r="C244" s="3" t="s">
        <v>540</v>
      </c>
      <c r="D244" s="13" t="s">
        <v>33</v>
      </c>
      <c r="E244" s="3" t="s">
        <v>571</v>
      </c>
      <c r="F244" s="3" t="s">
        <v>330</v>
      </c>
      <c r="G244" s="8" t="s">
        <v>122</v>
      </c>
      <c r="H244" s="9" t="s">
        <v>464</v>
      </c>
      <c r="I244" s="5"/>
      <c r="J244" s="5"/>
      <c r="K244" s="5">
        <v>0</v>
      </c>
      <c r="L244" s="30">
        <v>0</v>
      </c>
      <c r="M244" s="30">
        <v>0</v>
      </c>
      <c r="N244" s="25">
        <v>0</v>
      </c>
      <c r="O244" s="329" t="s">
        <v>121</v>
      </c>
      <c r="P244" s="329" t="s">
        <v>2071</v>
      </c>
    </row>
    <row r="245" spans="1:16" hidden="1" x14ac:dyDescent="0.25">
      <c r="A245" s="2">
        <v>2</v>
      </c>
      <c r="B245" s="3" t="s">
        <v>33</v>
      </c>
      <c r="C245" s="3" t="s">
        <v>540</v>
      </c>
      <c r="D245" s="863" t="s">
        <v>33</v>
      </c>
      <c r="E245" s="3" t="s">
        <v>568</v>
      </c>
      <c r="F245" s="3" t="s">
        <v>324</v>
      </c>
      <c r="G245" s="8" t="s">
        <v>325</v>
      </c>
      <c r="H245" s="9" t="s">
        <v>1074</v>
      </c>
      <c r="I245" s="5"/>
      <c r="J245" s="5"/>
      <c r="K245" s="5">
        <v>0</v>
      </c>
      <c r="L245" s="30">
        <v>0</v>
      </c>
      <c r="M245" s="30">
        <v>0</v>
      </c>
      <c r="N245" s="25">
        <v>0</v>
      </c>
      <c r="O245" s="873"/>
      <c r="P245" s="873"/>
    </row>
    <row r="246" spans="1:16" ht="25.5" hidden="1" x14ac:dyDescent="0.25">
      <c r="A246" s="2">
        <v>2</v>
      </c>
      <c r="B246" s="3" t="s">
        <v>33</v>
      </c>
      <c r="C246" s="3" t="s">
        <v>540</v>
      </c>
      <c r="D246" s="13" t="s">
        <v>33</v>
      </c>
      <c r="E246" s="3" t="s">
        <v>568</v>
      </c>
      <c r="F246" s="3" t="s">
        <v>330</v>
      </c>
      <c r="G246" s="8" t="s">
        <v>122</v>
      </c>
      <c r="H246" s="9" t="s">
        <v>464</v>
      </c>
      <c r="I246" s="5"/>
      <c r="J246" s="5"/>
      <c r="K246" s="5">
        <v>0</v>
      </c>
      <c r="L246" s="30">
        <v>0</v>
      </c>
      <c r="M246" s="30">
        <v>0</v>
      </c>
      <c r="N246" s="25">
        <v>0</v>
      </c>
      <c r="O246" s="329" t="s">
        <v>121</v>
      </c>
      <c r="P246" s="329" t="s">
        <v>2071</v>
      </c>
    </row>
    <row r="247" spans="1:16" hidden="1" x14ac:dyDescent="0.25">
      <c r="A247" s="2">
        <v>2</v>
      </c>
      <c r="B247" s="3" t="s">
        <v>33</v>
      </c>
      <c r="C247" s="3" t="s">
        <v>540</v>
      </c>
      <c r="D247" s="863" t="s">
        <v>33</v>
      </c>
      <c r="E247" s="3" t="s">
        <v>572</v>
      </c>
      <c r="F247" s="3" t="s">
        <v>326</v>
      </c>
      <c r="G247" s="8" t="s">
        <v>327</v>
      </c>
      <c r="H247" s="9" t="s">
        <v>2136</v>
      </c>
      <c r="I247" s="5"/>
      <c r="J247" s="5"/>
      <c r="K247" s="5">
        <v>0</v>
      </c>
      <c r="L247" s="30">
        <v>0</v>
      </c>
      <c r="M247" s="30">
        <v>0</v>
      </c>
      <c r="N247" s="25">
        <v>0</v>
      </c>
      <c r="O247" s="873"/>
      <c r="P247" s="873"/>
    </row>
    <row r="248" spans="1:16" hidden="1" x14ac:dyDescent="0.25">
      <c r="A248" s="2">
        <v>2</v>
      </c>
      <c r="B248" s="3" t="s">
        <v>33</v>
      </c>
      <c r="C248" s="3" t="s">
        <v>540</v>
      </c>
      <c r="D248" s="863" t="s">
        <v>33</v>
      </c>
      <c r="E248" s="3" t="s">
        <v>572</v>
      </c>
      <c r="F248" s="3" t="s">
        <v>331</v>
      </c>
      <c r="G248" s="8" t="s">
        <v>124</v>
      </c>
      <c r="H248" s="9" t="s">
        <v>464</v>
      </c>
      <c r="I248" s="5"/>
      <c r="J248" s="5"/>
      <c r="K248" s="5">
        <v>0</v>
      </c>
      <c r="L248" s="30">
        <v>0</v>
      </c>
      <c r="M248" s="30">
        <v>0</v>
      </c>
      <c r="N248" s="25">
        <v>0</v>
      </c>
      <c r="O248" s="877" t="s">
        <v>123</v>
      </c>
      <c r="P248" s="877" t="s">
        <v>124</v>
      </c>
    </row>
    <row r="249" spans="1:16" ht="38.25" hidden="1" x14ac:dyDescent="0.25">
      <c r="A249" s="2">
        <v>2</v>
      </c>
      <c r="B249" s="3" t="s">
        <v>33</v>
      </c>
      <c r="C249" s="3" t="s">
        <v>540</v>
      </c>
      <c r="D249" s="863" t="s">
        <v>33</v>
      </c>
      <c r="E249" s="3" t="s">
        <v>567</v>
      </c>
      <c r="F249" s="3" t="s">
        <v>328</v>
      </c>
      <c r="G249" s="8" t="s">
        <v>126</v>
      </c>
      <c r="H249" s="9" t="s">
        <v>464</v>
      </c>
      <c r="I249" s="5"/>
      <c r="J249" s="5"/>
      <c r="K249" s="5">
        <v>0</v>
      </c>
      <c r="L249" s="30">
        <v>0</v>
      </c>
      <c r="M249" s="30">
        <v>0</v>
      </c>
      <c r="N249" s="25">
        <v>0</v>
      </c>
      <c r="O249" s="877" t="s">
        <v>125</v>
      </c>
      <c r="P249" s="877" t="s">
        <v>126</v>
      </c>
    </row>
    <row r="250" spans="1:16" ht="38.25" hidden="1" x14ac:dyDescent="0.25">
      <c r="A250" s="2">
        <v>2</v>
      </c>
      <c r="B250" s="3" t="s">
        <v>33</v>
      </c>
      <c r="C250" s="3" t="s">
        <v>540</v>
      </c>
      <c r="D250" s="863" t="s">
        <v>33</v>
      </c>
      <c r="E250" s="3" t="s">
        <v>573</v>
      </c>
      <c r="F250" s="3" t="s">
        <v>329</v>
      </c>
      <c r="G250" s="8" t="s">
        <v>128</v>
      </c>
      <c r="H250" s="9" t="s">
        <v>464</v>
      </c>
      <c r="I250" s="5"/>
      <c r="J250" s="5"/>
      <c r="K250" s="5">
        <v>0</v>
      </c>
      <c r="L250" s="30">
        <v>0</v>
      </c>
      <c r="M250" s="30">
        <v>0</v>
      </c>
      <c r="N250" s="25">
        <v>0</v>
      </c>
      <c r="O250" s="877" t="s">
        <v>127</v>
      </c>
      <c r="P250" s="877" t="s">
        <v>128</v>
      </c>
    </row>
    <row r="251" spans="1:16" hidden="1" x14ac:dyDescent="0.25">
      <c r="A251" s="2">
        <v>2</v>
      </c>
      <c r="B251" s="3" t="s">
        <v>33</v>
      </c>
      <c r="C251" s="3" t="s">
        <v>540</v>
      </c>
      <c r="D251" s="863" t="s">
        <v>33</v>
      </c>
      <c r="E251" s="3" t="s">
        <v>549</v>
      </c>
      <c r="F251" s="3" t="s">
        <v>209</v>
      </c>
      <c r="G251" s="8" t="s">
        <v>210</v>
      </c>
      <c r="H251" s="9" t="s">
        <v>464</v>
      </c>
      <c r="I251" s="5"/>
      <c r="J251" s="5"/>
      <c r="K251" s="5">
        <v>0</v>
      </c>
      <c r="L251" s="30">
        <v>0</v>
      </c>
      <c r="M251" s="30">
        <v>0</v>
      </c>
      <c r="N251" s="25">
        <v>0</v>
      </c>
      <c r="O251" s="874"/>
      <c r="P251" s="874"/>
    </row>
    <row r="252" spans="1:16" hidden="1" x14ac:dyDescent="0.25">
      <c r="A252" s="2">
        <v>2</v>
      </c>
      <c r="B252" s="3" t="s">
        <v>33</v>
      </c>
      <c r="C252" s="3" t="s">
        <v>540</v>
      </c>
      <c r="D252" s="863" t="s">
        <v>33</v>
      </c>
      <c r="E252" s="3" t="s">
        <v>549</v>
      </c>
      <c r="F252" s="3" t="s">
        <v>215</v>
      </c>
      <c r="G252" s="8" t="s">
        <v>216</v>
      </c>
      <c r="H252" s="9" t="s">
        <v>464</v>
      </c>
      <c r="I252" s="5"/>
      <c r="J252" s="5"/>
      <c r="K252" s="5">
        <v>0</v>
      </c>
      <c r="L252" s="30">
        <v>0</v>
      </c>
      <c r="M252" s="30">
        <v>0</v>
      </c>
      <c r="N252" s="25">
        <v>0</v>
      </c>
      <c r="O252" s="875" t="s">
        <v>84</v>
      </c>
      <c r="P252" s="875" t="s">
        <v>216</v>
      </c>
    </row>
    <row r="253" spans="1:16" ht="25.5" hidden="1" x14ac:dyDescent="0.25">
      <c r="A253" s="2">
        <v>2</v>
      </c>
      <c r="B253" s="3" t="s">
        <v>34</v>
      </c>
      <c r="C253" s="3" t="s">
        <v>540</v>
      </c>
      <c r="D253" s="863" t="s">
        <v>34</v>
      </c>
      <c r="E253" s="3" t="s">
        <v>569</v>
      </c>
      <c r="F253" s="3" t="s">
        <v>332</v>
      </c>
      <c r="G253" s="8" t="s">
        <v>333</v>
      </c>
      <c r="H253" s="9" t="s">
        <v>486</v>
      </c>
      <c r="I253" s="5"/>
      <c r="J253" s="5"/>
      <c r="K253" s="5">
        <v>0</v>
      </c>
      <c r="L253" s="30">
        <v>0</v>
      </c>
      <c r="M253" s="30">
        <v>0</v>
      </c>
      <c r="N253" s="25">
        <v>0</v>
      </c>
      <c r="O253" s="874"/>
      <c r="P253" s="874"/>
    </row>
    <row r="254" spans="1:16" hidden="1" x14ac:dyDescent="0.25">
      <c r="A254" s="2">
        <v>2</v>
      </c>
      <c r="B254" s="3" t="s">
        <v>34</v>
      </c>
      <c r="C254" s="3" t="s">
        <v>540</v>
      </c>
      <c r="D254" s="863" t="s">
        <v>34</v>
      </c>
      <c r="E254" s="3" t="s">
        <v>569</v>
      </c>
      <c r="F254" s="3" t="s">
        <v>334</v>
      </c>
      <c r="G254" s="8" t="s">
        <v>313</v>
      </c>
      <c r="H254" s="9" t="s">
        <v>486</v>
      </c>
      <c r="I254" s="5"/>
      <c r="J254" s="5"/>
      <c r="K254" s="5">
        <v>0</v>
      </c>
      <c r="L254" s="30">
        <v>0</v>
      </c>
      <c r="M254" s="30">
        <v>0</v>
      </c>
      <c r="N254" s="25">
        <v>0</v>
      </c>
      <c r="O254" s="877" t="s">
        <v>115</v>
      </c>
      <c r="P254" s="877" t="s">
        <v>313</v>
      </c>
    </row>
    <row r="255" spans="1:16" ht="25.5" hidden="1" x14ac:dyDescent="0.25">
      <c r="A255" s="2">
        <v>2</v>
      </c>
      <c r="B255" s="3" t="s">
        <v>34</v>
      </c>
      <c r="C255" s="3" t="s">
        <v>540</v>
      </c>
      <c r="D255" s="863" t="s">
        <v>34</v>
      </c>
      <c r="E255" s="3" t="s">
        <v>569</v>
      </c>
      <c r="F255" s="3" t="s">
        <v>335</v>
      </c>
      <c r="G255" s="8" t="s">
        <v>336</v>
      </c>
      <c r="H255" s="9" t="s">
        <v>464</v>
      </c>
      <c r="I255" s="5"/>
      <c r="J255" s="5"/>
      <c r="K255" s="5">
        <v>0</v>
      </c>
      <c r="L255" s="30">
        <v>0</v>
      </c>
      <c r="M255" s="30">
        <v>0</v>
      </c>
      <c r="N255" s="25">
        <v>0</v>
      </c>
      <c r="O255" s="874"/>
      <c r="P255" s="874"/>
    </row>
    <row r="256" spans="1:16" ht="25.5" hidden="1" x14ac:dyDescent="0.25">
      <c r="A256" s="2">
        <v>2</v>
      </c>
      <c r="B256" s="3" t="s">
        <v>34</v>
      </c>
      <c r="C256" s="3" t="s">
        <v>540</v>
      </c>
      <c r="D256" s="863" t="s">
        <v>34</v>
      </c>
      <c r="E256" s="3" t="s">
        <v>569</v>
      </c>
      <c r="F256" s="3" t="s">
        <v>337</v>
      </c>
      <c r="G256" s="8" t="s">
        <v>338</v>
      </c>
      <c r="H256" s="9" t="s">
        <v>464</v>
      </c>
      <c r="I256" s="5"/>
      <c r="J256" s="5"/>
      <c r="K256" s="5">
        <v>0</v>
      </c>
      <c r="L256" s="30">
        <v>0</v>
      </c>
      <c r="M256" s="30">
        <v>0</v>
      </c>
      <c r="N256" s="25">
        <v>0</v>
      </c>
      <c r="O256" s="874"/>
      <c r="P256" s="874"/>
    </row>
    <row r="257" spans="1:16" ht="38.25" hidden="1" x14ac:dyDescent="0.25">
      <c r="A257" s="2">
        <v>3</v>
      </c>
      <c r="B257" s="3" t="s">
        <v>45</v>
      </c>
      <c r="C257" s="3" t="s">
        <v>561</v>
      </c>
      <c r="D257" s="127" t="s">
        <v>45</v>
      </c>
      <c r="E257" s="127" t="s">
        <v>575</v>
      </c>
      <c r="F257" s="3" t="s">
        <v>343</v>
      </c>
      <c r="G257" s="8" t="s">
        <v>344</v>
      </c>
      <c r="H257" s="9" t="s">
        <v>464</v>
      </c>
      <c r="I257" s="5"/>
      <c r="J257" s="5"/>
      <c r="K257" s="5">
        <f>'3.1.1'!H7</f>
        <v>0</v>
      </c>
      <c r="L257" s="30">
        <f>'3.1.1'!I6</f>
        <v>0</v>
      </c>
      <c r="M257" s="30">
        <f>'3.1.1'!J6</f>
        <v>0</v>
      </c>
      <c r="N257" s="25">
        <f>'3.1.1'!H6</f>
        <v>0</v>
      </c>
      <c r="O257" s="873"/>
      <c r="P257" s="873"/>
    </row>
    <row r="258" spans="1:16" ht="25.5" hidden="1" x14ac:dyDescent="0.25">
      <c r="A258" s="2">
        <v>3</v>
      </c>
      <c r="B258" s="3" t="s">
        <v>45</v>
      </c>
      <c r="C258" s="3" t="s">
        <v>561</v>
      </c>
      <c r="D258" s="127" t="s">
        <v>45</v>
      </c>
      <c r="E258" s="127" t="s">
        <v>575</v>
      </c>
      <c r="F258" s="3" t="s">
        <v>345</v>
      </c>
      <c r="G258" s="8" t="s">
        <v>346</v>
      </c>
      <c r="H258" s="114" t="s">
        <v>464</v>
      </c>
      <c r="I258" s="5"/>
      <c r="J258" s="5"/>
      <c r="K258" s="5">
        <f>'3.1.1'!K7</f>
        <v>0</v>
      </c>
      <c r="L258" s="30">
        <f>'3.1.1'!L6</f>
        <v>0</v>
      </c>
      <c r="M258" s="30">
        <f>'3.1.1'!M6</f>
        <v>0</v>
      </c>
      <c r="N258" s="25">
        <f>'3.1.1'!K6</f>
        <v>0</v>
      </c>
      <c r="O258" s="873"/>
      <c r="P258" s="873"/>
    </row>
    <row r="259" spans="1:16" hidden="1" x14ac:dyDescent="0.25">
      <c r="A259" s="2">
        <v>3</v>
      </c>
      <c r="B259" s="3" t="s">
        <v>45</v>
      </c>
      <c r="C259" s="3" t="s">
        <v>561</v>
      </c>
      <c r="D259" s="127" t="s">
        <v>45</v>
      </c>
      <c r="E259" s="127" t="s">
        <v>575</v>
      </c>
      <c r="F259" s="3" t="s">
        <v>347</v>
      </c>
      <c r="G259" s="8" t="s">
        <v>348</v>
      </c>
      <c r="H259" s="114" t="s">
        <v>464</v>
      </c>
      <c r="I259" s="5"/>
      <c r="J259" s="5"/>
      <c r="K259" s="5">
        <f>'3.1.1'!N7</f>
        <v>0</v>
      </c>
      <c r="L259" s="30">
        <f>'3.1.1'!O6</f>
        <v>0</v>
      </c>
      <c r="M259" s="30">
        <f>'3.1.1'!P6</f>
        <v>0</v>
      </c>
      <c r="N259" s="25">
        <f>'3.1.1'!N6</f>
        <v>0</v>
      </c>
      <c r="O259" s="873"/>
      <c r="P259" s="873"/>
    </row>
    <row r="260" spans="1:16" ht="25.5" hidden="1" x14ac:dyDescent="0.25">
      <c r="A260" s="2">
        <v>3</v>
      </c>
      <c r="B260" s="3" t="s">
        <v>45</v>
      </c>
      <c r="C260" s="3" t="s">
        <v>561</v>
      </c>
      <c r="D260" s="127" t="s">
        <v>45</v>
      </c>
      <c r="E260" s="127" t="s">
        <v>575</v>
      </c>
      <c r="F260" s="3" t="s">
        <v>349</v>
      </c>
      <c r="G260" s="8" t="s">
        <v>350</v>
      </c>
      <c r="H260" s="114" t="s">
        <v>464</v>
      </c>
      <c r="I260" s="5"/>
      <c r="J260" s="5"/>
      <c r="K260" s="5">
        <f>'3.1.1'!Q7</f>
        <v>0</v>
      </c>
      <c r="L260" s="30">
        <f>'3.1.1'!R6</f>
        <v>0</v>
      </c>
      <c r="M260" s="30">
        <f>'3.1.1'!S6</f>
        <v>0</v>
      </c>
      <c r="N260" s="25">
        <f>'3.1.1'!Q6</f>
        <v>0</v>
      </c>
      <c r="O260" s="873"/>
      <c r="P260" s="873"/>
    </row>
    <row r="261" spans="1:16" ht="25.5" hidden="1" x14ac:dyDescent="0.25">
      <c r="A261" s="2">
        <v>3</v>
      </c>
      <c r="B261" s="3" t="s">
        <v>45</v>
      </c>
      <c r="C261" s="3" t="s">
        <v>561</v>
      </c>
      <c r="D261" s="127" t="s">
        <v>45</v>
      </c>
      <c r="E261" s="127" t="s">
        <v>575</v>
      </c>
      <c r="F261" s="3" t="s">
        <v>356</v>
      </c>
      <c r="G261" s="8" t="s">
        <v>130</v>
      </c>
      <c r="H261" s="114" t="s">
        <v>464</v>
      </c>
      <c r="I261" s="5"/>
      <c r="J261" s="5"/>
      <c r="K261" s="5">
        <f>'3.1.1'!T7</f>
        <v>0</v>
      </c>
      <c r="L261" s="30">
        <f>'3.1.1'!U6</f>
        <v>0</v>
      </c>
      <c r="M261" s="30">
        <f>'3.1.1'!V6</f>
        <v>0</v>
      </c>
      <c r="N261" s="25">
        <f>'3.1.1'!T6</f>
        <v>0</v>
      </c>
      <c r="O261" s="877" t="s">
        <v>129</v>
      </c>
      <c r="P261" s="877" t="s">
        <v>2084</v>
      </c>
    </row>
    <row r="262" spans="1:16" ht="25.5" hidden="1" x14ac:dyDescent="0.25">
      <c r="A262" s="2">
        <v>3</v>
      </c>
      <c r="B262" s="3" t="s">
        <v>45</v>
      </c>
      <c r="C262" s="3" t="s">
        <v>561</v>
      </c>
      <c r="D262" s="127" t="s">
        <v>45</v>
      </c>
      <c r="E262" s="127" t="s">
        <v>570</v>
      </c>
      <c r="F262" s="3" t="s">
        <v>339</v>
      </c>
      <c r="G262" s="8" t="s">
        <v>340</v>
      </c>
      <c r="H262" s="9" t="s">
        <v>486</v>
      </c>
      <c r="I262" s="5"/>
      <c r="J262" s="5"/>
      <c r="K262" s="5">
        <f>'3.1.1'!W7</f>
        <v>0</v>
      </c>
      <c r="L262" s="30">
        <f>'3.1.1'!X6</f>
        <v>0</v>
      </c>
      <c r="M262" s="30">
        <f>'3.1.1'!Y6</f>
        <v>0</v>
      </c>
      <c r="N262" s="25">
        <f>'3.1.1'!W6</f>
        <v>0</v>
      </c>
      <c r="O262" s="873"/>
      <c r="P262" s="873"/>
    </row>
    <row r="263" spans="1:16" ht="25.5" hidden="1" x14ac:dyDescent="0.25">
      <c r="A263" s="2">
        <v>3</v>
      </c>
      <c r="B263" s="3" t="s">
        <v>45</v>
      </c>
      <c r="C263" s="3" t="s">
        <v>561</v>
      </c>
      <c r="D263" s="127" t="s">
        <v>45</v>
      </c>
      <c r="E263" s="127" t="s">
        <v>570</v>
      </c>
      <c r="F263" s="3" t="s">
        <v>341</v>
      </c>
      <c r="G263" s="8" t="s">
        <v>342</v>
      </c>
      <c r="H263" s="9" t="s">
        <v>486</v>
      </c>
      <c r="I263" s="5"/>
      <c r="J263" s="5"/>
      <c r="K263" s="5">
        <f>'3.1.1'!Z7</f>
        <v>0</v>
      </c>
      <c r="L263" s="30">
        <f>'3.1.1'!AA6</f>
        <v>0</v>
      </c>
      <c r="M263" s="30">
        <f>'3.1.1'!AB6</f>
        <v>0</v>
      </c>
      <c r="N263" s="25">
        <f>'3.1.1'!Z6</f>
        <v>0</v>
      </c>
      <c r="O263" s="873"/>
      <c r="P263" s="873"/>
    </row>
    <row r="264" spans="1:16" hidden="1" x14ac:dyDescent="0.25">
      <c r="A264" s="2">
        <v>3</v>
      </c>
      <c r="B264" s="3" t="s">
        <v>45</v>
      </c>
      <c r="C264" s="3" t="s">
        <v>561</v>
      </c>
      <c r="D264" s="127" t="s">
        <v>45</v>
      </c>
      <c r="E264" s="127" t="s">
        <v>570</v>
      </c>
      <c r="F264" s="3" t="s">
        <v>347</v>
      </c>
      <c r="G264" s="8" t="s">
        <v>348</v>
      </c>
      <c r="H264" s="114" t="s">
        <v>464</v>
      </c>
      <c r="I264" s="5"/>
      <c r="J264" s="5"/>
      <c r="K264" s="5">
        <f>'3.1.1'!AC7</f>
        <v>1</v>
      </c>
      <c r="L264" s="30">
        <f>'3.1.1'!AD6</f>
        <v>0</v>
      </c>
      <c r="M264" s="30">
        <f>'3.1.1'!AE6</f>
        <v>1</v>
      </c>
      <c r="N264" s="25">
        <f>'3.1.1'!AC6</f>
        <v>1</v>
      </c>
      <c r="O264" s="873"/>
      <c r="P264" s="873"/>
    </row>
    <row r="265" spans="1:16" ht="38.25" hidden="1" x14ac:dyDescent="0.25">
      <c r="A265" s="2">
        <v>3</v>
      </c>
      <c r="B265" s="3" t="s">
        <v>45</v>
      </c>
      <c r="C265" s="3" t="s">
        <v>561</v>
      </c>
      <c r="D265" s="127" t="s">
        <v>45</v>
      </c>
      <c r="E265" s="127" t="s">
        <v>570</v>
      </c>
      <c r="F265" s="3" t="s">
        <v>351</v>
      </c>
      <c r="G265" s="8" t="s">
        <v>352</v>
      </c>
      <c r="H265" s="114" t="s">
        <v>464</v>
      </c>
      <c r="I265" s="5"/>
      <c r="J265" s="5"/>
      <c r="K265" s="5">
        <f>'3.1.1'!AF7</f>
        <v>1</v>
      </c>
      <c r="L265" s="30">
        <f>'3.1.1'!AG6</f>
        <v>0</v>
      </c>
      <c r="M265" s="30">
        <f>'3.1.1'!AH6</f>
        <v>1</v>
      </c>
      <c r="N265" s="25">
        <f>'3.1.1'!AF6</f>
        <v>1</v>
      </c>
      <c r="O265" s="873"/>
      <c r="P265" s="873"/>
    </row>
    <row r="266" spans="1:16" hidden="1" x14ac:dyDescent="0.25">
      <c r="A266" s="2">
        <v>3</v>
      </c>
      <c r="B266" s="3" t="s">
        <v>45</v>
      </c>
      <c r="C266" s="3" t="s">
        <v>561</v>
      </c>
      <c r="D266" s="127" t="s">
        <v>45</v>
      </c>
      <c r="E266" s="127" t="s">
        <v>570</v>
      </c>
      <c r="F266" s="3" t="s">
        <v>353</v>
      </c>
      <c r="G266" s="8" t="s">
        <v>132</v>
      </c>
      <c r="H266" s="114" t="s">
        <v>464</v>
      </c>
      <c r="I266" s="5"/>
      <c r="J266" s="5"/>
      <c r="K266" s="5">
        <f>'3.1.1'!AI7</f>
        <v>1</v>
      </c>
      <c r="L266" s="30">
        <f>'3.1.1'!AJ6</f>
        <v>0</v>
      </c>
      <c r="M266" s="30">
        <f>'3.1.1'!AK6</f>
        <v>1</v>
      </c>
      <c r="N266" s="25">
        <f>'3.1.1'!AI6</f>
        <v>1</v>
      </c>
      <c r="O266" s="329" t="s">
        <v>131</v>
      </c>
      <c r="P266" s="329" t="s">
        <v>2086</v>
      </c>
    </row>
    <row r="267" spans="1:16" ht="25.5" hidden="1" x14ac:dyDescent="0.25">
      <c r="A267" s="2">
        <v>3</v>
      </c>
      <c r="B267" s="3" t="s">
        <v>45</v>
      </c>
      <c r="C267" s="3" t="s">
        <v>561</v>
      </c>
      <c r="D267" s="127" t="s">
        <v>45</v>
      </c>
      <c r="E267" s="127" t="s">
        <v>570</v>
      </c>
      <c r="F267" s="3" t="s">
        <v>354</v>
      </c>
      <c r="G267" s="8" t="s">
        <v>355</v>
      </c>
      <c r="H267" s="114" t="s">
        <v>464</v>
      </c>
      <c r="I267" s="5"/>
      <c r="J267" s="5"/>
      <c r="K267" s="5">
        <f>'3.1.1'!AL7</f>
        <v>1</v>
      </c>
      <c r="L267" s="30">
        <f>'3.1.1'!AM6</f>
        <v>0</v>
      </c>
      <c r="M267" s="30">
        <f>'3.1.1'!AN6</f>
        <v>1</v>
      </c>
      <c r="N267" s="25">
        <f>'3.1.1'!AL6</f>
        <v>1</v>
      </c>
      <c r="O267" s="873"/>
      <c r="P267" s="873"/>
    </row>
    <row r="268" spans="1:16" hidden="1" x14ac:dyDescent="0.25">
      <c r="A268" s="2">
        <v>3</v>
      </c>
      <c r="B268" s="3" t="s">
        <v>48</v>
      </c>
      <c r="C268" s="3" t="s">
        <v>561</v>
      </c>
      <c r="D268" s="127" t="s">
        <v>48</v>
      </c>
      <c r="E268" s="127" t="s">
        <v>574</v>
      </c>
      <c r="F268" s="3" t="s">
        <v>334</v>
      </c>
      <c r="G268" s="8" t="s">
        <v>313</v>
      </c>
      <c r="H268" s="9" t="s">
        <v>486</v>
      </c>
      <c r="I268" s="5"/>
      <c r="J268" s="5"/>
      <c r="K268" s="5">
        <v>0</v>
      </c>
      <c r="L268" s="30">
        <v>0</v>
      </c>
      <c r="M268" s="30">
        <v>0</v>
      </c>
      <c r="N268" s="25">
        <v>0</v>
      </c>
      <c r="O268" s="877" t="s">
        <v>115</v>
      </c>
      <c r="P268" s="877" t="s">
        <v>313</v>
      </c>
    </row>
    <row r="269" spans="1:16" hidden="1" x14ac:dyDescent="0.25">
      <c r="A269" s="2">
        <v>3</v>
      </c>
      <c r="B269" s="3" t="s">
        <v>48</v>
      </c>
      <c r="C269" s="3" t="s">
        <v>561</v>
      </c>
      <c r="D269" s="127" t="s">
        <v>48</v>
      </c>
      <c r="E269" s="127" t="s">
        <v>574</v>
      </c>
      <c r="F269" s="3" t="s">
        <v>358</v>
      </c>
      <c r="G269" s="8" t="s">
        <v>359</v>
      </c>
      <c r="H269" s="9" t="s">
        <v>486</v>
      </c>
      <c r="I269" s="5"/>
      <c r="J269" s="5"/>
      <c r="K269" s="5">
        <v>0</v>
      </c>
      <c r="L269" s="30">
        <v>0</v>
      </c>
      <c r="M269" s="30">
        <v>0</v>
      </c>
      <c r="N269" s="25">
        <v>0</v>
      </c>
      <c r="O269" s="874"/>
      <c r="P269" s="874"/>
    </row>
    <row r="270" spans="1:16" hidden="1" x14ac:dyDescent="0.25">
      <c r="A270" s="2">
        <v>3</v>
      </c>
      <c r="B270" s="3" t="s">
        <v>48</v>
      </c>
      <c r="C270" s="3" t="s">
        <v>561</v>
      </c>
      <c r="D270" s="127" t="s">
        <v>48</v>
      </c>
      <c r="E270" s="127" t="s">
        <v>574</v>
      </c>
      <c r="F270" s="3" t="s">
        <v>360</v>
      </c>
      <c r="G270" s="8" t="s">
        <v>134</v>
      </c>
      <c r="H270" s="9" t="s">
        <v>486</v>
      </c>
      <c r="I270" s="5"/>
      <c r="J270" s="5"/>
      <c r="K270" s="5">
        <v>0</v>
      </c>
      <c r="L270" s="30">
        <v>0</v>
      </c>
      <c r="M270" s="30">
        <v>0</v>
      </c>
      <c r="N270" s="25">
        <v>0</v>
      </c>
      <c r="O270" s="877" t="s">
        <v>133</v>
      </c>
      <c r="P270" s="877" t="s">
        <v>134</v>
      </c>
    </row>
    <row r="271" spans="1:16" hidden="1" x14ac:dyDescent="0.25">
      <c r="A271" s="2">
        <v>3</v>
      </c>
      <c r="B271" s="3" t="s">
        <v>48</v>
      </c>
      <c r="C271" s="3" t="s">
        <v>561</v>
      </c>
      <c r="D271" s="127" t="s">
        <v>48</v>
      </c>
      <c r="E271" s="127" t="s">
        <v>574</v>
      </c>
      <c r="F271" s="3" t="s">
        <v>361</v>
      </c>
      <c r="G271" s="8" t="s">
        <v>362</v>
      </c>
      <c r="H271" s="9" t="s">
        <v>486</v>
      </c>
      <c r="I271" s="5"/>
      <c r="J271" s="5"/>
      <c r="K271" s="5">
        <v>0</v>
      </c>
      <c r="L271" s="30">
        <v>0</v>
      </c>
      <c r="M271" s="30">
        <v>0</v>
      </c>
      <c r="N271" s="25">
        <v>0</v>
      </c>
      <c r="O271" s="874"/>
      <c r="P271" s="874"/>
    </row>
    <row r="272" spans="1:16" hidden="1" x14ac:dyDescent="0.25">
      <c r="A272" s="2">
        <v>3</v>
      </c>
      <c r="B272" s="3" t="s">
        <v>48</v>
      </c>
      <c r="C272" s="3" t="s">
        <v>561</v>
      </c>
      <c r="D272" s="127" t="s">
        <v>48</v>
      </c>
      <c r="E272" s="127" t="s">
        <v>574</v>
      </c>
      <c r="F272" s="3" t="s">
        <v>363</v>
      </c>
      <c r="G272" s="8" t="s">
        <v>364</v>
      </c>
      <c r="H272" s="9" t="s">
        <v>464</v>
      </c>
      <c r="I272" s="5"/>
      <c r="J272" s="5"/>
      <c r="K272" s="5">
        <v>0</v>
      </c>
      <c r="L272" s="30">
        <v>0</v>
      </c>
      <c r="M272" s="30">
        <v>0</v>
      </c>
      <c r="N272" s="25">
        <v>0</v>
      </c>
      <c r="O272" s="874"/>
      <c r="P272" s="874"/>
    </row>
    <row r="273" spans="1:16" ht="25.5" hidden="1" x14ac:dyDescent="0.25">
      <c r="A273" s="2">
        <v>3</v>
      </c>
      <c r="B273" s="3" t="s">
        <v>48</v>
      </c>
      <c r="C273" s="3" t="s">
        <v>561</v>
      </c>
      <c r="D273" s="127" t="s">
        <v>48</v>
      </c>
      <c r="E273" s="127" t="s">
        <v>574</v>
      </c>
      <c r="F273" s="3" t="s">
        <v>365</v>
      </c>
      <c r="G273" s="8" t="s">
        <v>366</v>
      </c>
      <c r="H273" s="9" t="s">
        <v>464</v>
      </c>
      <c r="I273" s="5"/>
      <c r="J273" s="5"/>
      <c r="K273" s="5">
        <v>0</v>
      </c>
      <c r="L273" s="30">
        <v>0</v>
      </c>
      <c r="M273" s="30">
        <v>0</v>
      </c>
      <c r="N273" s="25">
        <v>0</v>
      </c>
      <c r="O273" s="874"/>
      <c r="P273" s="874"/>
    </row>
    <row r="274" spans="1:16" hidden="1" x14ac:dyDescent="0.25">
      <c r="A274" s="2">
        <v>3</v>
      </c>
      <c r="B274" s="3" t="s">
        <v>48</v>
      </c>
      <c r="C274" s="3" t="s">
        <v>561</v>
      </c>
      <c r="D274" s="127" t="s">
        <v>48</v>
      </c>
      <c r="E274" s="127" t="s">
        <v>574</v>
      </c>
      <c r="F274" s="3" t="s">
        <v>369</v>
      </c>
      <c r="G274" s="8" t="s">
        <v>370</v>
      </c>
      <c r="H274" s="9" t="s">
        <v>464</v>
      </c>
      <c r="I274" s="5"/>
      <c r="J274" s="5"/>
      <c r="K274" s="5">
        <v>0</v>
      </c>
      <c r="L274" s="30">
        <v>0</v>
      </c>
      <c r="M274" s="30">
        <v>0</v>
      </c>
      <c r="N274" s="25">
        <v>0</v>
      </c>
      <c r="O274" s="874"/>
      <c r="P274" s="874"/>
    </row>
    <row r="275" spans="1:16" hidden="1" x14ac:dyDescent="0.25">
      <c r="A275" s="2">
        <v>3</v>
      </c>
      <c r="B275" s="3" t="s">
        <v>48</v>
      </c>
      <c r="C275" s="3" t="s">
        <v>561</v>
      </c>
      <c r="D275" s="127" t="s">
        <v>48</v>
      </c>
      <c r="E275" s="127" t="s">
        <v>574</v>
      </c>
      <c r="F275" s="3" t="s">
        <v>371</v>
      </c>
      <c r="G275" s="8" t="s">
        <v>372</v>
      </c>
      <c r="H275" s="9" t="s">
        <v>464</v>
      </c>
      <c r="I275" s="5"/>
      <c r="J275" s="5"/>
      <c r="K275" s="5">
        <v>0</v>
      </c>
      <c r="L275" s="30">
        <v>0</v>
      </c>
      <c r="M275" s="30">
        <v>0</v>
      </c>
      <c r="N275" s="25">
        <v>0</v>
      </c>
      <c r="O275" s="874"/>
      <c r="P275" s="874"/>
    </row>
    <row r="276" spans="1:16" ht="25.5" hidden="1" x14ac:dyDescent="0.25">
      <c r="A276" s="2">
        <v>3</v>
      </c>
      <c r="B276" s="3" t="s">
        <v>48</v>
      </c>
      <c r="C276" s="3" t="s">
        <v>561</v>
      </c>
      <c r="D276" s="127" t="s">
        <v>48</v>
      </c>
      <c r="E276" s="127" t="s">
        <v>574</v>
      </c>
      <c r="F276" s="3" t="s">
        <v>373</v>
      </c>
      <c r="G276" s="8" t="s">
        <v>374</v>
      </c>
      <c r="H276" s="9" t="s">
        <v>464</v>
      </c>
      <c r="I276" s="5"/>
      <c r="J276" s="5"/>
      <c r="K276" s="5">
        <v>0</v>
      </c>
      <c r="L276" s="30">
        <v>0</v>
      </c>
      <c r="M276" s="30">
        <v>0</v>
      </c>
      <c r="N276" s="25">
        <v>0</v>
      </c>
      <c r="O276" s="874"/>
      <c r="P276" s="874"/>
    </row>
    <row r="277" spans="1:16" hidden="1" x14ac:dyDescent="0.25">
      <c r="A277" s="2">
        <v>3</v>
      </c>
      <c r="B277" s="3" t="s">
        <v>48</v>
      </c>
      <c r="C277" s="3" t="s">
        <v>561</v>
      </c>
      <c r="D277" s="127" t="s">
        <v>48</v>
      </c>
      <c r="E277" s="127" t="s">
        <v>576</v>
      </c>
      <c r="F277" s="3" t="s">
        <v>357</v>
      </c>
      <c r="G277" s="8" t="s">
        <v>136</v>
      </c>
      <c r="H277" s="9" t="s">
        <v>486</v>
      </c>
      <c r="I277" s="5"/>
      <c r="J277" s="5"/>
      <c r="K277" s="5">
        <v>0</v>
      </c>
      <c r="L277" s="30">
        <v>0</v>
      </c>
      <c r="M277" s="30">
        <v>0</v>
      </c>
      <c r="N277" s="25">
        <v>0</v>
      </c>
      <c r="O277" s="877" t="s">
        <v>135</v>
      </c>
      <c r="P277" s="877" t="s">
        <v>136</v>
      </c>
    </row>
    <row r="278" spans="1:16" ht="25.5" hidden="1" x14ac:dyDescent="0.25">
      <c r="A278" s="2">
        <v>3</v>
      </c>
      <c r="B278" s="3" t="s">
        <v>48</v>
      </c>
      <c r="C278" s="3" t="s">
        <v>561</v>
      </c>
      <c r="D278" s="127" t="s">
        <v>48</v>
      </c>
      <c r="E278" s="127" t="s">
        <v>576</v>
      </c>
      <c r="F278" s="3" t="s">
        <v>367</v>
      </c>
      <c r="G278" s="8" t="s">
        <v>368</v>
      </c>
      <c r="H278" s="9" t="s">
        <v>464</v>
      </c>
      <c r="I278" s="5"/>
      <c r="J278" s="5"/>
      <c r="K278" s="5">
        <v>0</v>
      </c>
      <c r="L278" s="30">
        <v>0</v>
      </c>
      <c r="M278" s="30">
        <v>0</v>
      </c>
      <c r="N278" s="25">
        <v>0</v>
      </c>
      <c r="O278" s="873"/>
      <c r="P278" s="873"/>
    </row>
    <row r="279" spans="1:16" ht="25.5" hidden="1" x14ac:dyDescent="0.25">
      <c r="A279" s="2">
        <v>3</v>
      </c>
      <c r="B279" s="3" t="s">
        <v>49</v>
      </c>
      <c r="C279" s="3" t="s">
        <v>561</v>
      </c>
      <c r="D279" s="127" t="s">
        <v>49</v>
      </c>
      <c r="E279" s="127" t="s">
        <v>562</v>
      </c>
      <c r="F279" s="3" t="s">
        <v>375</v>
      </c>
      <c r="G279" s="8" t="s">
        <v>44</v>
      </c>
      <c r="H279" s="9" t="s">
        <v>1104</v>
      </c>
      <c r="I279" s="5"/>
      <c r="J279" s="5"/>
      <c r="K279" s="5">
        <f>'3.1.3'!H10</f>
        <v>0</v>
      </c>
      <c r="L279" s="30">
        <f>'3.1.3'!I9</f>
        <v>0</v>
      </c>
      <c r="M279" s="30">
        <f>'3.1.3'!J9</f>
        <v>0</v>
      </c>
      <c r="N279" s="25">
        <f>'3.1.3'!H9</f>
        <v>0</v>
      </c>
      <c r="O279" s="873"/>
      <c r="P279" s="873"/>
    </row>
    <row r="280" spans="1:16" ht="25.5" hidden="1" x14ac:dyDescent="0.25">
      <c r="A280" s="2">
        <v>3</v>
      </c>
      <c r="B280" s="3" t="s">
        <v>49</v>
      </c>
      <c r="C280" s="3" t="s">
        <v>561</v>
      </c>
      <c r="D280" s="127" t="s">
        <v>49</v>
      </c>
      <c r="E280" s="127" t="s">
        <v>562</v>
      </c>
      <c r="F280" s="3" t="s">
        <v>376</v>
      </c>
      <c r="G280" s="8" t="s">
        <v>377</v>
      </c>
      <c r="H280" s="9" t="s">
        <v>464</v>
      </c>
      <c r="I280" s="5"/>
      <c r="J280" s="5"/>
      <c r="K280" s="5">
        <f>'3.1.3'!K10</f>
        <v>0</v>
      </c>
      <c r="L280" s="30">
        <f>'3.1.3'!L9</f>
        <v>0</v>
      </c>
      <c r="M280" s="30">
        <f>'3.1.3'!M9</f>
        <v>0</v>
      </c>
      <c r="N280" s="25">
        <f>'3.1.3'!K9</f>
        <v>0</v>
      </c>
      <c r="O280" s="873"/>
      <c r="P280" s="873"/>
    </row>
    <row r="281" spans="1:16" hidden="1" x14ac:dyDescent="0.25">
      <c r="A281" s="2">
        <v>3</v>
      </c>
      <c r="B281" s="3" t="s">
        <v>49</v>
      </c>
      <c r="C281" s="3" t="s">
        <v>561</v>
      </c>
      <c r="D281" s="127" t="s">
        <v>49</v>
      </c>
      <c r="E281" s="127" t="s">
        <v>562</v>
      </c>
      <c r="F281" s="3" t="s">
        <v>244</v>
      </c>
      <c r="G281" s="8" t="s">
        <v>245</v>
      </c>
      <c r="H281" s="114" t="s">
        <v>464</v>
      </c>
      <c r="I281" s="5"/>
      <c r="J281" s="5"/>
      <c r="K281" s="5">
        <f>'3.1.3'!N10</f>
        <v>0</v>
      </c>
      <c r="L281" s="30">
        <f>'3.1.3'!O9</f>
        <v>0</v>
      </c>
      <c r="M281" s="30">
        <f>'3.1.3'!P9</f>
        <v>0</v>
      </c>
      <c r="N281" s="25">
        <f>'3.1.3'!N9</f>
        <v>0</v>
      </c>
      <c r="O281" s="875"/>
      <c r="P281" s="875"/>
    </row>
    <row r="282" spans="1:16" ht="25.5" hidden="1" x14ac:dyDescent="0.25">
      <c r="A282" s="2">
        <v>3</v>
      </c>
      <c r="B282" s="3" t="s">
        <v>49</v>
      </c>
      <c r="C282" s="3" t="s">
        <v>561</v>
      </c>
      <c r="D282" s="127" t="s">
        <v>49</v>
      </c>
      <c r="E282" s="127" t="s">
        <v>562</v>
      </c>
      <c r="F282" s="3" t="s">
        <v>378</v>
      </c>
      <c r="G282" s="8" t="s">
        <v>379</v>
      </c>
      <c r="H282" s="114" t="s">
        <v>464</v>
      </c>
      <c r="I282" s="5"/>
      <c r="J282" s="5"/>
      <c r="K282" s="5">
        <f>'3.1.3'!Q10</f>
        <v>0</v>
      </c>
      <c r="L282" s="30">
        <f>'3.1.3'!R9</f>
        <v>0</v>
      </c>
      <c r="M282" s="30">
        <f>'3.1.3'!S9</f>
        <v>0</v>
      </c>
      <c r="N282" s="25">
        <f>'3.1.3'!Q9</f>
        <v>0</v>
      </c>
      <c r="O282" s="874"/>
      <c r="P282" s="874"/>
    </row>
    <row r="283" spans="1:16" ht="25.5" hidden="1" x14ac:dyDescent="0.25">
      <c r="A283" s="2">
        <v>3</v>
      </c>
      <c r="B283" s="3" t="s">
        <v>49</v>
      </c>
      <c r="C283" s="3" t="s">
        <v>561</v>
      </c>
      <c r="D283" s="127" t="s">
        <v>49</v>
      </c>
      <c r="E283" s="127" t="s">
        <v>562</v>
      </c>
      <c r="F283" s="3" t="s">
        <v>380</v>
      </c>
      <c r="G283" s="8" t="s">
        <v>138</v>
      </c>
      <c r="H283" s="9" t="s">
        <v>464</v>
      </c>
      <c r="I283" s="5"/>
      <c r="J283" s="5"/>
      <c r="K283" s="5">
        <f>'3.1.3'!T10</f>
        <v>0</v>
      </c>
      <c r="L283" s="30">
        <f>'3.1.3'!U9</f>
        <v>0</v>
      </c>
      <c r="M283" s="30">
        <f>'3.1.3'!V9</f>
        <v>0</v>
      </c>
      <c r="N283" s="25">
        <f>'3.1.3'!T9</f>
        <v>0</v>
      </c>
      <c r="O283" s="877" t="s">
        <v>137</v>
      </c>
      <c r="P283" s="877" t="s">
        <v>2093</v>
      </c>
    </row>
    <row r="284" spans="1:16" hidden="1" x14ac:dyDescent="0.25">
      <c r="A284" s="2">
        <v>3</v>
      </c>
      <c r="B284" s="3" t="s">
        <v>49</v>
      </c>
      <c r="C284" s="3" t="s">
        <v>561</v>
      </c>
      <c r="D284" s="127" t="s">
        <v>49</v>
      </c>
      <c r="E284" s="127" t="s">
        <v>562</v>
      </c>
      <c r="F284" s="3" t="s">
        <v>382</v>
      </c>
      <c r="G284" s="8" t="s">
        <v>383</v>
      </c>
      <c r="H284" s="114" t="s">
        <v>464</v>
      </c>
      <c r="I284" s="5"/>
      <c r="J284" s="5"/>
      <c r="K284" s="5">
        <f>'3.1.3'!W10</f>
        <v>0</v>
      </c>
      <c r="L284" s="30">
        <f>'3.1.3'!X9</f>
        <v>0</v>
      </c>
      <c r="M284" s="30">
        <f>'3.1.3'!Y9</f>
        <v>0</v>
      </c>
      <c r="N284" s="25">
        <f>'3.1.3'!W9</f>
        <v>0</v>
      </c>
      <c r="O284" s="874"/>
      <c r="P284" s="874"/>
    </row>
    <row r="285" spans="1:16" ht="25.5" hidden="1" x14ac:dyDescent="0.25">
      <c r="A285" s="2">
        <v>3</v>
      </c>
      <c r="B285" s="3" t="s">
        <v>49</v>
      </c>
      <c r="C285" s="3" t="s">
        <v>561</v>
      </c>
      <c r="D285" s="127" t="s">
        <v>49</v>
      </c>
      <c r="E285" s="127" t="s">
        <v>562</v>
      </c>
      <c r="F285" s="3" t="s">
        <v>384</v>
      </c>
      <c r="G285" s="8" t="s">
        <v>385</v>
      </c>
      <c r="H285" s="114" t="s">
        <v>464</v>
      </c>
      <c r="I285" s="5"/>
      <c r="J285" s="5"/>
      <c r="K285" s="5">
        <f>'3.1.3'!Z10</f>
        <v>0</v>
      </c>
      <c r="L285" s="30">
        <f>'3.1.3'!AA9</f>
        <v>0</v>
      </c>
      <c r="M285" s="30">
        <f>'3.1.3'!AB9</f>
        <v>0</v>
      </c>
      <c r="N285" s="25">
        <f>'3.1.3'!Z9</f>
        <v>0</v>
      </c>
      <c r="O285" s="874"/>
      <c r="P285" s="874"/>
    </row>
    <row r="286" spans="1:16" hidden="1" x14ac:dyDescent="0.25">
      <c r="A286" s="2">
        <v>3</v>
      </c>
      <c r="B286" s="3" t="s">
        <v>49</v>
      </c>
      <c r="C286" s="3" t="s">
        <v>561</v>
      </c>
      <c r="D286" s="127" t="s">
        <v>49</v>
      </c>
      <c r="E286" s="127" t="s">
        <v>562</v>
      </c>
      <c r="F286" s="3" t="s">
        <v>386</v>
      </c>
      <c r="G286" s="8" t="s">
        <v>387</v>
      </c>
      <c r="H286" s="9" t="s">
        <v>497</v>
      </c>
      <c r="I286" s="5"/>
      <c r="J286" s="5"/>
      <c r="K286" s="5">
        <f>'3.1.3'!AC10</f>
        <v>0</v>
      </c>
      <c r="L286" s="30">
        <f>'3.1.3'!AD9</f>
        <v>0</v>
      </c>
      <c r="M286" s="30">
        <f>'3.1.3'!AE9</f>
        <v>0</v>
      </c>
      <c r="N286" s="25">
        <f>'3.1.3'!AC9</f>
        <v>0</v>
      </c>
      <c r="O286" s="873"/>
      <c r="P286" s="873"/>
    </row>
    <row r="287" spans="1:16" ht="25.5" hidden="1" x14ac:dyDescent="0.25">
      <c r="A287" s="2">
        <v>3</v>
      </c>
      <c r="B287" s="3" t="s">
        <v>49</v>
      </c>
      <c r="C287" s="3" t="s">
        <v>561</v>
      </c>
      <c r="D287" s="127" t="s">
        <v>49</v>
      </c>
      <c r="E287" s="127" t="s">
        <v>577</v>
      </c>
      <c r="F287" s="3" t="s">
        <v>381</v>
      </c>
      <c r="G287" s="8" t="s">
        <v>140</v>
      </c>
      <c r="H287" s="9" t="s">
        <v>464</v>
      </c>
      <c r="I287" s="5"/>
      <c r="J287" s="5"/>
      <c r="K287" s="5">
        <f>'3.1.3'!AF10</f>
        <v>4</v>
      </c>
      <c r="L287" s="30">
        <f>'3.1.3'!AG9</f>
        <v>0</v>
      </c>
      <c r="M287" s="30">
        <f>'3.1.3'!AH9</f>
        <v>2.8289078523456057</v>
      </c>
      <c r="N287" s="25">
        <f>'3.1.3'!AF9</f>
        <v>4</v>
      </c>
      <c r="O287" s="329" t="s">
        <v>139</v>
      </c>
      <c r="P287" s="329" t="s">
        <v>2095</v>
      </c>
    </row>
    <row r="288" spans="1:16" ht="25.5" hidden="1" x14ac:dyDescent="0.25">
      <c r="A288" s="2">
        <v>3</v>
      </c>
      <c r="B288" s="3" t="s">
        <v>49</v>
      </c>
      <c r="C288" s="3" t="s">
        <v>561</v>
      </c>
      <c r="D288" s="127" t="s">
        <v>49</v>
      </c>
      <c r="E288" s="127" t="s">
        <v>577</v>
      </c>
      <c r="F288" s="3" t="s">
        <v>384</v>
      </c>
      <c r="G288" s="8" t="s">
        <v>385</v>
      </c>
      <c r="H288" s="114" t="s">
        <v>464</v>
      </c>
      <c r="I288" s="5"/>
      <c r="J288" s="5"/>
      <c r="K288" s="5">
        <f>'3.1.3'!AI10</f>
        <v>4</v>
      </c>
      <c r="L288" s="30">
        <f>'3.1.3'!AJ9</f>
        <v>20</v>
      </c>
      <c r="M288" s="30">
        <f>'3.1.3'!AK9</f>
        <v>78.936672243383441</v>
      </c>
      <c r="N288" s="25">
        <f>'3.1.3'!AI9</f>
        <v>166</v>
      </c>
      <c r="O288" s="873"/>
      <c r="P288" s="873"/>
    </row>
    <row r="289" spans="1:16" hidden="1" x14ac:dyDescent="0.25">
      <c r="A289" s="2">
        <v>4</v>
      </c>
      <c r="B289" s="3" t="s">
        <v>46</v>
      </c>
      <c r="C289" s="3" t="s">
        <v>541</v>
      </c>
      <c r="D289" s="127" t="s">
        <v>46</v>
      </c>
      <c r="E289" s="127" t="s">
        <v>564</v>
      </c>
      <c r="F289" s="3" t="s">
        <v>390</v>
      </c>
      <c r="G289" s="8" t="s">
        <v>391</v>
      </c>
      <c r="H289" s="9" t="s">
        <v>521</v>
      </c>
      <c r="I289" s="5"/>
      <c r="J289" s="5"/>
      <c r="K289" s="5">
        <f>'4.1.1'!H8</f>
        <v>0</v>
      </c>
      <c r="L289" s="30">
        <f>'4.1.1'!I7</f>
        <v>0</v>
      </c>
      <c r="M289" s="30">
        <f>'4.1.1'!J7</f>
        <v>0</v>
      </c>
      <c r="N289" s="25">
        <f>'4.1.1'!H7</f>
        <v>0</v>
      </c>
      <c r="O289" s="873"/>
      <c r="P289" s="873"/>
    </row>
    <row r="290" spans="1:16" hidden="1" x14ac:dyDescent="0.25">
      <c r="A290" s="2">
        <v>4</v>
      </c>
      <c r="B290" s="3" t="s">
        <v>46</v>
      </c>
      <c r="C290" s="3" t="s">
        <v>541</v>
      </c>
      <c r="D290" s="127" t="s">
        <v>46</v>
      </c>
      <c r="E290" s="127" t="s">
        <v>564</v>
      </c>
      <c r="F290" s="3" t="s">
        <v>392</v>
      </c>
      <c r="G290" s="8" t="s">
        <v>393</v>
      </c>
      <c r="H290" s="114" t="s">
        <v>521</v>
      </c>
      <c r="I290" s="5"/>
      <c r="J290" s="5"/>
      <c r="K290" s="5">
        <f>'4.1.1'!K8</f>
        <v>0</v>
      </c>
      <c r="L290" s="30">
        <f>'4.1.1'!L7</f>
        <v>0</v>
      </c>
      <c r="M290" s="30">
        <f>'4.1.1'!M7</f>
        <v>0</v>
      </c>
      <c r="N290" s="25">
        <f>'4.1.1'!K7</f>
        <v>0</v>
      </c>
      <c r="O290" s="873"/>
      <c r="P290" s="873"/>
    </row>
    <row r="291" spans="1:16" ht="25.5" hidden="1" x14ac:dyDescent="0.25">
      <c r="A291" s="2">
        <v>4</v>
      </c>
      <c r="B291" s="3" t="s">
        <v>46</v>
      </c>
      <c r="C291" s="3" t="s">
        <v>541</v>
      </c>
      <c r="D291" s="127" t="s">
        <v>46</v>
      </c>
      <c r="E291" s="127" t="s">
        <v>564</v>
      </c>
      <c r="F291" s="3" t="s">
        <v>396</v>
      </c>
      <c r="G291" s="8" t="s">
        <v>146</v>
      </c>
      <c r="H291" s="114" t="s">
        <v>1105</v>
      </c>
      <c r="I291" s="5"/>
      <c r="J291" s="5"/>
      <c r="K291" s="5">
        <f>'4.1.1'!N8</f>
        <v>1</v>
      </c>
      <c r="L291" s="29">
        <f>'4.1.1'!O7</f>
        <v>0</v>
      </c>
      <c r="M291" s="29">
        <f>'4.1.1'!P7</f>
        <v>1517.5570515746235</v>
      </c>
      <c r="N291" s="24">
        <f>'4.1.1'!N7</f>
        <v>9109.5</v>
      </c>
      <c r="O291" s="877" t="s">
        <v>2193</v>
      </c>
      <c r="P291" s="877" t="s">
        <v>2112</v>
      </c>
    </row>
    <row r="292" spans="1:16" hidden="1" x14ac:dyDescent="0.25">
      <c r="A292" s="2">
        <v>4</v>
      </c>
      <c r="B292" s="3" t="s">
        <v>46</v>
      </c>
      <c r="C292" s="3" t="s">
        <v>541</v>
      </c>
      <c r="D292" s="127" t="s">
        <v>46</v>
      </c>
      <c r="E292" s="127" t="s">
        <v>564</v>
      </c>
      <c r="F292" s="3" t="s">
        <v>398</v>
      </c>
      <c r="G292" s="8" t="s">
        <v>399</v>
      </c>
      <c r="H292" s="9" t="s">
        <v>1106</v>
      </c>
      <c r="I292" s="5"/>
      <c r="J292" s="5"/>
      <c r="K292" s="5">
        <f>'4.1.1'!Q8</f>
        <v>1</v>
      </c>
      <c r="L292" s="30">
        <f>'4.1.1'!R7</f>
        <v>0</v>
      </c>
      <c r="M292" s="30">
        <f>'4.1.1'!S7</f>
        <v>0.16659059790050204</v>
      </c>
      <c r="N292" s="25">
        <f>'4.1.1'!Q7</f>
        <v>1</v>
      </c>
      <c r="O292" s="877" t="s">
        <v>141</v>
      </c>
      <c r="P292" s="878" t="s">
        <v>399</v>
      </c>
    </row>
    <row r="293" spans="1:16" hidden="1" x14ac:dyDescent="0.25">
      <c r="A293" s="2">
        <v>4</v>
      </c>
      <c r="B293" s="3" t="s">
        <v>46</v>
      </c>
      <c r="C293" s="3" t="s">
        <v>541</v>
      </c>
      <c r="D293" s="127" t="s">
        <v>46</v>
      </c>
      <c r="E293" s="127" t="s">
        <v>564</v>
      </c>
      <c r="F293" s="3" t="s">
        <v>302</v>
      </c>
      <c r="G293" s="8" t="s">
        <v>303</v>
      </c>
      <c r="H293" s="9" t="s">
        <v>657</v>
      </c>
      <c r="I293" s="5"/>
      <c r="J293" s="5"/>
      <c r="K293" s="5">
        <f>'4.1.1'!T8</f>
        <v>0</v>
      </c>
      <c r="L293" s="30">
        <f>'4.1.1'!U7</f>
        <v>0</v>
      </c>
      <c r="M293" s="30">
        <f>'4.1.1'!V7</f>
        <v>0</v>
      </c>
      <c r="N293" s="25">
        <f>'4.1.1'!T7</f>
        <v>0</v>
      </c>
      <c r="O293" s="874"/>
      <c r="P293" s="874"/>
    </row>
    <row r="294" spans="1:16" hidden="1" x14ac:dyDescent="0.25">
      <c r="A294" s="2">
        <v>4</v>
      </c>
      <c r="B294" s="3" t="s">
        <v>46</v>
      </c>
      <c r="C294" s="3" t="s">
        <v>541</v>
      </c>
      <c r="D294" s="127" t="s">
        <v>46</v>
      </c>
      <c r="E294" s="127" t="s">
        <v>564</v>
      </c>
      <c r="F294" s="3" t="s">
        <v>304</v>
      </c>
      <c r="G294" s="8" t="s">
        <v>305</v>
      </c>
      <c r="H294" s="114" t="s">
        <v>657</v>
      </c>
      <c r="I294" s="5"/>
      <c r="J294" s="5"/>
      <c r="K294" s="5">
        <f>'4.1.1'!W8</f>
        <v>0</v>
      </c>
      <c r="L294" s="30">
        <f>'4.1.1'!X7</f>
        <v>0</v>
      </c>
      <c r="M294" s="30">
        <f>'4.1.1'!Y7</f>
        <v>0</v>
      </c>
      <c r="N294" s="25">
        <f>'4.1.1'!W7</f>
        <v>0</v>
      </c>
      <c r="O294" s="874"/>
      <c r="P294" s="874"/>
    </row>
    <row r="295" spans="1:16" hidden="1" x14ac:dyDescent="0.25">
      <c r="A295" s="2">
        <v>4</v>
      </c>
      <c r="B295" s="3" t="s">
        <v>46</v>
      </c>
      <c r="C295" s="3" t="s">
        <v>541</v>
      </c>
      <c r="D295" s="127" t="s">
        <v>46</v>
      </c>
      <c r="E295" s="127" t="s">
        <v>564</v>
      </c>
      <c r="F295" s="3" t="s">
        <v>308</v>
      </c>
      <c r="G295" s="8" t="s">
        <v>309</v>
      </c>
      <c r="H295" s="114" t="s">
        <v>657</v>
      </c>
      <c r="I295" s="5"/>
      <c r="J295" s="5"/>
      <c r="K295" s="5">
        <f>'4.1.1'!Z8</f>
        <v>0</v>
      </c>
      <c r="L295" s="30">
        <f>'4.1.1'!AA7</f>
        <v>0</v>
      </c>
      <c r="M295" s="30">
        <f>'4.1.1'!AB7</f>
        <v>0</v>
      </c>
      <c r="N295" s="25">
        <f>'4.1.1'!Z7</f>
        <v>0</v>
      </c>
      <c r="O295" s="874"/>
      <c r="P295" s="874"/>
    </row>
    <row r="296" spans="1:16" ht="25.5" hidden="1" x14ac:dyDescent="0.25">
      <c r="A296" s="2">
        <v>4</v>
      </c>
      <c r="B296" s="3" t="s">
        <v>46</v>
      </c>
      <c r="C296" s="3" t="s">
        <v>541</v>
      </c>
      <c r="D296" s="127" t="s">
        <v>46</v>
      </c>
      <c r="E296" s="127" t="s">
        <v>564</v>
      </c>
      <c r="F296" s="3" t="s">
        <v>400</v>
      </c>
      <c r="G296" s="8" t="s">
        <v>150</v>
      </c>
      <c r="H296" s="114" t="s">
        <v>515</v>
      </c>
      <c r="I296" s="5"/>
      <c r="J296" s="5"/>
      <c r="K296" s="5">
        <f>'4.1.1'!AC8</f>
        <v>1</v>
      </c>
      <c r="L296" s="30">
        <f>'4.1.1'!AD7</f>
        <v>0</v>
      </c>
      <c r="M296" s="30">
        <f>'4.1.1'!AE7</f>
        <v>0.33318119580100408</v>
      </c>
      <c r="N296" s="25">
        <f>'4.1.1'!AC7</f>
        <v>2</v>
      </c>
      <c r="O296" s="879" t="s">
        <v>2103</v>
      </c>
      <c r="P296" s="879" t="s">
        <v>2104</v>
      </c>
    </row>
    <row r="297" spans="1:16" ht="25.5" hidden="1" x14ac:dyDescent="0.25">
      <c r="A297" s="2">
        <v>4</v>
      </c>
      <c r="B297" s="3" t="s">
        <v>46</v>
      </c>
      <c r="C297" s="3" t="s">
        <v>541</v>
      </c>
      <c r="D297" s="127" t="s">
        <v>46</v>
      </c>
      <c r="E297" s="127" t="s">
        <v>564</v>
      </c>
      <c r="F297" s="3" t="s">
        <v>401</v>
      </c>
      <c r="G297" s="8" t="s">
        <v>144</v>
      </c>
      <c r="H297" s="9" t="s">
        <v>491</v>
      </c>
      <c r="I297" s="5"/>
      <c r="J297" s="5"/>
      <c r="K297" s="5">
        <f>'4.1.1'!AF8</f>
        <v>1</v>
      </c>
      <c r="L297" s="30">
        <f>'4.1.1'!AG7</f>
        <v>0</v>
      </c>
      <c r="M297" s="30">
        <f>'4.1.1'!AH7</f>
        <v>3.3318119580100412</v>
      </c>
      <c r="N297" s="25">
        <f>'4.1.1'!AF7</f>
        <v>20</v>
      </c>
      <c r="O297" s="329" t="s">
        <v>2110</v>
      </c>
      <c r="P297" s="527" t="s">
        <v>2111</v>
      </c>
    </row>
    <row r="298" spans="1:16" ht="25.5" hidden="1" x14ac:dyDescent="0.25">
      <c r="A298" s="2">
        <v>4</v>
      </c>
      <c r="B298" s="3" t="s">
        <v>46</v>
      </c>
      <c r="C298" s="3" t="s">
        <v>541</v>
      </c>
      <c r="D298" s="127" t="s">
        <v>46</v>
      </c>
      <c r="E298" s="127" t="s">
        <v>564</v>
      </c>
      <c r="F298" s="3" t="s">
        <v>402</v>
      </c>
      <c r="G298" s="8" t="s">
        <v>152</v>
      </c>
      <c r="H298" s="114" t="s">
        <v>516</v>
      </c>
      <c r="I298" s="5"/>
      <c r="J298" s="5"/>
      <c r="K298" s="5">
        <f>'4.1.1'!AI8</f>
        <v>1</v>
      </c>
      <c r="L298" s="30">
        <f>'4.1.1'!AJ7</f>
        <v>0</v>
      </c>
      <c r="M298" s="30">
        <f>'4.1.1'!AK7</f>
        <v>2.8320401643085349</v>
      </c>
      <c r="N298" s="25">
        <f>'4.1.1'!AI7</f>
        <v>17</v>
      </c>
      <c r="O298" s="877" t="s">
        <v>2107</v>
      </c>
      <c r="P298" s="877" t="s">
        <v>2108</v>
      </c>
    </row>
    <row r="299" spans="1:16" hidden="1" x14ac:dyDescent="0.25">
      <c r="A299" s="2">
        <v>4</v>
      </c>
      <c r="B299" s="3" t="s">
        <v>46</v>
      </c>
      <c r="C299" s="3" t="s">
        <v>541</v>
      </c>
      <c r="D299" s="127" t="s">
        <v>46</v>
      </c>
      <c r="E299" s="127" t="s">
        <v>579</v>
      </c>
      <c r="F299" s="3" t="s">
        <v>388</v>
      </c>
      <c r="G299" s="8" t="s">
        <v>389</v>
      </c>
      <c r="H299" s="114" t="s">
        <v>491</v>
      </c>
      <c r="I299" s="5"/>
      <c r="J299" s="5"/>
      <c r="K299" s="5">
        <f>'4.1.1'!AL8</f>
        <v>0</v>
      </c>
      <c r="L299" s="30">
        <f>'4.1.1'!AM7</f>
        <v>0</v>
      </c>
      <c r="M299" s="30">
        <f>'4.1.1'!AN7</f>
        <v>0</v>
      </c>
      <c r="N299" s="25">
        <f>'4.1.1'!AL7</f>
        <v>0</v>
      </c>
      <c r="O299" s="874"/>
      <c r="P299" s="874"/>
    </row>
    <row r="300" spans="1:16" hidden="1" x14ac:dyDescent="0.25">
      <c r="A300" s="2">
        <v>4</v>
      </c>
      <c r="B300" s="3" t="s">
        <v>46</v>
      </c>
      <c r="C300" s="3" t="s">
        <v>541</v>
      </c>
      <c r="D300" s="127" t="s">
        <v>46</v>
      </c>
      <c r="E300" s="127" t="s">
        <v>579</v>
      </c>
      <c r="F300" s="3" t="s">
        <v>390</v>
      </c>
      <c r="G300" s="8" t="s">
        <v>391</v>
      </c>
      <c r="H300" s="114" t="s">
        <v>521</v>
      </c>
      <c r="I300" s="5"/>
      <c r="J300" s="5"/>
      <c r="K300" s="5">
        <f>'4.1.1'!AO8</f>
        <v>0</v>
      </c>
      <c r="L300" s="30">
        <f>'4.1.1'!AP7</f>
        <v>0</v>
      </c>
      <c r="M300" s="30">
        <f>'4.1.1'!AQ7</f>
        <v>0</v>
      </c>
      <c r="N300" s="25">
        <f>'4.1.1'!AO7</f>
        <v>0</v>
      </c>
      <c r="O300" s="874"/>
      <c r="P300" s="874"/>
    </row>
    <row r="301" spans="1:16" hidden="1" x14ac:dyDescent="0.25">
      <c r="A301" s="2">
        <v>4</v>
      </c>
      <c r="B301" s="3" t="s">
        <v>46</v>
      </c>
      <c r="C301" s="3" t="s">
        <v>541</v>
      </c>
      <c r="D301" s="127" t="s">
        <v>46</v>
      </c>
      <c r="E301" s="127" t="s">
        <v>579</v>
      </c>
      <c r="F301" s="3" t="s">
        <v>392</v>
      </c>
      <c r="G301" s="8" t="s">
        <v>393</v>
      </c>
      <c r="H301" s="114" t="s">
        <v>521</v>
      </c>
      <c r="I301" s="5"/>
      <c r="J301" s="5"/>
      <c r="K301" s="5">
        <f>'4.1.1'!AR8</f>
        <v>0</v>
      </c>
      <c r="L301" s="30">
        <f>'4.1.1'!AS7</f>
        <v>0</v>
      </c>
      <c r="M301" s="30">
        <f>'4.1.1'!AT7</f>
        <v>0</v>
      </c>
      <c r="N301" s="25">
        <f>'4.1.1'!AR7</f>
        <v>0</v>
      </c>
      <c r="O301" s="874"/>
      <c r="P301" s="874"/>
    </row>
    <row r="302" spans="1:16" hidden="1" x14ac:dyDescent="0.25">
      <c r="A302" s="2">
        <v>4</v>
      </c>
      <c r="B302" s="3" t="s">
        <v>46</v>
      </c>
      <c r="C302" s="3" t="s">
        <v>541</v>
      </c>
      <c r="D302" s="127" t="s">
        <v>46</v>
      </c>
      <c r="E302" s="127" t="s">
        <v>579</v>
      </c>
      <c r="F302" s="3" t="s">
        <v>394</v>
      </c>
      <c r="G302" s="8" t="s">
        <v>395</v>
      </c>
      <c r="H302" s="114" t="s">
        <v>521</v>
      </c>
      <c r="I302" s="5"/>
      <c r="J302" s="5"/>
      <c r="K302" s="5">
        <f>'4.1.1'!AU8</f>
        <v>0</v>
      </c>
      <c r="L302" s="30">
        <f>'4.1.1'!AV7</f>
        <v>0</v>
      </c>
      <c r="M302" s="30">
        <f>'4.1.1'!AW7</f>
        <v>0</v>
      </c>
      <c r="N302" s="25">
        <f>'4.1.1'!AU7</f>
        <v>0</v>
      </c>
      <c r="O302" s="874"/>
      <c r="P302" s="874"/>
    </row>
    <row r="303" spans="1:16" ht="25.5" hidden="1" x14ac:dyDescent="0.25">
      <c r="A303" s="2">
        <v>4</v>
      </c>
      <c r="B303" s="3" t="s">
        <v>46</v>
      </c>
      <c r="C303" s="3" t="s">
        <v>541</v>
      </c>
      <c r="D303" s="127" t="s">
        <v>46</v>
      </c>
      <c r="E303" s="127" t="s">
        <v>579</v>
      </c>
      <c r="F303" s="3" t="s">
        <v>396</v>
      </c>
      <c r="G303" s="8" t="s">
        <v>146</v>
      </c>
      <c r="H303" s="114" t="s">
        <v>1105</v>
      </c>
      <c r="I303" s="5"/>
      <c r="J303" s="5"/>
      <c r="K303" s="5">
        <f>'4.1.1'!AX8</f>
        <v>1</v>
      </c>
      <c r="L303" s="29">
        <f>'4.1.1'!AY7</f>
        <v>0</v>
      </c>
      <c r="M303" s="29">
        <f>'4.1.1'!AZ7</f>
        <v>1517.5570515746235</v>
      </c>
      <c r="N303" s="24">
        <f>'4.1.1'!AX7</f>
        <v>9109.5</v>
      </c>
      <c r="O303" s="877" t="s">
        <v>2193</v>
      </c>
      <c r="P303" s="877" t="s">
        <v>2112</v>
      </c>
    </row>
    <row r="304" spans="1:16" hidden="1" x14ac:dyDescent="0.25">
      <c r="A304" s="2">
        <v>4</v>
      </c>
      <c r="B304" s="3" t="s">
        <v>46</v>
      </c>
      <c r="C304" s="3" t="s">
        <v>541</v>
      </c>
      <c r="D304" s="127" t="s">
        <v>46</v>
      </c>
      <c r="E304" s="127" t="s">
        <v>579</v>
      </c>
      <c r="F304" s="3" t="s">
        <v>398</v>
      </c>
      <c r="G304" s="8" t="s">
        <v>399</v>
      </c>
      <c r="H304" s="114" t="s">
        <v>1106</v>
      </c>
      <c r="I304" s="5"/>
      <c r="J304" s="5"/>
      <c r="K304" s="5">
        <f>'4.1.1'!BA8</f>
        <v>1</v>
      </c>
      <c r="L304" s="30">
        <f>'4.1.1'!BB7</f>
        <v>0</v>
      </c>
      <c r="M304" s="30">
        <f>'4.1.1'!BC7</f>
        <v>0.16659059790050204</v>
      </c>
      <c r="N304" s="25">
        <f>'4.1.1'!BA7</f>
        <v>1</v>
      </c>
      <c r="O304" s="877" t="s">
        <v>141</v>
      </c>
      <c r="P304" s="878" t="s">
        <v>399</v>
      </c>
    </row>
    <row r="305" spans="1:16" ht="25.5" hidden="1" x14ac:dyDescent="0.25">
      <c r="A305" s="2">
        <v>4</v>
      </c>
      <c r="B305" s="3" t="s">
        <v>46</v>
      </c>
      <c r="C305" s="3" t="s">
        <v>541</v>
      </c>
      <c r="D305" s="127" t="s">
        <v>46</v>
      </c>
      <c r="E305" s="127" t="s">
        <v>579</v>
      </c>
      <c r="F305" s="3" t="s">
        <v>400</v>
      </c>
      <c r="G305" s="8" t="s">
        <v>150</v>
      </c>
      <c r="H305" s="114" t="s">
        <v>515</v>
      </c>
      <c r="I305" s="5"/>
      <c r="J305" s="5"/>
      <c r="K305" s="5">
        <f>'4.1.1'!BD8</f>
        <v>1</v>
      </c>
      <c r="L305" s="30">
        <f>'4.1.1'!BE7</f>
        <v>0</v>
      </c>
      <c r="M305" s="30">
        <f>'4.1.1'!BF7</f>
        <v>0.33318119580100408</v>
      </c>
      <c r="N305" s="25">
        <f>'4.1.1'!BD7</f>
        <v>2</v>
      </c>
      <c r="O305" s="879" t="s">
        <v>2103</v>
      </c>
      <c r="P305" s="879" t="s">
        <v>2104</v>
      </c>
    </row>
    <row r="306" spans="1:16" ht="25.5" hidden="1" x14ac:dyDescent="0.25">
      <c r="A306" s="2">
        <v>4</v>
      </c>
      <c r="B306" s="3" t="s">
        <v>46</v>
      </c>
      <c r="C306" s="3" t="s">
        <v>541</v>
      </c>
      <c r="D306" s="127" t="s">
        <v>46</v>
      </c>
      <c r="E306" s="127" t="s">
        <v>579</v>
      </c>
      <c r="F306" s="3" t="s">
        <v>401</v>
      </c>
      <c r="G306" s="8" t="s">
        <v>144</v>
      </c>
      <c r="H306" s="114" t="s">
        <v>491</v>
      </c>
      <c r="I306" s="5"/>
      <c r="J306" s="5"/>
      <c r="K306" s="5">
        <f>'4.1.1'!BG8</f>
        <v>1</v>
      </c>
      <c r="L306" s="30">
        <f>'4.1.1'!BH7</f>
        <v>0</v>
      </c>
      <c r="M306" s="30">
        <f>'4.1.1'!BI7</f>
        <v>3.3318119580100412</v>
      </c>
      <c r="N306" s="25">
        <f>'4.1.1'!BG7</f>
        <v>20</v>
      </c>
      <c r="O306" s="329" t="s">
        <v>2110</v>
      </c>
      <c r="P306" s="527" t="s">
        <v>2111</v>
      </c>
    </row>
    <row r="307" spans="1:16" ht="25.5" hidden="1" x14ac:dyDescent="0.25">
      <c r="A307" s="2">
        <v>4</v>
      </c>
      <c r="B307" s="3" t="s">
        <v>46</v>
      </c>
      <c r="C307" s="3" t="s">
        <v>541</v>
      </c>
      <c r="D307" s="127" t="s">
        <v>46</v>
      </c>
      <c r="E307" s="127" t="s">
        <v>579</v>
      </c>
      <c r="F307" s="3" t="s">
        <v>402</v>
      </c>
      <c r="G307" s="8" t="s">
        <v>152</v>
      </c>
      <c r="H307" s="114" t="s">
        <v>516</v>
      </c>
      <c r="I307" s="5"/>
      <c r="J307" s="5"/>
      <c r="K307" s="5">
        <f>'4.1.1'!BJ8</f>
        <v>1</v>
      </c>
      <c r="L307" s="30">
        <f>'4.1.1'!BK7</f>
        <v>0</v>
      </c>
      <c r="M307" s="30">
        <f>'4.1.1'!BL7</f>
        <v>2.9986307622090371</v>
      </c>
      <c r="N307" s="25">
        <f>'4.1.1'!BJ7</f>
        <v>18</v>
      </c>
      <c r="O307" s="877" t="s">
        <v>2107</v>
      </c>
      <c r="P307" s="877" t="s">
        <v>2108</v>
      </c>
    </row>
    <row r="308" spans="1:16" ht="25.5" hidden="1" x14ac:dyDescent="0.25">
      <c r="A308" s="2">
        <v>4</v>
      </c>
      <c r="B308" s="3" t="s">
        <v>46</v>
      </c>
      <c r="C308" s="3" t="s">
        <v>541</v>
      </c>
      <c r="D308" s="127" t="s">
        <v>46</v>
      </c>
      <c r="E308" s="127" t="s">
        <v>580</v>
      </c>
      <c r="F308" s="3" t="s">
        <v>396</v>
      </c>
      <c r="G308" s="8" t="s">
        <v>146</v>
      </c>
      <c r="H308" s="114" t="s">
        <v>1105</v>
      </c>
      <c r="I308" s="5"/>
      <c r="J308" s="5"/>
      <c r="K308" s="5">
        <f>'4.1.1'!BM8</f>
        <v>1</v>
      </c>
      <c r="L308" s="31">
        <f>'4.1.1'!BN7</f>
        <v>23712.209200000001</v>
      </c>
      <c r="M308" s="31">
        <f>'4.1.1'!BO7</f>
        <v>23712.209200000001</v>
      </c>
      <c r="N308" s="24">
        <f>'4.1.1'!BM7</f>
        <v>13590.02</v>
      </c>
      <c r="O308" s="877" t="s">
        <v>2193</v>
      </c>
      <c r="P308" s="877" t="s">
        <v>2112</v>
      </c>
    </row>
    <row r="309" spans="1:16" ht="25.5" hidden="1" x14ac:dyDescent="0.25">
      <c r="A309" s="2">
        <v>4</v>
      </c>
      <c r="B309" s="3" t="s">
        <v>46</v>
      </c>
      <c r="C309" s="3" t="s">
        <v>541</v>
      </c>
      <c r="D309" s="127" t="s">
        <v>46</v>
      </c>
      <c r="E309" s="127" t="s">
        <v>580</v>
      </c>
      <c r="F309" s="3" t="s">
        <v>397</v>
      </c>
      <c r="G309" s="8" t="s">
        <v>148</v>
      </c>
      <c r="H309" s="9" t="s">
        <v>464</v>
      </c>
      <c r="I309" s="5"/>
      <c r="J309" s="5"/>
      <c r="K309" s="5">
        <f>'4.1.1'!BP8</f>
        <v>1</v>
      </c>
      <c r="L309" s="30">
        <f>'4.1.1'!BQ7</f>
        <v>10572</v>
      </c>
      <c r="M309" s="30">
        <f>'4.1.1'!BR7</f>
        <v>13500</v>
      </c>
      <c r="N309" s="25">
        <f>'4.1.1'!BP7</f>
        <v>13500</v>
      </c>
      <c r="O309" s="877" t="s">
        <v>2101</v>
      </c>
      <c r="P309" s="877" t="s">
        <v>2102</v>
      </c>
    </row>
    <row r="310" spans="1:16" ht="25.5" hidden="1" x14ac:dyDescent="0.25">
      <c r="A310" s="2">
        <v>4</v>
      </c>
      <c r="B310" s="3" t="s">
        <v>46</v>
      </c>
      <c r="C310" s="3" t="s">
        <v>541</v>
      </c>
      <c r="D310" s="127" t="s">
        <v>46</v>
      </c>
      <c r="E310" s="127" t="s">
        <v>580</v>
      </c>
      <c r="F310" s="3" t="s">
        <v>400</v>
      </c>
      <c r="G310" s="8" t="s">
        <v>150</v>
      </c>
      <c r="H310" s="114" t="s">
        <v>515</v>
      </c>
      <c r="I310" s="5"/>
      <c r="J310" s="5"/>
      <c r="K310" s="5">
        <f>'4.1.1'!BS8</f>
        <v>1</v>
      </c>
      <c r="L310" s="32">
        <f>'4.1.1'!BT7</f>
        <v>6.5781999999999998</v>
      </c>
      <c r="M310" s="32">
        <f>'4.1.1'!BU7</f>
        <v>17</v>
      </c>
      <c r="N310" s="25">
        <f>'4.1.1'!BS7</f>
        <v>17</v>
      </c>
      <c r="O310" s="879" t="s">
        <v>2103</v>
      </c>
      <c r="P310" s="879" t="s">
        <v>2104</v>
      </c>
    </row>
    <row r="311" spans="1:16" ht="25.5" hidden="1" x14ac:dyDescent="0.25">
      <c r="A311" s="2">
        <v>4</v>
      </c>
      <c r="B311" s="3" t="s">
        <v>46</v>
      </c>
      <c r="C311" s="3" t="s">
        <v>541</v>
      </c>
      <c r="D311" s="127" t="s">
        <v>46</v>
      </c>
      <c r="E311" s="127" t="s">
        <v>580</v>
      </c>
      <c r="F311" s="3" t="s">
        <v>401</v>
      </c>
      <c r="G311" s="8" t="s">
        <v>144</v>
      </c>
      <c r="H311" s="114" t="s">
        <v>491</v>
      </c>
      <c r="I311" s="5"/>
      <c r="J311" s="5"/>
      <c r="K311" s="5">
        <f>'4.1.1'!BV8</f>
        <v>1</v>
      </c>
      <c r="L311" s="32">
        <f>'4.1.1'!BW7</f>
        <v>74.993200000000002</v>
      </c>
      <c r="M311" s="32">
        <f>'4.1.1'!BX7</f>
        <v>74.993200000000002</v>
      </c>
      <c r="N311" s="25">
        <f>'4.1.1'!BV7</f>
        <v>50</v>
      </c>
      <c r="O311" s="329" t="s">
        <v>2110</v>
      </c>
      <c r="P311" s="527" t="s">
        <v>2111</v>
      </c>
    </row>
    <row r="312" spans="1:16" ht="25.5" hidden="1" x14ac:dyDescent="0.25">
      <c r="A312" s="2">
        <v>4</v>
      </c>
      <c r="B312" s="3" t="s">
        <v>46</v>
      </c>
      <c r="C312" s="3" t="s">
        <v>541</v>
      </c>
      <c r="D312" s="127" t="s">
        <v>46</v>
      </c>
      <c r="E312" s="127" t="s">
        <v>580</v>
      </c>
      <c r="F312" s="3" t="s">
        <v>402</v>
      </c>
      <c r="G312" s="8" t="s">
        <v>152</v>
      </c>
      <c r="H312" s="114" t="s">
        <v>516</v>
      </c>
      <c r="I312" s="5"/>
      <c r="J312" s="5"/>
      <c r="K312" s="5">
        <f>'4.1.1'!BY8</f>
        <v>1</v>
      </c>
      <c r="L312" s="32">
        <f>'4.1.1'!BZ7</f>
        <v>68.414900000000003</v>
      </c>
      <c r="M312" s="32">
        <f>'4.1.1'!CA7</f>
        <v>68.414900000000003</v>
      </c>
      <c r="N312" s="25">
        <f>'4.1.1'!BY7</f>
        <v>33</v>
      </c>
      <c r="O312" s="877" t="s">
        <v>2107</v>
      </c>
      <c r="P312" s="877" t="s">
        <v>2108</v>
      </c>
    </row>
    <row r="313" spans="1:16" ht="25.5" hidden="1" x14ac:dyDescent="0.25">
      <c r="A313" s="2">
        <v>4</v>
      </c>
      <c r="B313" s="3" t="s">
        <v>56</v>
      </c>
      <c r="C313" s="3" t="s">
        <v>541</v>
      </c>
      <c r="D313" s="127" t="s">
        <v>56</v>
      </c>
      <c r="E313" s="127" t="s">
        <v>581</v>
      </c>
      <c r="F313" s="3" t="s">
        <v>396</v>
      </c>
      <c r="G313" s="8" t="s">
        <v>146</v>
      </c>
      <c r="H313" s="114" t="s">
        <v>1105</v>
      </c>
      <c r="I313" s="5"/>
      <c r="J313" s="5"/>
      <c r="K313" s="5">
        <f>'4.1.2'!H7</f>
        <v>1</v>
      </c>
      <c r="L313" s="32">
        <f>'4.1.2'!I6</f>
        <v>993.41150000000005</v>
      </c>
      <c r="M313" s="32">
        <f>'4.1.2'!J6</f>
        <v>1448.3</v>
      </c>
      <c r="N313" s="24">
        <f>'4.1.2'!H6</f>
        <v>1448.3</v>
      </c>
      <c r="O313" s="877" t="s">
        <v>2118</v>
      </c>
      <c r="P313" s="877" t="s">
        <v>2119</v>
      </c>
    </row>
    <row r="314" spans="1:16" ht="25.5" hidden="1" x14ac:dyDescent="0.25">
      <c r="A314" s="2">
        <v>4</v>
      </c>
      <c r="B314" s="3" t="s">
        <v>56</v>
      </c>
      <c r="C314" s="3" t="s">
        <v>541</v>
      </c>
      <c r="D314" s="127" t="s">
        <v>56</v>
      </c>
      <c r="E314" s="127" t="s">
        <v>581</v>
      </c>
      <c r="F314" s="3" t="s">
        <v>397</v>
      </c>
      <c r="G314" s="8" t="s">
        <v>148</v>
      </c>
      <c r="H314" s="9" t="s">
        <v>464</v>
      </c>
      <c r="I314" s="5"/>
      <c r="J314" s="5"/>
      <c r="K314" s="5">
        <f>'4.1.2'!K7</f>
        <v>1</v>
      </c>
      <c r="L314" s="30">
        <f>'4.1.2'!L6</f>
        <v>719</v>
      </c>
      <c r="M314" s="30">
        <f>'4.1.2'!M6</f>
        <v>800</v>
      </c>
      <c r="N314" s="25">
        <f>'4.1.2'!K6</f>
        <v>800</v>
      </c>
      <c r="O314" s="877" t="s">
        <v>2120</v>
      </c>
      <c r="P314" s="877" t="s">
        <v>2121</v>
      </c>
    </row>
    <row r="315" spans="1:16" ht="25.5" hidden="1" x14ac:dyDescent="0.25">
      <c r="A315" s="2">
        <v>4</v>
      </c>
      <c r="B315" s="3" t="s">
        <v>56</v>
      </c>
      <c r="C315" s="3" t="s">
        <v>541</v>
      </c>
      <c r="D315" s="127" t="s">
        <v>56</v>
      </c>
      <c r="E315" s="127" t="s">
        <v>581</v>
      </c>
      <c r="F315" s="3" t="s">
        <v>400</v>
      </c>
      <c r="G315" s="8" t="s">
        <v>150</v>
      </c>
      <c r="H315" s="114" t="s">
        <v>515</v>
      </c>
      <c r="I315" s="5"/>
      <c r="J315" s="5"/>
      <c r="K315" s="5">
        <f>'4.1.2'!N7</f>
        <v>1</v>
      </c>
      <c r="L315" s="32">
        <f>'4.1.2'!O6</f>
        <v>0.45590000000000003</v>
      </c>
      <c r="M315" s="32">
        <f>'4.1.2'!P6</f>
        <v>2</v>
      </c>
      <c r="N315" s="25">
        <f>'4.1.2'!N6</f>
        <v>2</v>
      </c>
      <c r="O315" s="877" t="s">
        <v>2122</v>
      </c>
      <c r="P315" s="877" t="s">
        <v>2123</v>
      </c>
    </row>
    <row r="316" spans="1:16" ht="25.5" hidden="1" x14ac:dyDescent="0.25">
      <c r="A316" s="2">
        <v>4</v>
      </c>
      <c r="B316" s="3" t="s">
        <v>56</v>
      </c>
      <c r="C316" s="3" t="s">
        <v>541</v>
      </c>
      <c r="D316" s="127" t="s">
        <v>56</v>
      </c>
      <c r="E316" s="127" t="s">
        <v>581</v>
      </c>
      <c r="F316" s="3" t="s">
        <v>401</v>
      </c>
      <c r="G316" s="8" t="s">
        <v>144</v>
      </c>
      <c r="H316" s="114" t="s">
        <v>491</v>
      </c>
      <c r="I316" s="5"/>
      <c r="J316" s="5"/>
      <c r="K316" s="5">
        <f>'4.1.2'!Q7</f>
        <v>1</v>
      </c>
      <c r="L316" s="32">
        <f>'4.1.2'!R6</f>
        <v>3.7764000000000002</v>
      </c>
      <c r="M316" s="32">
        <f>'4.1.2'!S6</f>
        <v>5</v>
      </c>
      <c r="N316" s="25">
        <f>'4.1.2'!Q6</f>
        <v>5</v>
      </c>
      <c r="O316" s="329" t="s">
        <v>2117</v>
      </c>
      <c r="P316" s="329" t="s">
        <v>144</v>
      </c>
    </row>
    <row r="317" spans="1:16" ht="25.5" hidden="1" x14ac:dyDescent="0.25">
      <c r="A317" s="2">
        <v>4</v>
      </c>
      <c r="B317" s="3" t="s">
        <v>56</v>
      </c>
      <c r="C317" s="3" t="s">
        <v>541</v>
      </c>
      <c r="D317" s="127" t="s">
        <v>56</v>
      </c>
      <c r="E317" s="127" t="s">
        <v>581</v>
      </c>
      <c r="F317" s="3" t="s">
        <v>402</v>
      </c>
      <c r="G317" s="8" t="s">
        <v>152</v>
      </c>
      <c r="H317" s="114" t="s">
        <v>516</v>
      </c>
      <c r="I317" s="5"/>
      <c r="J317" s="5"/>
      <c r="K317" s="5">
        <f>'4.1.2'!T7</f>
        <v>1</v>
      </c>
      <c r="L317" s="32">
        <f>'4.1.2'!U6</f>
        <v>3.3205</v>
      </c>
      <c r="M317" s="32">
        <f>'4.1.2'!V6</f>
        <v>3.3205</v>
      </c>
      <c r="N317" s="25">
        <f>'4.1.2'!T6</f>
        <v>3</v>
      </c>
      <c r="O317" s="877" t="s">
        <v>2125</v>
      </c>
      <c r="P317" s="877" t="s">
        <v>2126</v>
      </c>
    </row>
    <row r="318" spans="1:16" hidden="1" x14ac:dyDescent="0.25">
      <c r="A318" s="2">
        <v>4</v>
      </c>
      <c r="B318" s="3" t="s">
        <v>57</v>
      </c>
      <c r="C318" s="3" t="s">
        <v>541</v>
      </c>
      <c r="D318" s="127" t="s">
        <v>57</v>
      </c>
      <c r="E318" s="127" t="s">
        <v>585</v>
      </c>
      <c r="F318" s="3" t="s">
        <v>403</v>
      </c>
      <c r="G318" s="8" t="s">
        <v>156</v>
      </c>
      <c r="H318" s="9" t="s">
        <v>464</v>
      </c>
      <c r="I318" s="5"/>
      <c r="J318" s="5"/>
      <c r="K318" s="5">
        <f>'4.2.1'!H7</f>
        <v>0</v>
      </c>
      <c r="L318" s="30">
        <f>'4.2.1'!I6</f>
        <v>0</v>
      </c>
      <c r="M318" s="30">
        <f>'4.2.1'!J6</f>
        <v>0</v>
      </c>
      <c r="N318" s="25">
        <f>'4.2.1'!H6</f>
        <v>0</v>
      </c>
      <c r="O318" s="875" t="s">
        <v>155</v>
      </c>
      <c r="P318" s="875" t="s">
        <v>156</v>
      </c>
    </row>
    <row r="319" spans="1:16" hidden="1" x14ac:dyDescent="0.25">
      <c r="A319" s="2">
        <v>4</v>
      </c>
      <c r="B319" s="3" t="s">
        <v>57</v>
      </c>
      <c r="C319" s="3" t="s">
        <v>541</v>
      </c>
      <c r="D319" s="127" t="s">
        <v>57</v>
      </c>
      <c r="E319" s="127" t="s">
        <v>578</v>
      </c>
      <c r="F319" s="3" t="s">
        <v>390</v>
      </c>
      <c r="G319" s="8" t="s">
        <v>391</v>
      </c>
      <c r="H319" s="114" t="s">
        <v>521</v>
      </c>
      <c r="I319" s="5"/>
      <c r="J319" s="5"/>
      <c r="K319" s="5">
        <f>'4.2.1'!K7</f>
        <v>0</v>
      </c>
      <c r="L319" s="30">
        <f>'4.2.1'!L6</f>
        <v>0</v>
      </c>
      <c r="M319" s="30">
        <f>'4.2.1'!M6</f>
        <v>0</v>
      </c>
      <c r="N319" s="25">
        <f>'4.2.1'!K6</f>
        <v>0</v>
      </c>
      <c r="O319" s="874"/>
      <c r="P319" s="874"/>
    </row>
    <row r="320" spans="1:16" hidden="1" x14ac:dyDescent="0.25">
      <c r="A320" s="2">
        <v>4</v>
      </c>
      <c r="B320" s="3" t="s">
        <v>57</v>
      </c>
      <c r="C320" s="3" t="s">
        <v>541</v>
      </c>
      <c r="D320" s="127" t="s">
        <v>57</v>
      </c>
      <c r="E320" s="127" t="s">
        <v>578</v>
      </c>
      <c r="F320" s="3" t="s">
        <v>392</v>
      </c>
      <c r="G320" s="8" t="s">
        <v>393</v>
      </c>
      <c r="H320" s="114" t="s">
        <v>521</v>
      </c>
      <c r="I320" s="5"/>
      <c r="J320" s="5"/>
      <c r="K320" s="5">
        <f>'4.2.1'!N7</f>
        <v>0</v>
      </c>
      <c r="L320" s="30">
        <f>'4.2.1'!O6</f>
        <v>0</v>
      </c>
      <c r="M320" s="30">
        <f>'4.2.1'!P6</f>
        <v>0</v>
      </c>
      <c r="N320" s="25">
        <f>'4.2.1'!N6</f>
        <v>0</v>
      </c>
      <c r="O320" s="874"/>
      <c r="P320" s="874"/>
    </row>
    <row r="321" spans="1:16" ht="25.5" hidden="1" x14ac:dyDescent="0.25">
      <c r="A321" s="2">
        <v>4</v>
      </c>
      <c r="B321" s="3" t="s">
        <v>57</v>
      </c>
      <c r="C321" s="3" t="s">
        <v>541</v>
      </c>
      <c r="D321" s="127" t="s">
        <v>57</v>
      </c>
      <c r="E321" s="127" t="s">
        <v>578</v>
      </c>
      <c r="F321" s="3" t="s">
        <v>396</v>
      </c>
      <c r="G321" s="8" t="s">
        <v>146</v>
      </c>
      <c r="H321" s="114" t="s">
        <v>1105</v>
      </c>
      <c r="I321" s="5"/>
      <c r="J321" s="5"/>
      <c r="K321" s="5">
        <f>'4.2.1'!Q7</f>
        <v>1</v>
      </c>
      <c r="L321" s="30">
        <f>'4.2.1'!R6</f>
        <v>0</v>
      </c>
      <c r="M321" s="30">
        <f>'4.2.1'!S6</f>
        <v>3162.5559105431307</v>
      </c>
      <c r="N321" s="25">
        <f>'4.2.1'!Q6</f>
        <v>18984</v>
      </c>
      <c r="O321" s="875" t="s">
        <v>145</v>
      </c>
      <c r="P321" s="875" t="s">
        <v>146</v>
      </c>
    </row>
    <row r="322" spans="1:16" ht="25.5" hidden="1" x14ac:dyDescent="0.25">
      <c r="A322" s="2">
        <v>4</v>
      </c>
      <c r="B322" s="3" t="s">
        <v>57</v>
      </c>
      <c r="C322" s="3" t="s">
        <v>541</v>
      </c>
      <c r="D322" s="127" t="s">
        <v>57</v>
      </c>
      <c r="E322" s="127" t="s">
        <v>578</v>
      </c>
      <c r="F322" s="3" t="s">
        <v>404</v>
      </c>
      <c r="G322" s="8" t="s">
        <v>154</v>
      </c>
      <c r="H322" s="9" t="s">
        <v>464</v>
      </c>
      <c r="I322" s="5"/>
      <c r="J322" s="5"/>
      <c r="K322" s="5">
        <f>'4.2.1'!T7</f>
        <v>1</v>
      </c>
      <c r="L322" s="30">
        <f>'4.2.1'!U6</f>
        <v>0</v>
      </c>
      <c r="M322" s="30">
        <f>'4.2.1'!V6</f>
        <v>9.1624828845276127</v>
      </c>
      <c r="N322" s="25">
        <f>'4.2.1'!T6</f>
        <v>55</v>
      </c>
      <c r="O322" s="875" t="s">
        <v>153</v>
      </c>
      <c r="P322" s="875" t="s">
        <v>2131</v>
      </c>
    </row>
    <row r="323" spans="1:16" ht="24" hidden="1" customHeight="1" x14ac:dyDescent="0.25">
      <c r="A323" s="2">
        <v>4</v>
      </c>
      <c r="B323" s="3" t="s">
        <v>57</v>
      </c>
      <c r="C323" s="3" t="s">
        <v>541</v>
      </c>
      <c r="D323" s="127" t="s">
        <v>57</v>
      </c>
      <c r="E323" s="127" t="s">
        <v>578</v>
      </c>
      <c r="F323" s="3" t="s">
        <v>405</v>
      </c>
      <c r="G323" s="8" t="s">
        <v>160</v>
      </c>
      <c r="H323" s="9" t="s">
        <v>464</v>
      </c>
      <c r="I323" s="5"/>
      <c r="J323" s="5"/>
      <c r="K323" s="5">
        <f>'4.2.1'!W7</f>
        <v>1</v>
      </c>
      <c r="L323" s="30">
        <f>'4.2.1'!X6</f>
        <v>0</v>
      </c>
      <c r="M323" s="30">
        <f>'4.2.1'!Y6</f>
        <v>1.3327247832040163</v>
      </c>
      <c r="N323" s="25">
        <f>'4.2.1'!W6</f>
        <v>8</v>
      </c>
      <c r="O323" s="875" t="s">
        <v>159</v>
      </c>
      <c r="P323" s="875" t="s">
        <v>160</v>
      </c>
    </row>
    <row r="324" spans="1:16" hidden="1" x14ac:dyDescent="0.25">
      <c r="A324" s="2">
        <v>4</v>
      </c>
      <c r="B324" s="3" t="s">
        <v>57</v>
      </c>
      <c r="C324" s="3" t="s">
        <v>541</v>
      </c>
      <c r="D324" s="127" t="s">
        <v>57</v>
      </c>
      <c r="E324" s="127" t="s">
        <v>578</v>
      </c>
      <c r="F324" s="3" t="s">
        <v>398</v>
      </c>
      <c r="G324" s="8" t="s">
        <v>399</v>
      </c>
      <c r="H324" s="114" t="s">
        <v>1106</v>
      </c>
      <c r="I324" s="5"/>
      <c r="J324" s="5"/>
      <c r="K324" s="5">
        <f>'4.2.1'!Z7</f>
        <v>1</v>
      </c>
      <c r="L324" s="30">
        <f>'4.2.1'!AA6</f>
        <v>0</v>
      </c>
      <c r="M324" s="30">
        <f>'4.2.1'!AB6</f>
        <v>7.4965769055225921</v>
      </c>
      <c r="N324" s="25">
        <f>'4.2.1'!Z6</f>
        <v>45</v>
      </c>
      <c r="O324" s="875" t="s">
        <v>141</v>
      </c>
      <c r="P324" s="875" t="s">
        <v>399</v>
      </c>
    </row>
    <row r="325" spans="1:16" hidden="1" x14ac:dyDescent="0.25">
      <c r="A325" s="2">
        <v>4</v>
      </c>
      <c r="B325" s="3" t="s">
        <v>57</v>
      </c>
      <c r="C325" s="3" t="s">
        <v>541</v>
      </c>
      <c r="D325" s="127" t="s">
        <v>57</v>
      </c>
      <c r="E325" s="127" t="s">
        <v>578</v>
      </c>
      <c r="F325" s="3" t="s">
        <v>406</v>
      </c>
      <c r="G325" s="8" t="s">
        <v>407</v>
      </c>
      <c r="H325" s="9" t="s">
        <v>464</v>
      </c>
      <c r="I325" s="5"/>
      <c r="J325" s="5"/>
      <c r="K325" s="5">
        <f>'4.2.1'!AC7</f>
        <v>0</v>
      </c>
      <c r="L325" s="30">
        <f>'4.2.1'!AD6</f>
        <v>0</v>
      </c>
      <c r="M325" s="30">
        <f>'4.2.1'!AE6</f>
        <v>0</v>
      </c>
      <c r="N325" s="25">
        <f>'4.2.1'!AC6</f>
        <v>0</v>
      </c>
      <c r="O325" s="874"/>
      <c r="P325" s="874"/>
    </row>
    <row r="326" spans="1:16" hidden="1" x14ac:dyDescent="0.25">
      <c r="A326" s="2"/>
      <c r="B326" s="115"/>
      <c r="C326" s="115" t="s">
        <v>541</v>
      </c>
      <c r="D326" s="127" t="s">
        <v>57</v>
      </c>
      <c r="E326" s="127" t="s">
        <v>578</v>
      </c>
      <c r="F326" s="115" t="s">
        <v>408</v>
      </c>
      <c r="G326" s="8" t="s">
        <v>176</v>
      </c>
      <c r="H326" s="114" t="s">
        <v>464</v>
      </c>
      <c r="I326" s="5"/>
      <c r="J326" s="5"/>
      <c r="K326" s="5">
        <f>'4.2.1'!AF7</f>
        <v>0</v>
      </c>
      <c r="L326" s="30">
        <f>'4.2.1'!AG6</f>
        <v>0</v>
      </c>
      <c r="M326" s="30">
        <f>'4.2.1'!AH6</f>
        <v>0</v>
      </c>
      <c r="N326" s="25">
        <f>'4.2.1'!AF6</f>
        <v>0</v>
      </c>
      <c r="O326" s="874"/>
      <c r="P326" s="874"/>
    </row>
    <row r="327" spans="1:16" ht="25.5" hidden="1" x14ac:dyDescent="0.25">
      <c r="A327" s="2">
        <v>4</v>
      </c>
      <c r="B327" s="3" t="s">
        <v>57</v>
      </c>
      <c r="C327" s="3" t="s">
        <v>541</v>
      </c>
      <c r="D327" s="127" t="s">
        <v>57</v>
      </c>
      <c r="E327" s="127" t="s">
        <v>578</v>
      </c>
      <c r="F327" s="3" t="s">
        <v>443</v>
      </c>
      <c r="G327" s="8" t="s">
        <v>444</v>
      </c>
      <c r="H327" s="114" t="s">
        <v>464</v>
      </c>
      <c r="I327" s="5"/>
      <c r="J327" s="5"/>
      <c r="K327" s="5">
        <f>'4.2.1'!AI7</f>
        <v>0</v>
      </c>
      <c r="L327" s="30">
        <f>'4.2.1'!AJ6</f>
        <v>0</v>
      </c>
      <c r="M327" s="30">
        <f>'4.2.1'!AK6</f>
        <v>0</v>
      </c>
      <c r="N327" s="25">
        <f>'4.2.1'!AI6</f>
        <v>0</v>
      </c>
      <c r="O327" s="874"/>
      <c r="P327" s="874"/>
    </row>
    <row r="328" spans="1:16" hidden="1" x14ac:dyDescent="0.25">
      <c r="A328" s="2">
        <v>4</v>
      </c>
      <c r="B328" s="3" t="s">
        <v>57</v>
      </c>
      <c r="C328" s="3" t="s">
        <v>541</v>
      </c>
      <c r="D328" s="127" t="s">
        <v>57</v>
      </c>
      <c r="E328" s="127" t="s">
        <v>578</v>
      </c>
      <c r="F328" s="3" t="s">
        <v>409</v>
      </c>
      <c r="G328" s="8" t="s">
        <v>158</v>
      </c>
      <c r="H328" s="114" t="s">
        <v>464</v>
      </c>
      <c r="I328" s="5"/>
      <c r="J328" s="5"/>
      <c r="K328" s="5">
        <f>'4.2.1'!AL7</f>
        <v>1</v>
      </c>
      <c r="L328" s="30">
        <f>'4.2.1'!AM6</f>
        <v>0</v>
      </c>
      <c r="M328" s="30">
        <f>'4.2.1'!AN6</f>
        <v>0.66636239160200816</v>
      </c>
      <c r="N328" s="25">
        <f>'4.2.1'!AL6</f>
        <v>4</v>
      </c>
      <c r="O328" s="875" t="s">
        <v>157</v>
      </c>
      <c r="P328" s="875" t="s">
        <v>158</v>
      </c>
    </row>
    <row r="329" spans="1:16" ht="25.5" hidden="1" x14ac:dyDescent="0.25">
      <c r="A329" s="2">
        <v>4</v>
      </c>
      <c r="B329" s="3" t="s">
        <v>57</v>
      </c>
      <c r="C329" s="3" t="s">
        <v>541</v>
      </c>
      <c r="D329" s="127" t="s">
        <v>57</v>
      </c>
      <c r="E329" s="127" t="s">
        <v>578</v>
      </c>
      <c r="F329" s="3" t="s">
        <v>410</v>
      </c>
      <c r="G329" s="8" t="s">
        <v>411</v>
      </c>
      <c r="H329" s="114" t="s">
        <v>464</v>
      </c>
      <c r="I329" s="5"/>
      <c r="J329" s="5"/>
      <c r="K329" s="5">
        <f>'4.2.1'!AO7</f>
        <v>0</v>
      </c>
      <c r="L329" s="30">
        <f>'4.2.1'!AP6</f>
        <v>0</v>
      </c>
      <c r="M329" s="30">
        <f>'4.2.1'!AQ6</f>
        <v>0</v>
      </c>
      <c r="N329" s="25">
        <f>'4.2.1'!AO6</f>
        <v>0</v>
      </c>
      <c r="O329" s="874"/>
      <c r="P329" s="874"/>
    </row>
    <row r="330" spans="1:16" ht="25.5" hidden="1" x14ac:dyDescent="0.25">
      <c r="A330" s="2">
        <v>4</v>
      </c>
      <c r="B330" s="3" t="s">
        <v>57</v>
      </c>
      <c r="C330" s="3" t="s">
        <v>541</v>
      </c>
      <c r="D330" s="127" t="s">
        <v>57</v>
      </c>
      <c r="E330" s="127" t="s">
        <v>578</v>
      </c>
      <c r="F330" s="3" t="s">
        <v>412</v>
      </c>
      <c r="G330" s="8" t="s">
        <v>162</v>
      </c>
      <c r="H330" s="9" t="s">
        <v>521</v>
      </c>
      <c r="I330" s="5"/>
      <c r="J330" s="5"/>
      <c r="K330" s="5">
        <f>'4.2.1'!AR7</f>
        <v>1</v>
      </c>
      <c r="L330" s="30">
        <f>'4.2.1'!AS6</f>
        <v>0</v>
      </c>
      <c r="M330" s="30">
        <f>'4.2.1'!AT6</f>
        <v>8501.7845732542228</v>
      </c>
      <c r="N330" s="25">
        <f>'4.2.1'!AR6</f>
        <v>51034</v>
      </c>
      <c r="O330" s="875" t="s">
        <v>161</v>
      </c>
      <c r="P330" s="875" t="s">
        <v>162</v>
      </c>
    </row>
    <row r="331" spans="1:16" ht="25.5" hidden="1" x14ac:dyDescent="0.25">
      <c r="A331" s="2">
        <v>4</v>
      </c>
      <c r="B331" s="3" t="s">
        <v>57</v>
      </c>
      <c r="C331" s="3" t="s">
        <v>541</v>
      </c>
      <c r="D331" s="127" t="s">
        <v>57</v>
      </c>
      <c r="E331" s="127" t="s">
        <v>578</v>
      </c>
      <c r="F331" s="3" t="s">
        <v>413</v>
      </c>
      <c r="G331" s="8" t="s">
        <v>414</v>
      </c>
      <c r="H331" s="114" t="s">
        <v>521</v>
      </c>
      <c r="I331" s="5"/>
      <c r="J331" s="5"/>
      <c r="K331" s="5">
        <f>'4.2.1'!AU7</f>
        <v>0</v>
      </c>
      <c r="L331" s="30">
        <f>'4.2.1'!AV6</f>
        <v>0</v>
      </c>
      <c r="M331" s="30">
        <f>'4.2.1'!AW6</f>
        <v>0</v>
      </c>
      <c r="N331" s="25">
        <f>'4.2.1'!AU6</f>
        <v>0</v>
      </c>
      <c r="O331" s="874"/>
      <c r="P331" s="874"/>
    </row>
    <row r="332" spans="1:16" ht="25.5" hidden="1" x14ac:dyDescent="0.25">
      <c r="A332" s="2">
        <v>4</v>
      </c>
      <c r="B332" s="3" t="s">
        <v>57</v>
      </c>
      <c r="C332" s="3" t="s">
        <v>541</v>
      </c>
      <c r="D332" s="127" t="s">
        <v>57</v>
      </c>
      <c r="E332" s="127" t="s">
        <v>578</v>
      </c>
      <c r="F332" s="3" t="s">
        <v>415</v>
      </c>
      <c r="G332" s="8" t="s">
        <v>416</v>
      </c>
      <c r="H332" s="114" t="s">
        <v>521</v>
      </c>
      <c r="I332" s="5"/>
      <c r="J332" s="5"/>
      <c r="K332" s="5">
        <f>'4.2.1'!AX7</f>
        <v>0</v>
      </c>
      <c r="L332" s="30">
        <f>'4.2.1'!AY6</f>
        <v>0</v>
      </c>
      <c r="M332" s="30">
        <f>'4.2.1'!AZ6</f>
        <v>0</v>
      </c>
      <c r="N332" s="25">
        <f>'4.2.1'!AX6</f>
        <v>0</v>
      </c>
      <c r="O332" s="873"/>
      <c r="P332" s="873"/>
    </row>
    <row r="333" spans="1:16" hidden="1" x14ac:dyDescent="0.25">
      <c r="A333" s="2">
        <v>4</v>
      </c>
      <c r="B333" s="3" t="s">
        <v>57</v>
      </c>
      <c r="C333" s="3" t="s">
        <v>541</v>
      </c>
      <c r="D333" s="127" t="s">
        <v>57</v>
      </c>
      <c r="E333" s="127" t="s">
        <v>578</v>
      </c>
      <c r="F333" s="3" t="s">
        <v>417</v>
      </c>
      <c r="G333" s="8" t="s">
        <v>164</v>
      </c>
      <c r="H333" s="114" t="s">
        <v>521</v>
      </c>
      <c r="I333" s="5"/>
      <c r="J333" s="5"/>
      <c r="K333" s="5">
        <f>'4.2.1'!BA7</f>
        <v>1</v>
      </c>
      <c r="L333" s="30">
        <f>'4.2.1'!BB6</f>
        <v>0</v>
      </c>
      <c r="M333" s="30">
        <f>'4.2.1'!BC6</f>
        <v>8501.7845732542228</v>
      </c>
      <c r="N333" s="25">
        <f>'4.2.1'!BA6</f>
        <v>51034</v>
      </c>
      <c r="O333" s="875" t="s">
        <v>163</v>
      </c>
      <c r="P333" s="875" t="s">
        <v>2132</v>
      </c>
    </row>
    <row r="334" spans="1:16" ht="25.5" hidden="1" x14ac:dyDescent="0.25">
      <c r="A334" s="2">
        <v>4</v>
      </c>
      <c r="B334" s="3" t="s">
        <v>57</v>
      </c>
      <c r="C334" s="3" t="s">
        <v>541</v>
      </c>
      <c r="D334" s="127" t="s">
        <v>57</v>
      </c>
      <c r="E334" s="127" t="s">
        <v>578</v>
      </c>
      <c r="F334" s="3" t="s">
        <v>400</v>
      </c>
      <c r="G334" s="8" t="s">
        <v>150</v>
      </c>
      <c r="H334" s="114" t="s">
        <v>515</v>
      </c>
      <c r="I334" s="5"/>
      <c r="J334" s="5"/>
      <c r="K334" s="5">
        <f>'4.2.1'!BD7</f>
        <v>1</v>
      </c>
      <c r="L334" s="30">
        <f>'4.2.1'!BE6</f>
        <v>0</v>
      </c>
      <c r="M334" s="30">
        <f>'4.2.1'!BF6</f>
        <v>0.66636239160200816</v>
      </c>
      <c r="N334" s="25">
        <f>'4.2.1'!BD6</f>
        <v>4</v>
      </c>
      <c r="O334" s="875" t="s">
        <v>149</v>
      </c>
      <c r="P334" s="875" t="s">
        <v>150</v>
      </c>
    </row>
    <row r="335" spans="1:16" ht="25.5" hidden="1" x14ac:dyDescent="0.25">
      <c r="A335" s="2">
        <v>4</v>
      </c>
      <c r="B335" s="3" t="s">
        <v>57</v>
      </c>
      <c r="C335" s="3" t="s">
        <v>541</v>
      </c>
      <c r="D335" s="127" t="s">
        <v>57</v>
      </c>
      <c r="E335" s="127" t="s">
        <v>578</v>
      </c>
      <c r="F335" s="3" t="s">
        <v>401</v>
      </c>
      <c r="G335" s="8" t="s">
        <v>144</v>
      </c>
      <c r="H335" s="114" t="s">
        <v>491</v>
      </c>
      <c r="I335" s="5"/>
      <c r="J335" s="5"/>
      <c r="K335" s="5">
        <f>'4.2.1'!BG7</f>
        <v>1</v>
      </c>
      <c r="L335" s="30">
        <f>'4.2.1'!BH6</f>
        <v>0</v>
      </c>
      <c r="M335" s="30">
        <f>'4.2.1'!BI6</f>
        <v>1.6659059790050206</v>
      </c>
      <c r="N335" s="25">
        <f>'4.2.1'!BG6</f>
        <v>10</v>
      </c>
      <c r="O335" s="875" t="s">
        <v>143</v>
      </c>
      <c r="P335" s="875" t="s">
        <v>144</v>
      </c>
    </row>
    <row r="336" spans="1:16" hidden="1" x14ac:dyDescent="0.25">
      <c r="A336" s="2">
        <v>4</v>
      </c>
      <c r="B336" s="3" t="s">
        <v>57</v>
      </c>
      <c r="C336" s="3" t="s">
        <v>541</v>
      </c>
      <c r="D336" s="127" t="s">
        <v>57</v>
      </c>
      <c r="E336" s="127" t="s">
        <v>578</v>
      </c>
      <c r="F336" s="3" t="s">
        <v>402</v>
      </c>
      <c r="G336" s="8" t="s">
        <v>152</v>
      </c>
      <c r="H336" s="114" t="s">
        <v>516</v>
      </c>
      <c r="I336" s="5"/>
      <c r="J336" s="5"/>
      <c r="K336" s="5">
        <f>'4.2.1'!AJ7</f>
        <v>0</v>
      </c>
      <c r="L336" s="30">
        <f>'4.2.1'!AK6</f>
        <v>0</v>
      </c>
      <c r="M336" s="30">
        <f>'4.2.1'!AL6</f>
        <v>4</v>
      </c>
      <c r="N336" s="25">
        <f>'4.2.1'!AJ6</f>
        <v>0</v>
      </c>
      <c r="O336" s="875" t="s">
        <v>151</v>
      </c>
      <c r="P336" s="875" t="s">
        <v>152</v>
      </c>
    </row>
    <row r="337" spans="1:16" hidden="1" x14ac:dyDescent="0.25">
      <c r="A337" s="2">
        <v>4</v>
      </c>
      <c r="B337" s="3" t="s">
        <v>58</v>
      </c>
      <c r="C337" s="3" t="s">
        <v>541</v>
      </c>
      <c r="D337" s="127" t="s">
        <v>58</v>
      </c>
      <c r="E337" s="127" t="s">
        <v>565</v>
      </c>
      <c r="F337" s="3" t="s">
        <v>390</v>
      </c>
      <c r="G337" s="8" t="s">
        <v>391</v>
      </c>
      <c r="H337" s="114" t="s">
        <v>521</v>
      </c>
      <c r="I337" s="5"/>
      <c r="J337" s="5"/>
      <c r="K337" s="5">
        <f>'4.3.1'!H300</f>
        <v>293</v>
      </c>
      <c r="L337" s="30">
        <f>'4.3.1'!I299</f>
        <v>0</v>
      </c>
      <c r="M337" s="30">
        <f>'4.3.1'!J299</f>
        <v>295.09039999999999</v>
      </c>
      <c r="N337" s="24">
        <f>'4.3.1'!H299</f>
        <v>432.56169999999997</v>
      </c>
      <c r="O337" s="874"/>
      <c r="P337" s="874"/>
    </row>
    <row r="338" spans="1:16" hidden="1" x14ac:dyDescent="0.25">
      <c r="A338" s="2">
        <v>4</v>
      </c>
      <c r="B338" s="3" t="s">
        <v>58</v>
      </c>
      <c r="C338" s="3" t="s">
        <v>541</v>
      </c>
      <c r="D338" s="127" t="s">
        <v>58</v>
      </c>
      <c r="E338" s="127" t="s">
        <v>565</v>
      </c>
      <c r="F338" s="3" t="s">
        <v>392</v>
      </c>
      <c r="G338" s="8" t="s">
        <v>393</v>
      </c>
      <c r="H338" s="114" t="s">
        <v>521</v>
      </c>
      <c r="I338" s="5"/>
      <c r="J338" s="5"/>
      <c r="K338" s="5">
        <f>'4.3.1'!K300</f>
        <v>293</v>
      </c>
      <c r="L338" s="30">
        <f>'4.3.1'!L299</f>
        <v>3.57</v>
      </c>
      <c r="M338" s="30">
        <f>'4.3.1'!M299</f>
        <v>28919.608200000006</v>
      </c>
      <c r="N338" s="26">
        <f>'4.3.1'!K299</f>
        <v>29315.538600000007</v>
      </c>
      <c r="O338" s="874"/>
      <c r="P338" s="874"/>
    </row>
    <row r="339" spans="1:16" ht="25.5" hidden="1" x14ac:dyDescent="0.25">
      <c r="A339" s="2">
        <v>4</v>
      </c>
      <c r="B339" s="3" t="s">
        <v>58</v>
      </c>
      <c r="C339" s="3" t="s">
        <v>541</v>
      </c>
      <c r="D339" s="127" t="s">
        <v>58</v>
      </c>
      <c r="E339" s="127" t="s">
        <v>565</v>
      </c>
      <c r="F339" s="3" t="s">
        <v>396</v>
      </c>
      <c r="G339" s="8" t="s">
        <v>146</v>
      </c>
      <c r="H339" s="114" t="s">
        <v>1105</v>
      </c>
      <c r="I339" s="5"/>
      <c r="J339" s="5"/>
      <c r="K339" s="5">
        <f>'4.3.1'!N300</f>
        <v>294</v>
      </c>
      <c r="L339" s="30">
        <f>'4.3.1'!O299</f>
        <v>973.43690000000026</v>
      </c>
      <c r="M339" s="30">
        <f>'4.3.1'!P299</f>
        <v>12276.8189</v>
      </c>
      <c r="N339" s="26">
        <f>'4.3.1'!N299</f>
        <v>108603.19899999994</v>
      </c>
      <c r="O339" s="877" t="s">
        <v>145</v>
      </c>
      <c r="P339" s="877" t="s">
        <v>146</v>
      </c>
    </row>
    <row r="340" spans="1:16" ht="25.5" hidden="1" x14ac:dyDescent="0.25">
      <c r="A340" s="2">
        <v>4</v>
      </c>
      <c r="B340" s="3" t="s">
        <v>58</v>
      </c>
      <c r="C340" s="3" t="s">
        <v>541</v>
      </c>
      <c r="D340" s="127" t="s">
        <v>58</v>
      </c>
      <c r="E340" s="127" t="s">
        <v>565</v>
      </c>
      <c r="F340" s="3" t="s">
        <v>418</v>
      </c>
      <c r="G340" s="8" t="s">
        <v>419</v>
      </c>
      <c r="H340" s="864" t="s">
        <v>464</v>
      </c>
      <c r="I340" s="5"/>
      <c r="J340" s="5"/>
      <c r="K340" s="5">
        <f>'4.3.1'!Q300</f>
        <v>293</v>
      </c>
      <c r="L340" s="30">
        <f>'4.3.1'!R299</f>
        <v>103</v>
      </c>
      <c r="M340" s="30">
        <f>'4.3.1'!S299</f>
        <v>1081</v>
      </c>
      <c r="N340" s="25">
        <f>'4.3.1'!Q299</f>
        <v>1235</v>
      </c>
      <c r="O340" s="874"/>
      <c r="P340" s="874"/>
    </row>
    <row r="341" spans="1:16" ht="38.25" hidden="1" x14ac:dyDescent="0.25">
      <c r="A341" s="2">
        <v>4</v>
      </c>
      <c r="B341" s="3" t="s">
        <v>58</v>
      </c>
      <c r="C341" s="3" t="s">
        <v>541</v>
      </c>
      <c r="D341" s="127" t="s">
        <v>58</v>
      </c>
      <c r="E341" s="127" t="s">
        <v>565</v>
      </c>
      <c r="F341" s="3" t="s">
        <v>420</v>
      </c>
      <c r="G341" s="8" t="s">
        <v>168</v>
      </c>
      <c r="H341" s="864" t="s">
        <v>464</v>
      </c>
      <c r="I341" s="5"/>
      <c r="J341" s="5"/>
      <c r="K341" s="5">
        <f>'4.3.1'!T300</f>
        <v>293</v>
      </c>
      <c r="L341" s="30">
        <f>'4.3.1'!U299</f>
        <v>26</v>
      </c>
      <c r="M341" s="30">
        <f>'4.3.1'!V299</f>
        <v>277</v>
      </c>
      <c r="N341" s="25">
        <f>'4.3.1'!T299</f>
        <v>322</v>
      </c>
      <c r="O341" s="877" t="s">
        <v>167</v>
      </c>
      <c r="P341" s="877" t="s">
        <v>168</v>
      </c>
    </row>
    <row r="342" spans="1:16" ht="25.5" hidden="1" x14ac:dyDescent="0.25">
      <c r="A342" s="2">
        <v>4</v>
      </c>
      <c r="B342" s="3" t="s">
        <v>58</v>
      </c>
      <c r="C342" s="3" t="s">
        <v>541</v>
      </c>
      <c r="D342" s="127" t="s">
        <v>58</v>
      </c>
      <c r="E342" s="127" t="s">
        <v>565</v>
      </c>
      <c r="F342" s="3" t="s">
        <v>421</v>
      </c>
      <c r="G342" s="8" t="s">
        <v>170</v>
      </c>
      <c r="H342" s="9"/>
      <c r="I342" s="5"/>
      <c r="J342" s="5"/>
      <c r="K342" s="5">
        <f>'4.3.1'!W300</f>
        <v>293</v>
      </c>
      <c r="L342" s="30">
        <f>'4.3.1'!X299</f>
        <v>33464.870000000003</v>
      </c>
      <c r="M342" s="30">
        <f>'4.3.1'!Y299</f>
        <v>429689.78140000004</v>
      </c>
      <c r="N342" s="27">
        <f>'4.3.1'!W299</f>
        <v>508122.97139999998</v>
      </c>
      <c r="O342" s="861" t="s">
        <v>169</v>
      </c>
      <c r="P342" s="329" t="s">
        <v>170</v>
      </c>
    </row>
    <row r="343" spans="1:16" ht="25.5" hidden="1" x14ac:dyDescent="0.25">
      <c r="A343" s="2">
        <v>4</v>
      </c>
      <c r="B343" s="3" t="s">
        <v>58</v>
      </c>
      <c r="C343" s="3" t="s">
        <v>541</v>
      </c>
      <c r="D343" s="127" t="s">
        <v>58</v>
      </c>
      <c r="E343" s="127" t="s">
        <v>565</v>
      </c>
      <c r="F343" s="3" t="s">
        <v>422</v>
      </c>
      <c r="G343" s="8" t="s">
        <v>423</v>
      </c>
      <c r="H343" s="9"/>
      <c r="I343" s="5"/>
      <c r="J343" s="5"/>
      <c r="K343" s="5">
        <f>'4.3.1'!Z300</f>
        <v>293</v>
      </c>
      <c r="L343" s="30">
        <f>'4.3.1'!AA299</f>
        <v>0</v>
      </c>
      <c r="M343" s="30">
        <f>'4.3.1'!AB299</f>
        <v>81565.495400000029</v>
      </c>
      <c r="N343" s="26">
        <f>'4.3.1'!Z299</f>
        <v>87436.957400000014</v>
      </c>
      <c r="O343" s="873"/>
      <c r="P343" s="873"/>
    </row>
    <row r="344" spans="1:16" ht="25.5" hidden="1" x14ac:dyDescent="0.25">
      <c r="A344" s="2">
        <v>4</v>
      </c>
      <c r="B344" s="3" t="s">
        <v>58</v>
      </c>
      <c r="C344" s="3" t="s">
        <v>541</v>
      </c>
      <c r="D344" s="127" t="s">
        <v>58</v>
      </c>
      <c r="E344" s="127" t="s">
        <v>565</v>
      </c>
      <c r="F344" s="3" t="s">
        <v>424</v>
      </c>
      <c r="G344" s="8" t="s">
        <v>425</v>
      </c>
      <c r="H344" s="9"/>
      <c r="I344" s="5"/>
      <c r="J344" s="5"/>
      <c r="K344" s="5">
        <f>'4.3.1'!AC300</f>
        <v>293</v>
      </c>
      <c r="L344" s="30">
        <f>'4.3.1'!AD299</f>
        <v>357874.22569999995</v>
      </c>
      <c r="M344" s="30">
        <f>'4.3.1'!AE299</f>
        <v>292940.23700000002</v>
      </c>
      <c r="N344" s="26">
        <f>'4.3.1'!AC299</f>
        <v>305375.77279999986</v>
      </c>
      <c r="O344" s="873"/>
      <c r="P344" s="873"/>
    </row>
    <row r="345" spans="1:16" ht="25.5" hidden="1" x14ac:dyDescent="0.25">
      <c r="A345" s="2">
        <v>4</v>
      </c>
      <c r="B345" s="3" t="s">
        <v>58</v>
      </c>
      <c r="C345" s="3" t="s">
        <v>541</v>
      </c>
      <c r="D345" s="127" t="s">
        <v>58</v>
      </c>
      <c r="E345" s="127" t="s">
        <v>565</v>
      </c>
      <c r="F345" s="3" t="s">
        <v>426</v>
      </c>
      <c r="G345" s="8" t="s">
        <v>172</v>
      </c>
      <c r="H345" s="9"/>
      <c r="I345" s="5"/>
      <c r="J345" s="5"/>
      <c r="K345" s="5">
        <f>'4.3.1'!AF300</f>
        <v>294</v>
      </c>
      <c r="L345" s="30">
        <f>'4.3.1'!AG299</f>
        <v>52.237000000000002</v>
      </c>
      <c r="M345" s="30">
        <f>'4.3.1'!AH299</f>
        <v>39365200.357000001</v>
      </c>
      <c r="N345" s="26">
        <f>'4.3.1'!AF299</f>
        <v>53206003.8103</v>
      </c>
      <c r="O345" s="877" t="s">
        <v>171</v>
      </c>
      <c r="P345" s="877" t="s">
        <v>2137</v>
      </c>
    </row>
    <row r="346" spans="1:16" hidden="1" x14ac:dyDescent="0.25">
      <c r="A346" s="2">
        <v>4</v>
      </c>
      <c r="B346" s="3" t="s">
        <v>58</v>
      </c>
      <c r="C346" s="3" t="s">
        <v>541</v>
      </c>
      <c r="D346" s="127" t="s">
        <v>58</v>
      </c>
      <c r="E346" s="127" t="s">
        <v>565</v>
      </c>
      <c r="F346" s="3" t="s">
        <v>427</v>
      </c>
      <c r="G346" s="8" t="s">
        <v>428</v>
      </c>
      <c r="H346" s="9"/>
      <c r="I346" s="5"/>
      <c r="J346" s="5"/>
      <c r="K346" s="5">
        <f>'4.3.1'!AI300</f>
        <v>293</v>
      </c>
      <c r="L346" s="30">
        <f>'4.3.1'!AJ299</f>
        <v>2973781.8615999999</v>
      </c>
      <c r="M346" s="30">
        <f>'4.3.1'!AK299</f>
        <v>46034063.53800004</v>
      </c>
      <c r="N346" s="26">
        <f>'4.3.1'!AI299</f>
        <v>57489716.201000035</v>
      </c>
      <c r="O346" s="874"/>
      <c r="P346" s="874"/>
    </row>
    <row r="347" spans="1:16" hidden="1" x14ac:dyDescent="0.25">
      <c r="A347" s="2">
        <v>4</v>
      </c>
      <c r="B347" s="3" t="s">
        <v>58</v>
      </c>
      <c r="C347" s="3" t="s">
        <v>541</v>
      </c>
      <c r="D347" s="127" t="s">
        <v>58</v>
      </c>
      <c r="E347" s="127" t="s">
        <v>565</v>
      </c>
      <c r="F347" s="3" t="s">
        <v>302</v>
      </c>
      <c r="G347" s="8" t="s">
        <v>303</v>
      </c>
      <c r="H347" s="9"/>
      <c r="I347" s="5"/>
      <c r="J347" s="5"/>
      <c r="K347" s="5">
        <f>'4.3.1'!AL300</f>
        <v>293</v>
      </c>
      <c r="L347" s="32">
        <f>'4.3.1'!AM299</f>
        <v>0</v>
      </c>
      <c r="M347" s="32">
        <f>'4.3.1'!AN299</f>
        <v>330537.26420000003</v>
      </c>
      <c r="N347" s="26">
        <f>'4.3.1'!AL299</f>
        <v>412833.93070000003</v>
      </c>
      <c r="O347" s="874"/>
      <c r="P347" s="874"/>
    </row>
    <row r="348" spans="1:16" hidden="1" x14ac:dyDescent="0.25">
      <c r="A348" s="2">
        <v>4</v>
      </c>
      <c r="B348" s="3" t="s">
        <v>58</v>
      </c>
      <c r="C348" s="3" t="s">
        <v>541</v>
      </c>
      <c r="D348" s="127" t="s">
        <v>58</v>
      </c>
      <c r="E348" s="127" t="s">
        <v>565</v>
      </c>
      <c r="F348" s="3" t="s">
        <v>304</v>
      </c>
      <c r="G348" s="8" t="s">
        <v>305</v>
      </c>
      <c r="H348" s="9"/>
      <c r="I348" s="5"/>
      <c r="J348" s="5"/>
      <c r="K348" s="5">
        <f>'4.3.1'!AO300</f>
        <v>293</v>
      </c>
      <c r="L348" s="32">
        <f>'4.3.1'!AP299</f>
        <v>0</v>
      </c>
      <c r="M348" s="32">
        <f>'4.3.1'!AQ299</f>
        <v>128565.62429999998</v>
      </c>
      <c r="N348" s="26">
        <f>'4.3.1'!AO299</f>
        <v>137503.57169999997</v>
      </c>
      <c r="O348" s="874"/>
      <c r="P348" s="874"/>
    </row>
    <row r="349" spans="1:16" hidden="1" x14ac:dyDescent="0.25">
      <c r="A349" s="2">
        <v>4</v>
      </c>
      <c r="B349" s="3" t="s">
        <v>58</v>
      </c>
      <c r="C349" s="3" t="s">
        <v>541</v>
      </c>
      <c r="D349" s="127" t="s">
        <v>58</v>
      </c>
      <c r="E349" s="127" t="s">
        <v>565</v>
      </c>
      <c r="F349" s="3" t="s">
        <v>308</v>
      </c>
      <c r="G349" s="8" t="s">
        <v>309</v>
      </c>
      <c r="H349" s="9"/>
      <c r="I349" s="5"/>
      <c r="J349" s="5"/>
      <c r="K349" s="5">
        <f>'4.3.1'!AR300</f>
        <v>293</v>
      </c>
      <c r="L349" s="32">
        <f>'4.3.1'!AS299</f>
        <v>0</v>
      </c>
      <c r="M349" s="32">
        <f>'4.3.1'!AT299</f>
        <v>53894.493199999983</v>
      </c>
      <c r="N349" s="26">
        <f>'4.3.1'!AR299</f>
        <v>78537.34450000005</v>
      </c>
      <c r="O349" s="874"/>
      <c r="P349" s="874"/>
    </row>
    <row r="350" spans="1:16" ht="25.5" hidden="1" x14ac:dyDescent="0.25">
      <c r="A350" s="2">
        <v>4</v>
      </c>
      <c r="B350" s="3" t="s">
        <v>58</v>
      </c>
      <c r="C350" s="3" t="s">
        <v>541</v>
      </c>
      <c r="D350" s="127" t="s">
        <v>58</v>
      </c>
      <c r="E350" s="127" t="s">
        <v>565</v>
      </c>
      <c r="F350" s="3" t="s">
        <v>429</v>
      </c>
      <c r="G350" s="8" t="s">
        <v>166</v>
      </c>
      <c r="H350" s="9"/>
      <c r="I350" s="5"/>
      <c r="J350" s="5"/>
      <c r="K350" s="5">
        <f>'4.3.1'!AU300</f>
        <v>294</v>
      </c>
      <c r="L350" s="30">
        <f>'4.3.1'!AV299</f>
        <v>51921.436999999998</v>
      </c>
      <c r="M350" s="30">
        <f>'4.3.1'!AW299</f>
        <v>56671783.012999982</v>
      </c>
      <c r="N350" s="26">
        <f>'4.3.1'!AU299</f>
        <v>81203302.442999989</v>
      </c>
      <c r="O350" s="877" t="s">
        <v>165</v>
      </c>
      <c r="P350" s="877" t="s">
        <v>166</v>
      </c>
    </row>
    <row r="351" spans="1:16" hidden="1" x14ac:dyDescent="0.25">
      <c r="A351" s="2">
        <v>4</v>
      </c>
      <c r="B351" s="3" t="s">
        <v>58</v>
      </c>
      <c r="C351" s="3" t="s">
        <v>541</v>
      </c>
      <c r="D351" s="127" t="s">
        <v>58</v>
      </c>
      <c r="E351" s="127" t="s">
        <v>565</v>
      </c>
      <c r="F351" s="3" t="s">
        <v>400</v>
      </c>
      <c r="G351" s="8" t="s">
        <v>150</v>
      </c>
      <c r="H351" s="114" t="s">
        <v>515</v>
      </c>
      <c r="I351" s="5"/>
      <c r="J351" s="5"/>
      <c r="K351" s="5">
        <f>'4.3.1'!A300</f>
        <v>0</v>
      </c>
      <c r="L351" s="30">
        <f>'4.3.1'!AY299</f>
        <v>4.8000000000000001E-2</v>
      </c>
      <c r="M351" s="30">
        <f>'4.3.1'!AZ299</f>
        <v>7.0108999999999995</v>
      </c>
      <c r="N351" s="27">
        <f>'4.3.1'!AX299</f>
        <v>13.107899999999999</v>
      </c>
      <c r="O351" s="874"/>
      <c r="P351" s="874"/>
    </row>
    <row r="352" spans="1:16" ht="25.5" hidden="1" x14ac:dyDescent="0.25">
      <c r="A352" s="2">
        <v>4</v>
      </c>
      <c r="B352" s="3" t="s">
        <v>58</v>
      </c>
      <c r="C352" s="3" t="s">
        <v>541</v>
      </c>
      <c r="D352" s="127" t="s">
        <v>58</v>
      </c>
      <c r="E352" s="127" t="s">
        <v>565</v>
      </c>
      <c r="F352" s="3" t="s">
        <v>401</v>
      </c>
      <c r="G352" s="8" t="s">
        <v>144</v>
      </c>
      <c r="H352" s="114" t="s">
        <v>491</v>
      </c>
      <c r="I352" s="5"/>
      <c r="J352" s="5"/>
      <c r="K352" s="5">
        <f>'4.3.1'!BA300</f>
        <v>293</v>
      </c>
      <c r="L352" s="30">
        <f>'4.3.1'!BB299</f>
        <v>1.7876999999999998</v>
      </c>
      <c r="M352" s="30">
        <f>'4.3.1'!BC299</f>
        <v>141.19859999999994</v>
      </c>
      <c r="N352" s="26">
        <f>'4.3.1'!BA299</f>
        <v>175.44729999999996</v>
      </c>
      <c r="O352" s="879" t="s">
        <v>143</v>
      </c>
      <c r="P352" s="879" t="s">
        <v>144</v>
      </c>
    </row>
    <row r="353" spans="1:16" hidden="1" x14ac:dyDescent="0.25">
      <c r="A353" s="2">
        <v>4</v>
      </c>
      <c r="B353" s="3" t="s">
        <v>58</v>
      </c>
      <c r="C353" s="3" t="s">
        <v>541</v>
      </c>
      <c r="D353" s="127" t="s">
        <v>58</v>
      </c>
      <c r="E353" s="127" t="s">
        <v>565</v>
      </c>
      <c r="F353" s="3" t="s">
        <v>402</v>
      </c>
      <c r="G353" s="8" t="s">
        <v>152</v>
      </c>
      <c r="H353" s="114" t="s">
        <v>516</v>
      </c>
      <c r="I353" s="5"/>
      <c r="J353" s="5"/>
      <c r="K353" s="5">
        <f>'4.3.1'!BD300</f>
        <v>293</v>
      </c>
      <c r="L353" s="30">
        <f>'4.3.1'!BE299</f>
        <v>1.7396999999999998</v>
      </c>
      <c r="M353" s="30">
        <f>'4.3.1'!BF299</f>
        <v>91.512800000000027</v>
      </c>
      <c r="N353" s="26">
        <f>'4.3.1'!BD299</f>
        <v>91.814000000000021</v>
      </c>
      <c r="O353" s="874"/>
      <c r="P353" s="874"/>
    </row>
    <row r="354" spans="1:16" ht="25.5" hidden="1" x14ac:dyDescent="0.25">
      <c r="A354" s="2">
        <v>4</v>
      </c>
      <c r="B354" s="3" t="s">
        <v>59</v>
      </c>
      <c r="C354" s="3" t="s">
        <v>541</v>
      </c>
      <c r="D354" s="127" t="s">
        <v>59</v>
      </c>
      <c r="E354" s="127" t="s">
        <v>587</v>
      </c>
      <c r="F354" s="3" t="s">
        <v>430</v>
      </c>
      <c r="G354" s="8" t="s">
        <v>431</v>
      </c>
      <c r="H354" s="864" t="s">
        <v>464</v>
      </c>
      <c r="I354" s="5"/>
      <c r="J354" s="5"/>
      <c r="K354" s="5">
        <f>'4.4.1'!H7</f>
        <v>0</v>
      </c>
      <c r="L354" s="32">
        <f>'4.4.1'!I6</f>
        <v>0</v>
      </c>
      <c r="M354" s="32">
        <f>'4.4.1'!J6</f>
        <v>0</v>
      </c>
      <c r="N354" s="26">
        <f>'4.4.1'!H6</f>
        <v>0</v>
      </c>
      <c r="O354" s="874"/>
      <c r="P354" s="874"/>
    </row>
    <row r="355" spans="1:16" ht="51" hidden="1" x14ac:dyDescent="0.25">
      <c r="A355" s="2">
        <v>4</v>
      </c>
      <c r="B355" s="3" t="s">
        <v>59</v>
      </c>
      <c r="C355" s="3" t="s">
        <v>541</v>
      </c>
      <c r="D355" s="127" t="s">
        <v>59</v>
      </c>
      <c r="E355" s="127" t="s">
        <v>587</v>
      </c>
      <c r="F355" s="3" t="s">
        <v>432</v>
      </c>
      <c r="G355" s="8" t="s">
        <v>433</v>
      </c>
      <c r="H355" s="864" t="s">
        <v>464</v>
      </c>
      <c r="I355" s="5"/>
      <c r="J355" s="5"/>
      <c r="K355" s="5">
        <f>'4.4.1'!K7</f>
        <v>0</v>
      </c>
      <c r="L355" s="32">
        <f>'4.4.1'!L6</f>
        <v>0</v>
      </c>
      <c r="M355" s="32">
        <f>'4.4.1'!M6</f>
        <v>0</v>
      </c>
      <c r="N355" s="26">
        <f>'4.4.1'!K6</f>
        <v>0</v>
      </c>
      <c r="O355" s="874"/>
      <c r="P355" s="874"/>
    </row>
    <row r="356" spans="1:16" hidden="1" x14ac:dyDescent="0.25">
      <c r="A356" s="2">
        <v>4</v>
      </c>
      <c r="B356" s="3" t="s">
        <v>59</v>
      </c>
      <c r="C356" s="3" t="s">
        <v>541</v>
      </c>
      <c r="D356" s="127" t="s">
        <v>59</v>
      </c>
      <c r="E356" s="127" t="s">
        <v>587</v>
      </c>
      <c r="F356" s="3" t="s">
        <v>438</v>
      </c>
      <c r="G356" s="8" t="s">
        <v>439</v>
      </c>
      <c r="H356" s="864" t="s">
        <v>464</v>
      </c>
      <c r="I356" s="5"/>
      <c r="J356" s="5"/>
      <c r="K356" s="5">
        <f>'4.4.1'!N7</f>
        <v>0</v>
      </c>
      <c r="L356" s="32">
        <f>'4.4.1'!O6</f>
        <v>0</v>
      </c>
      <c r="M356" s="32">
        <f>'4.4.1'!P6</f>
        <v>0</v>
      </c>
      <c r="N356" s="26">
        <f>'4.4.1'!N6</f>
        <v>0</v>
      </c>
      <c r="O356" s="874"/>
      <c r="P356" s="874"/>
    </row>
    <row r="357" spans="1:16" hidden="1" x14ac:dyDescent="0.25">
      <c r="A357" s="2">
        <v>4</v>
      </c>
      <c r="B357" s="3" t="s">
        <v>59</v>
      </c>
      <c r="C357" s="3" t="s">
        <v>541</v>
      </c>
      <c r="D357" s="127" t="s">
        <v>59</v>
      </c>
      <c r="E357" s="127" t="s">
        <v>587</v>
      </c>
      <c r="F357" s="3" t="s">
        <v>442</v>
      </c>
      <c r="G357" s="8" t="s">
        <v>180</v>
      </c>
      <c r="H357" s="864" t="s">
        <v>464</v>
      </c>
      <c r="I357" s="5"/>
      <c r="J357" s="5"/>
      <c r="K357" s="5">
        <f>'4.4.1'!Q7</f>
        <v>0</v>
      </c>
      <c r="L357" s="32">
        <f>'4.4.1'!R6</f>
        <v>0</v>
      </c>
      <c r="M357" s="32">
        <f>'4.4.1'!S6</f>
        <v>0</v>
      </c>
      <c r="N357" s="26">
        <f>'4.4.1'!Q6</f>
        <v>0</v>
      </c>
      <c r="O357" s="877" t="s">
        <v>179</v>
      </c>
      <c r="P357" s="877" t="s">
        <v>180</v>
      </c>
    </row>
    <row r="358" spans="1:16" ht="25.5" hidden="1" x14ac:dyDescent="0.25">
      <c r="A358" s="2">
        <v>4</v>
      </c>
      <c r="B358" s="3" t="s">
        <v>59</v>
      </c>
      <c r="C358" s="3" t="s">
        <v>541</v>
      </c>
      <c r="D358" s="127" t="s">
        <v>59</v>
      </c>
      <c r="E358" s="127" t="s">
        <v>589</v>
      </c>
      <c r="F358" s="3" t="s">
        <v>406</v>
      </c>
      <c r="G358" s="8" t="s">
        <v>407</v>
      </c>
      <c r="H358" s="864" t="s">
        <v>464</v>
      </c>
      <c r="I358" s="5"/>
      <c r="J358" s="5"/>
      <c r="K358" s="5">
        <f>'4.4.1'!T7</f>
        <v>0</v>
      </c>
      <c r="L358" s="32">
        <f>'4.4.1'!U6</f>
        <v>0</v>
      </c>
      <c r="M358" s="32">
        <f>'4.4.1'!V6</f>
        <v>0</v>
      </c>
      <c r="N358" s="26">
        <f>'4.4.1'!T6</f>
        <v>0</v>
      </c>
      <c r="O358" s="877" t="s">
        <v>177</v>
      </c>
      <c r="P358" s="877" t="s">
        <v>178</v>
      </c>
    </row>
    <row r="359" spans="1:16" hidden="1" x14ac:dyDescent="0.25">
      <c r="A359" s="2">
        <v>4</v>
      </c>
      <c r="B359" s="3" t="s">
        <v>59</v>
      </c>
      <c r="C359" s="3" t="s">
        <v>541</v>
      </c>
      <c r="D359" s="127" t="s">
        <v>59</v>
      </c>
      <c r="E359" s="127" t="s">
        <v>589</v>
      </c>
      <c r="F359" s="3" t="s">
        <v>408</v>
      </c>
      <c r="G359" s="8" t="s">
        <v>176</v>
      </c>
      <c r="H359" s="864" t="s">
        <v>464</v>
      </c>
      <c r="I359" s="5"/>
      <c r="J359" s="5"/>
      <c r="K359" s="5">
        <f>'4.4.1'!W7</f>
        <v>0</v>
      </c>
      <c r="L359" s="32">
        <f>'4.4.1'!X6</f>
        <v>0</v>
      </c>
      <c r="M359" s="32">
        <f>'4.4.1'!Y6</f>
        <v>0</v>
      </c>
      <c r="N359" s="26">
        <f>'4.4.1'!W6</f>
        <v>0</v>
      </c>
      <c r="O359" s="877" t="s">
        <v>175</v>
      </c>
      <c r="P359" s="877" t="s">
        <v>176</v>
      </c>
    </row>
    <row r="360" spans="1:16" ht="25.5" hidden="1" x14ac:dyDescent="0.25">
      <c r="A360" s="2">
        <v>4</v>
      </c>
      <c r="B360" s="3" t="s">
        <v>59</v>
      </c>
      <c r="C360" s="3" t="s">
        <v>541</v>
      </c>
      <c r="D360" s="127" t="s">
        <v>59</v>
      </c>
      <c r="E360" s="127" t="s">
        <v>589</v>
      </c>
      <c r="F360" s="3" t="s">
        <v>443</v>
      </c>
      <c r="G360" s="8" t="s">
        <v>444</v>
      </c>
      <c r="H360" s="864" t="s">
        <v>464</v>
      </c>
      <c r="I360" s="5"/>
      <c r="J360" s="5"/>
      <c r="K360" s="5">
        <f>'4.4.1'!Z7</f>
        <v>0</v>
      </c>
      <c r="L360" s="32">
        <f>'4.4.1'!AA6</f>
        <v>0</v>
      </c>
      <c r="M360" s="32">
        <f>'4.4.1'!AB6</f>
        <v>0</v>
      </c>
      <c r="N360" s="26">
        <f>'4.4.1'!Z6</f>
        <v>0</v>
      </c>
      <c r="O360" s="877" t="s">
        <v>177</v>
      </c>
      <c r="P360" s="877" t="s">
        <v>178</v>
      </c>
    </row>
    <row r="361" spans="1:16" hidden="1" x14ac:dyDescent="0.25">
      <c r="A361" s="2">
        <v>4</v>
      </c>
      <c r="B361" s="3" t="s">
        <v>59</v>
      </c>
      <c r="C361" s="3" t="s">
        <v>541</v>
      </c>
      <c r="D361" s="127" t="s">
        <v>59</v>
      </c>
      <c r="E361" s="127" t="s">
        <v>586</v>
      </c>
      <c r="F361" s="3" t="s">
        <v>403</v>
      </c>
      <c r="G361" s="8" t="s">
        <v>156</v>
      </c>
      <c r="H361" s="864" t="s">
        <v>464</v>
      </c>
      <c r="I361" s="5"/>
      <c r="J361" s="5"/>
      <c r="K361" s="5">
        <f>'4.4.1'!AC7</f>
        <v>0</v>
      </c>
      <c r="L361" s="32">
        <f>'4.4.1'!AD6</f>
        <v>0</v>
      </c>
      <c r="M361" s="32">
        <f>'4.4.1'!AE6</f>
        <v>0</v>
      </c>
      <c r="N361" s="26">
        <f>'4.4.1'!AC6</f>
        <v>0</v>
      </c>
      <c r="O361" s="877" t="s">
        <v>155</v>
      </c>
      <c r="P361" s="877" t="s">
        <v>156</v>
      </c>
    </row>
    <row r="362" spans="1:16" ht="25.5" hidden="1" x14ac:dyDescent="0.25">
      <c r="A362" s="2">
        <v>4</v>
      </c>
      <c r="B362" s="3" t="s">
        <v>59</v>
      </c>
      <c r="C362" s="3" t="s">
        <v>541</v>
      </c>
      <c r="D362" s="127" t="s">
        <v>59</v>
      </c>
      <c r="E362" s="127" t="s">
        <v>586</v>
      </c>
      <c r="F362" s="3" t="s">
        <v>440</v>
      </c>
      <c r="G362" s="8" t="s">
        <v>441</v>
      </c>
      <c r="H362" s="864" t="s">
        <v>464</v>
      </c>
      <c r="I362" s="5"/>
      <c r="J362" s="5"/>
      <c r="K362" s="5">
        <f>'4.4.1'!AF7</f>
        <v>0</v>
      </c>
      <c r="L362" s="32">
        <f>'4.4.1'!AG6</f>
        <v>0</v>
      </c>
      <c r="M362" s="32">
        <f>'4.4.1'!AH6</f>
        <v>0</v>
      </c>
      <c r="N362" s="26">
        <f>'4.4.1'!AF6</f>
        <v>0</v>
      </c>
      <c r="O362" s="873"/>
      <c r="P362" s="873"/>
    </row>
    <row r="363" spans="1:16" hidden="1" x14ac:dyDescent="0.25">
      <c r="A363" s="2">
        <v>4</v>
      </c>
      <c r="B363" s="3" t="s">
        <v>59</v>
      </c>
      <c r="C363" s="3" t="s">
        <v>541</v>
      </c>
      <c r="D363" s="127" t="s">
        <v>59</v>
      </c>
      <c r="E363" s="127" t="s">
        <v>546</v>
      </c>
      <c r="F363" s="3" t="s">
        <v>209</v>
      </c>
      <c r="G363" s="8" t="s">
        <v>210</v>
      </c>
      <c r="H363" s="864" t="s">
        <v>464</v>
      </c>
      <c r="I363" s="5"/>
      <c r="J363" s="5"/>
      <c r="K363" s="5">
        <f>'4.4.1'!AI7</f>
        <v>1</v>
      </c>
      <c r="L363" s="32">
        <f>'4.4.1'!AJ6</f>
        <v>39690</v>
      </c>
      <c r="M363" s="32">
        <f>'4.4.1'!AK6</f>
        <v>0</v>
      </c>
      <c r="N363" s="26">
        <f>'4.4.1'!AI6</f>
        <v>6500</v>
      </c>
      <c r="O363" s="873"/>
      <c r="P363" s="873"/>
    </row>
    <row r="364" spans="1:16" hidden="1" x14ac:dyDescent="0.25">
      <c r="A364" s="2">
        <v>4</v>
      </c>
      <c r="B364" s="3" t="s">
        <v>59</v>
      </c>
      <c r="C364" s="3" t="s">
        <v>541</v>
      </c>
      <c r="D364" s="127" t="s">
        <v>59</v>
      </c>
      <c r="E364" s="127" t="s">
        <v>546</v>
      </c>
      <c r="F364" s="3" t="s">
        <v>215</v>
      </c>
      <c r="G364" s="8" t="s">
        <v>216</v>
      </c>
      <c r="H364" s="864" t="s">
        <v>464</v>
      </c>
      <c r="I364" s="5"/>
      <c r="J364" s="5"/>
      <c r="K364" s="5">
        <f>'4.4.1'!AL7</f>
        <v>1</v>
      </c>
      <c r="L364" s="32">
        <f>'4.4.1'!AM6</f>
        <v>18</v>
      </c>
      <c r="M364" s="32">
        <f>'4.4.1'!AN6</f>
        <v>0</v>
      </c>
      <c r="N364" s="26">
        <f>'4.4.1'!AL6</f>
        <v>2500</v>
      </c>
      <c r="O364" s="875" t="s">
        <v>84</v>
      </c>
      <c r="P364" s="875" t="s">
        <v>216</v>
      </c>
    </row>
    <row r="365" spans="1:16" hidden="1" x14ac:dyDescent="0.25">
      <c r="A365" s="2">
        <v>4</v>
      </c>
      <c r="B365" s="3" t="s">
        <v>59</v>
      </c>
      <c r="C365" s="3" t="s">
        <v>541</v>
      </c>
      <c r="D365" s="127" t="s">
        <v>59</v>
      </c>
      <c r="E365" s="127" t="s">
        <v>588</v>
      </c>
      <c r="F365" s="3" t="s">
        <v>403</v>
      </c>
      <c r="G365" s="8" t="s">
        <v>156</v>
      </c>
      <c r="H365" s="864" t="s">
        <v>464</v>
      </c>
      <c r="I365" s="5"/>
      <c r="J365" s="5"/>
      <c r="K365" s="5">
        <f>'4.4.1'!AO7</f>
        <v>0</v>
      </c>
      <c r="L365" s="32">
        <f>'4.4.1'!AP6</f>
        <v>0</v>
      </c>
      <c r="M365" s="32">
        <f>'4.4.1'!AQ6</f>
        <v>0</v>
      </c>
      <c r="N365" s="26">
        <f>'4.4.1'!AO6</f>
        <v>0</v>
      </c>
      <c r="O365" s="877" t="s">
        <v>155</v>
      </c>
      <c r="P365" s="877" t="s">
        <v>156</v>
      </c>
    </row>
    <row r="366" spans="1:16" hidden="1" x14ac:dyDescent="0.25">
      <c r="A366" s="2">
        <v>4</v>
      </c>
      <c r="B366" s="3" t="s">
        <v>59</v>
      </c>
      <c r="C366" s="3" t="s">
        <v>541</v>
      </c>
      <c r="D366" s="127" t="s">
        <v>59</v>
      </c>
      <c r="E366" s="127" t="s">
        <v>588</v>
      </c>
      <c r="F366" s="3" t="s">
        <v>434</v>
      </c>
      <c r="G366" s="8" t="s">
        <v>435</v>
      </c>
      <c r="H366" s="864" t="s">
        <v>464</v>
      </c>
      <c r="I366" s="5"/>
      <c r="J366" s="5"/>
      <c r="K366" s="5">
        <f>'4.4.1'!AR7</f>
        <v>0</v>
      </c>
      <c r="L366" s="32">
        <f>'4.4.1'!AS6</f>
        <v>0</v>
      </c>
      <c r="M366" s="32">
        <f>'4.4.1'!AT6</f>
        <v>0</v>
      </c>
      <c r="N366" s="26">
        <f>'4.4.1'!AR6</f>
        <v>0</v>
      </c>
      <c r="O366" s="874"/>
      <c r="P366" s="874"/>
    </row>
    <row r="367" spans="1:16" ht="25.5" hidden="1" x14ac:dyDescent="0.25">
      <c r="A367" s="2">
        <v>4</v>
      </c>
      <c r="B367" s="3" t="s">
        <v>59</v>
      </c>
      <c r="C367" s="3" t="s">
        <v>541</v>
      </c>
      <c r="D367" s="127" t="s">
        <v>59</v>
      </c>
      <c r="E367" s="127" t="s">
        <v>588</v>
      </c>
      <c r="F367" s="3" t="s">
        <v>445</v>
      </c>
      <c r="G367" s="8" t="s">
        <v>174</v>
      </c>
      <c r="H367" s="864" t="s">
        <v>464</v>
      </c>
      <c r="I367" s="5"/>
      <c r="J367" s="5"/>
      <c r="K367" s="5">
        <f>'4.4.1'!AU7</f>
        <v>0</v>
      </c>
      <c r="L367" s="32">
        <f>'4.4.1'!AV6</f>
        <v>0</v>
      </c>
      <c r="M367" s="32">
        <f>'4.4.1'!AW6</f>
        <v>0</v>
      </c>
      <c r="N367" s="26">
        <f>'4.4.1'!AU6</f>
        <v>0</v>
      </c>
      <c r="O367" s="877" t="s">
        <v>173</v>
      </c>
      <c r="P367" s="877" t="s">
        <v>174</v>
      </c>
    </row>
    <row r="368" spans="1:16" hidden="1" x14ac:dyDescent="0.25">
      <c r="A368" s="2">
        <v>4</v>
      </c>
      <c r="B368" s="3" t="s">
        <v>59</v>
      </c>
      <c r="C368" s="3" t="s">
        <v>541</v>
      </c>
      <c r="D368" s="127" t="s">
        <v>59</v>
      </c>
      <c r="E368" s="127" t="s">
        <v>591</v>
      </c>
      <c r="F368" s="3" t="s">
        <v>436</v>
      </c>
      <c r="G368" s="8" t="s">
        <v>437</v>
      </c>
      <c r="H368" s="864" t="s">
        <v>464</v>
      </c>
      <c r="I368" s="5"/>
      <c r="J368" s="5"/>
      <c r="K368" s="5">
        <f>'4.4.1'!AX7</f>
        <v>0</v>
      </c>
      <c r="L368" s="32">
        <f>'4.4.1'!AY6</f>
        <v>0</v>
      </c>
      <c r="M368" s="32">
        <f>'4.4.1'!AZ6</f>
        <v>0</v>
      </c>
      <c r="N368" s="26">
        <f>'4.4.1'!AX6</f>
        <v>0</v>
      </c>
      <c r="O368" s="874"/>
      <c r="P368" s="874"/>
    </row>
    <row r="369" spans="1:16" hidden="1" x14ac:dyDescent="0.25">
      <c r="A369" s="2">
        <v>4</v>
      </c>
      <c r="B369" s="3" t="s">
        <v>59</v>
      </c>
      <c r="C369" s="3" t="s">
        <v>541</v>
      </c>
      <c r="D369" s="127" t="s">
        <v>59</v>
      </c>
      <c r="E369" s="127" t="s">
        <v>591</v>
      </c>
      <c r="F369" s="3" t="s">
        <v>446</v>
      </c>
      <c r="G369" s="8" t="s">
        <v>447</v>
      </c>
      <c r="H369" s="9"/>
      <c r="I369" s="5"/>
      <c r="J369" s="5"/>
      <c r="K369" s="5">
        <f>'4.4.1'!BA7</f>
        <v>0</v>
      </c>
      <c r="L369" s="32">
        <f>'4.4.1'!BB6</f>
        <v>0</v>
      </c>
      <c r="M369" s="32">
        <f>'4.4.1'!BC6</f>
        <v>0</v>
      </c>
      <c r="N369" s="26">
        <f>'4.4.1'!BA6</f>
        <v>0</v>
      </c>
      <c r="O369" s="874"/>
      <c r="P369" s="874"/>
    </row>
    <row r="370" spans="1:16" hidden="1" x14ac:dyDescent="0.25">
      <c r="A370" s="2"/>
      <c r="B370" s="116"/>
      <c r="C370" s="116" t="s">
        <v>541</v>
      </c>
      <c r="D370" s="127" t="s">
        <v>59</v>
      </c>
      <c r="E370" s="127" t="s">
        <v>591</v>
      </c>
      <c r="F370" s="116" t="s">
        <v>1415</v>
      </c>
      <c r="G370" s="8" t="s">
        <v>1416</v>
      </c>
      <c r="H370" s="864" t="s">
        <v>464</v>
      </c>
      <c r="I370" s="5"/>
      <c r="J370" s="5"/>
      <c r="K370" s="5">
        <f>'4.4.1'!BD7</f>
        <v>0</v>
      </c>
      <c r="L370" s="32">
        <f>'4.4.1'!BE6</f>
        <v>0</v>
      </c>
      <c r="M370" s="32">
        <f>'4.4.1'!BF6</f>
        <v>0</v>
      </c>
      <c r="N370" s="26">
        <f>'4.4.1'!BD6</f>
        <v>0</v>
      </c>
      <c r="O370" s="874"/>
      <c r="P370" s="874"/>
    </row>
    <row r="371" spans="1:16" hidden="1" x14ac:dyDescent="0.25">
      <c r="A371" s="2">
        <v>4</v>
      </c>
      <c r="B371" s="3" t="s">
        <v>60</v>
      </c>
      <c r="C371" s="3" t="s">
        <v>541</v>
      </c>
      <c r="D371" s="127" t="s">
        <v>60</v>
      </c>
      <c r="E371" s="127" t="s">
        <v>583</v>
      </c>
      <c r="F371" s="3" t="s">
        <v>396</v>
      </c>
      <c r="G371" s="8" t="s">
        <v>146</v>
      </c>
      <c r="H371" s="9"/>
      <c r="I371" s="5"/>
      <c r="J371" s="5"/>
      <c r="K371" s="5">
        <f>'4.5.1'!H10</f>
        <v>4</v>
      </c>
      <c r="L371" s="32">
        <f>'4.5.1'!I9</f>
        <v>0</v>
      </c>
      <c r="M371" s="32">
        <f>'4.5.1'!J9</f>
        <v>0</v>
      </c>
      <c r="N371" s="26">
        <f>'4.5.1'!H9</f>
        <v>2685.16</v>
      </c>
      <c r="O371" s="877" t="s">
        <v>145</v>
      </c>
      <c r="P371" s="877" t="s">
        <v>146</v>
      </c>
    </row>
    <row r="372" spans="1:16" ht="25.5" hidden="1" x14ac:dyDescent="0.25">
      <c r="A372" s="2">
        <v>4</v>
      </c>
      <c r="B372" s="3" t="s">
        <v>60</v>
      </c>
      <c r="C372" s="3" t="s">
        <v>541</v>
      </c>
      <c r="D372" s="127" t="s">
        <v>60</v>
      </c>
      <c r="E372" s="127" t="s">
        <v>583</v>
      </c>
      <c r="F372" s="3" t="s">
        <v>449</v>
      </c>
      <c r="G372" s="8" t="s">
        <v>182</v>
      </c>
      <c r="H372" s="864" t="s">
        <v>464</v>
      </c>
      <c r="I372" s="5"/>
      <c r="J372" s="5"/>
      <c r="K372" s="5">
        <f>'4.5.1'!K10</f>
        <v>4</v>
      </c>
      <c r="L372" s="32">
        <f>'4.5.1'!L9</f>
        <v>0</v>
      </c>
      <c r="M372" s="32">
        <f>'4.5.1'!M9</f>
        <v>0</v>
      </c>
      <c r="N372" s="26">
        <f>'4.5.1'!K9</f>
        <v>4</v>
      </c>
      <c r="O372" s="877" t="s">
        <v>181</v>
      </c>
      <c r="P372" s="877" t="s">
        <v>182</v>
      </c>
    </row>
    <row r="373" spans="1:16" ht="25.5" hidden="1" x14ac:dyDescent="0.25">
      <c r="A373" s="2">
        <v>4</v>
      </c>
      <c r="B373" s="3" t="s">
        <v>60</v>
      </c>
      <c r="C373" s="3" t="s">
        <v>541</v>
      </c>
      <c r="D373" s="127" t="s">
        <v>60</v>
      </c>
      <c r="E373" s="127" t="s">
        <v>583</v>
      </c>
      <c r="F373" s="3" t="s">
        <v>450</v>
      </c>
      <c r="G373" s="8" t="s">
        <v>184</v>
      </c>
      <c r="H373" s="9"/>
      <c r="I373" s="5"/>
      <c r="J373" s="5"/>
      <c r="K373" s="5">
        <f>'4.5.1'!N10</f>
        <v>4</v>
      </c>
      <c r="L373" s="32">
        <f>'4.5.1'!O9</f>
        <v>0</v>
      </c>
      <c r="M373" s="32">
        <f>'4.5.1'!P9</f>
        <v>0</v>
      </c>
      <c r="N373" s="26">
        <f>'4.5.1'!N9</f>
        <v>6565.5599999999995</v>
      </c>
      <c r="O373" s="877" t="s">
        <v>183</v>
      </c>
      <c r="P373" s="877" t="s">
        <v>184</v>
      </c>
    </row>
    <row r="374" spans="1:16" ht="38.25" hidden="1" x14ac:dyDescent="0.25">
      <c r="A374" s="2">
        <v>4</v>
      </c>
      <c r="B374" s="3" t="s">
        <v>60</v>
      </c>
      <c r="C374" s="3" t="s">
        <v>541</v>
      </c>
      <c r="D374" s="127" t="s">
        <v>60</v>
      </c>
      <c r="E374" s="127" t="s">
        <v>584</v>
      </c>
      <c r="F374" s="3" t="s">
        <v>448</v>
      </c>
      <c r="G374" s="8" t="s">
        <v>186</v>
      </c>
      <c r="H374" s="9"/>
      <c r="I374" s="5"/>
      <c r="J374" s="5"/>
      <c r="K374" s="5">
        <f>'4.5.1'!Q10</f>
        <v>0</v>
      </c>
      <c r="L374" s="32">
        <f>'4.5.1'!R9</f>
        <v>0</v>
      </c>
      <c r="M374" s="32">
        <f>'4.5.1'!S9</f>
        <v>0</v>
      </c>
      <c r="N374" s="26">
        <f>'4.5.1'!Q9</f>
        <v>0</v>
      </c>
      <c r="O374" s="877" t="s">
        <v>185</v>
      </c>
      <c r="P374" s="877" t="s">
        <v>186</v>
      </c>
    </row>
    <row r="375" spans="1:16" hidden="1" x14ac:dyDescent="0.25">
      <c r="A375" s="2">
        <v>4</v>
      </c>
      <c r="B375" s="3" t="s">
        <v>60</v>
      </c>
      <c r="C375" s="3" t="s">
        <v>541</v>
      </c>
      <c r="D375" s="127" t="s">
        <v>60</v>
      </c>
      <c r="E375" s="127" t="s">
        <v>584</v>
      </c>
      <c r="F375" s="3" t="s">
        <v>396</v>
      </c>
      <c r="G375" s="8" t="s">
        <v>146</v>
      </c>
      <c r="H375" s="9"/>
      <c r="I375" s="5"/>
      <c r="J375" s="5"/>
      <c r="K375" s="5">
        <f>'4.5.1'!T10</f>
        <v>0</v>
      </c>
      <c r="L375" s="32">
        <f>'4.5.1'!U9</f>
        <v>0</v>
      </c>
      <c r="M375" s="32">
        <f>'4.5.1'!V9</f>
        <v>0</v>
      </c>
      <c r="N375" s="26">
        <f>'4.5.1'!T9</f>
        <v>0</v>
      </c>
      <c r="O375" s="877" t="s">
        <v>145</v>
      </c>
      <c r="P375" s="877" t="s">
        <v>146</v>
      </c>
    </row>
    <row r="376" spans="1:16" ht="25.5" hidden="1" x14ac:dyDescent="0.25">
      <c r="A376" s="2">
        <v>4</v>
      </c>
      <c r="B376" s="3" t="s">
        <v>60</v>
      </c>
      <c r="C376" s="3" t="s">
        <v>541</v>
      </c>
      <c r="D376" s="127" t="s">
        <v>60</v>
      </c>
      <c r="E376" s="127" t="s">
        <v>584</v>
      </c>
      <c r="F376" s="3" t="s">
        <v>451</v>
      </c>
      <c r="G376" s="8" t="s">
        <v>452</v>
      </c>
      <c r="H376" s="9"/>
      <c r="I376" s="5"/>
      <c r="J376" s="5"/>
      <c r="K376" s="5">
        <f>'4.5.1'!W10</f>
        <v>0</v>
      </c>
      <c r="L376" s="32">
        <f>'4.5.1'!X9</f>
        <v>0</v>
      </c>
      <c r="M376" s="32">
        <f>'4.5.1'!Y9</f>
        <v>0</v>
      </c>
      <c r="N376" s="26">
        <f>'4.5.1'!W9</f>
        <v>0</v>
      </c>
      <c r="O376" s="874"/>
      <c r="P376" s="874"/>
    </row>
    <row r="377" spans="1:16" ht="38.25" hidden="1" x14ac:dyDescent="0.25">
      <c r="A377" s="2">
        <v>4</v>
      </c>
      <c r="B377" s="3" t="s">
        <v>60</v>
      </c>
      <c r="C377" s="3" t="s">
        <v>541</v>
      </c>
      <c r="D377" s="127" t="s">
        <v>60</v>
      </c>
      <c r="E377" s="127" t="s">
        <v>584</v>
      </c>
      <c r="F377" s="3" t="s">
        <v>453</v>
      </c>
      <c r="G377" s="8" t="s">
        <v>188</v>
      </c>
      <c r="H377" s="9"/>
      <c r="I377" s="5"/>
      <c r="J377" s="5"/>
      <c r="K377" s="5">
        <f>'4.5.1'!Z10</f>
        <v>0</v>
      </c>
      <c r="L377" s="32">
        <f>'4.5.1'!AA9</f>
        <v>0</v>
      </c>
      <c r="M377" s="32">
        <f>'4.5.1'!AB9</f>
        <v>0</v>
      </c>
      <c r="N377" s="26">
        <f>'4.5.1'!Z9</f>
        <v>0</v>
      </c>
      <c r="O377" s="877" t="s">
        <v>187</v>
      </c>
      <c r="P377" s="877" t="s">
        <v>188</v>
      </c>
    </row>
    <row r="378" spans="1:16" x14ac:dyDescent="0.25">
      <c r="A378" s="2">
        <v>5</v>
      </c>
      <c r="B378" s="3" t="s">
        <v>47</v>
      </c>
      <c r="C378" s="3" t="s">
        <v>555</v>
      </c>
      <c r="D378" s="127" t="s">
        <v>47</v>
      </c>
      <c r="E378" s="127" t="s">
        <v>1449</v>
      </c>
      <c r="F378" s="3" t="s">
        <v>459</v>
      </c>
      <c r="G378" s="8" t="s">
        <v>460</v>
      </c>
      <c r="H378" s="9" t="s">
        <v>464</v>
      </c>
      <c r="I378" s="5"/>
      <c r="J378" s="5"/>
      <c r="K378" s="5"/>
      <c r="L378" s="30"/>
      <c r="M378" s="30"/>
      <c r="N378" s="25"/>
      <c r="O378" s="874"/>
      <c r="P378" s="874"/>
    </row>
    <row r="379" spans="1:16" x14ac:dyDescent="0.25">
      <c r="A379" s="2">
        <v>5</v>
      </c>
      <c r="B379" s="3" t="s">
        <v>47</v>
      </c>
      <c r="C379" s="3" t="s">
        <v>555</v>
      </c>
      <c r="D379" s="127" t="s">
        <v>47</v>
      </c>
      <c r="E379" s="127" t="s">
        <v>1449</v>
      </c>
      <c r="F379" s="3" t="s">
        <v>461</v>
      </c>
      <c r="G379" s="8" t="s">
        <v>192</v>
      </c>
      <c r="H379" s="9" t="s">
        <v>464</v>
      </c>
      <c r="I379" s="5"/>
      <c r="J379" s="5"/>
      <c r="K379" s="5"/>
      <c r="L379" s="30"/>
      <c r="M379" s="30"/>
      <c r="N379" s="25"/>
      <c r="O379" s="880" t="s">
        <v>191</v>
      </c>
      <c r="P379" s="881" t="s">
        <v>192</v>
      </c>
    </row>
    <row r="380" spans="1:16" ht="25.5" x14ac:dyDescent="0.25">
      <c r="A380" s="2">
        <v>5</v>
      </c>
      <c r="B380" s="3" t="s">
        <v>47</v>
      </c>
      <c r="C380" s="3" t="s">
        <v>555</v>
      </c>
      <c r="D380" s="127" t="s">
        <v>47</v>
      </c>
      <c r="E380" s="127" t="s">
        <v>1450</v>
      </c>
      <c r="F380" s="3" t="s">
        <v>454</v>
      </c>
      <c r="G380" s="8" t="s">
        <v>455</v>
      </c>
      <c r="H380" s="864" t="s">
        <v>464</v>
      </c>
      <c r="I380" s="5"/>
      <c r="J380" s="5"/>
      <c r="K380" s="5"/>
      <c r="L380" s="30"/>
      <c r="M380" s="30"/>
      <c r="N380" s="25"/>
      <c r="O380" s="881" t="s">
        <v>2201</v>
      </c>
      <c r="P380" s="881" t="s">
        <v>2157</v>
      </c>
    </row>
    <row r="381" spans="1:16" ht="25.5" x14ac:dyDescent="0.25">
      <c r="A381" s="2">
        <v>5</v>
      </c>
      <c r="B381" s="3" t="s">
        <v>47</v>
      </c>
      <c r="C381" s="3" t="s">
        <v>555</v>
      </c>
      <c r="D381" s="127" t="s">
        <v>47</v>
      </c>
      <c r="E381" s="127" t="s">
        <v>1450</v>
      </c>
      <c r="F381" s="3" t="s">
        <v>1434</v>
      </c>
      <c r="G381" s="8" t="s">
        <v>1435</v>
      </c>
      <c r="H381" s="864" t="s">
        <v>464</v>
      </c>
      <c r="I381" s="5"/>
      <c r="J381" s="5"/>
      <c r="K381" s="5"/>
      <c r="L381" s="30"/>
      <c r="M381" s="30"/>
      <c r="N381" s="25"/>
      <c r="O381" s="874"/>
      <c r="P381" s="874"/>
    </row>
    <row r="382" spans="1:16" ht="25.5" x14ac:dyDescent="0.25">
      <c r="A382" s="2">
        <v>5</v>
      </c>
      <c r="B382" s="3" t="s">
        <v>47</v>
      </c>
      <c r="C382" s="3" t="s">
        <v>555</v>
      </c>
      <c r="D382" s="127" t="s">
        <v>47</v>
      </c>
      <c r="E382" s="127" t="s">
        <v>1451</v>
      </c>
      <c r="F382" s="3" t="s">
        <v>456</v>
      </c>
      <c r="G382" s="8" t="s">
        <v>457</v>
      </c>
      <c r="H382" s="864" t="s">
        <v>464</v>
      </c>
      <c r="I382" s="5"/>
      <c r="J382" s="5"/>
      <c r="K382" s="5"/>
      <c r="L382" s="30"/>
      <c r="M382" s="30"/>
      <c r="N382" s="25"/>
      <c r="O382" s="881" t="s">
        <v>2202</v>
      </c>
      <c r="P382" s="881" t="s">
        <v>2159</v>
      </c>
    </row>
    <row r="383" spans="1:16" x14ac:dyDescent="0.25">
      <c r="A383" s="2">
        <v>5</v>
      </c>
      <c r="B383" s="3" t="s">
        <v>47</v>
      </c>
      <c r="C383" s="3" t="s">
        <v>555</v>
      </c>
      <c r="D383" s="127" t="s">
        <v>47</v>
      </c>
      <c r="E383" s="127" t="s">
        <v>1451</v>
      </c>
      <c r="F383" s="3" t="s">
        <v>1436</v>
      </c>
      <c r="G383" s="8" t="s">
        <v>1437</v>
      </c>
      <c r="H383" s="864" t="s">
        <v>464</v>
      </c>
      <c r="I383" s="5"/>
      <c r="J383" s="5"/>
      <c r="K383" s="5"/>
      <c r="L383" s="30"/>
      <c r="M383" s="30"/>
      <c r="N383" s="25"/>
      <c r="O383" s="874"/>
      <c r="P383" s="874"/>
    </row>
    <row r="384" spans="1:16" x14ac:dyDescent="0.25">
      <c r="A384" s="2">
        <v>5</v>
      </c>
      <c r="B384" s="3" t="s">
        <v>47</v>
      </c>
      <c r="C384" s="3" t="s">
        <v>555</v>
      </c>
      <c r="D384" s="127" t="s">
        <v>47</v>
      </c>
      <c r="E384" s="127" t="s">
        <v>1451</v>
      </c>
      <c r="F384" s="116" t="s">
        <v>459</v>
      </c>
      <c r="G384" s="8" t="s">
        <v>460</v>
      </c>
      <c r="H384" s="864" t="s">
        <v>464</v>
      </c>
      <c r="I384" s="5"/>
      <c r="J384" s="5"/>
      <c r="K384" s="5"/>
      <c r="L384" s="30"/>
      <c r="M384" s="30"/>
      <c r="N384" s="25"/>
      <c r="O384" s="874"/>
      <c r="P384" s="874"/>
    </row>
    <row r="385" spans="1:16" x14ac:dyDescent="0.25">
      <c r="A385" s="2">
        <v>5</v>
      </c>
      <c r="B385" s="3" t="s">
        <v>47</v>
      </c>
      <c r="C385" s="3" t="s">
        <v>555</v>
      </c>
      <c r="D385" s="127" t="s">
        <v>47</v>
      </c>
      <c r="E385" s="127" t="s">
        <v>1451</v>
      </c>
      <c r="F385" s="3" t="s">
        <v>1438</v>
      </c>
      <c r="G385" s="8" t="s">
        <v>1439</v>
      </c>
      <c r="H385" s="864" t="s">
        <v>464</v>
      </c>
      <c r="I385" s="5"/>
      <c r="J385" s="5"/>
      <c r="K385" s="5"/>
      <c r="L385" s="30"/>
      <c r="M385" s="30"/>
      <c r="N385" s="25"/>
      <c r="O385" s="874"/>
      <c r="P385" s="874"/>
    </row>
    <row r="386" spans="1:16" x14ac:dyDescent="0.25">
      <c r="A386" s="2"/>
      <c r="B386" s="116"/>
      <c r="C386" s="116" t="s">
        <v>555</v>
      </c>
      <c r="D386" s="127" t="s">
        <v>47</v>
      </c>
      <c r="E386" s="127" t="s">
        <v>1451</v>
      </c>
      <c r="F386" s="116" t="s">
        <v>1440</v>
      </c>
      <c r="G386" s="8" t="s">
        <v>1441</v>
      </c>
      <c r="H386" s="864" t="s">
        <v>464</v>
      </c>
      <c r="I386" s="5"/>
      <c r="J386" s="5"/>
      <c r="K386" s="5"/>
      <c r="L386" s="30"/>
      <c r="M386" s="30"/>
      <c r="N386" s="25"/>
      <c r="O386" s="874"/>
      <c r="P386" s="874"/>
    </row>
    <row r="387" spans="1:16" x14ac:dyDescent="0.25">
      <c r="A387" s="2">
        <v>5</v>
      </c>
      <c r="B387" s="3" t="s">
        <v>47</v>
      </c>
      <c r="C387" s="3" t="s">
        <v>555</v>
      </c>
      <c r="D387" s="127" t="s">
        <v>47</v>
      </c>
      <c r="E387" s="127" t="s">
        <v>1452</v>
      </c>
      <c r="F387" s="3" t="s">
        <v>1442</v>
      </c>
      <c r="G387" s="8" t="s">
        <v>1443</v>
      </c>
      <c r="H387" s="864" t="s">
        <v>464</v>
      </c>
      <c r="I387" s="5"/>
      <c r="J387" s="5"/>
      <c r="K387" s="5"/>
      <c r="L387" s="30"/>
      <c r="M387" s="30"/>
      <c r="N387" s="25"/>
      <c r="O387" s="874"/>
      <c r="P387" s="874"/>
    </row>
    <row r="388" spans="1:16" x14ac:dyDescent="0.25">
      <c r="A388" s="2">
        <v>5</v>
      </c>
      <c r="B388" s="3" t="s">
        <v>47</v>
      </c>
      <c r="C388" s="3" t="s">
        <v>555</v>
      </c>
      <c r="D388" s="127" t="s">
        <v>47</v>
      </c>
      <c r="E388" s="127" t="s">
        <v>1452</v>
      </c>
      <c r="F388" s="3" t="s">
        <v>1444</v>
      </c>
      <c r="G388" s="8" t="s">
        <v>1445</v>
      </c>
      <c r="H388" s="864" t="s">
        <v>464</v>
      </c>
      <c r="I388" s="5"/>
      <c r="J388" s="5"/>
      <c r="K388" s="5"/>
      <c r="L388" s="30"/>
      <c r="M388" s="30"/>
      <c r="N388" s="25"/>
      <c r="O388" s="874"/>
      <c r="P388" s="874"/>
    </row>
    <row r="389" spans="1:16" x14ac:dyDescent="0.25">
      <c r="A389" s="2"/>
      <c r="B389" s="116"/>
      <c r="C389" s="116" t="s">
        <v>555</v>
      </c>
      <c r="D389" s="127" t="s">
        <v>47</v>
      </c>
      <c r="E389" s="127" t="s">
        <v>1452</v>
      </c>
      <c r="F389" s="116" t="s">
        <v>458</v>
      </c>
      <c r="G389" s="8" t="s">
        <v>1446</v>
      </c>
      <c r="H389" s="864" t="s">
        <v>464</v>
      </c>
      <c r="I389" s="5"/>
      <c r="J389" s="5"/>
      <c r="K389" s="5"/>
      <c r="L389" s="30"/>
      <c r="M389" s="30"/>
      <c r="N389" s="25"/>
      <c r="O389" s="881" t="s">
        <v>195</v>
      </c>
      <c r="P389" s="881" t="s">
        <v>196</v>
      </c>
    </row>
    <row r="390" spans="1:16" x14ac:dyDescent="0.25">
      <c r="A390" s="2"/>
      <c r="B390" s="116"/>
      <c r="C390" s="116" t="s">
        <v>555</v>
      </c>
      <c r="D390" s="127" t="s">
        <v>47</v>
      </c>
      <c r="E390" s="127" t="s">
        <v>1452</v>
      </c>
      <c r="F390" s="116" t="s">
        <v>1447</v>
      </c>
      <c r="G390" s="8" t="s">
        <v>1448</v>
      </c>
      <c r="H390" s="117" t="s">
        <v>464</v>
      </c>
      <c r="I390" s="5"/>
      <c r="J390" s="5"/>
      <c r="K390" s="5"/>
      <c r="L390" s="30"/>
      <c r="M390" s="30"/>
      <c r="N390" s="25"/>
      <c r="O390" s="874"/>
      <c r="P390" s="874"/>
    </row>
    <row r="391" spans="1:16" x14ac:dyDescent="0.25">
      <c r="A391" s="2"/>
      <c r="B391" s="116"/>
      <c r="C391" s="116" t="s">
        <v>555</v>
      </c>
      <c r="D391" s="127" t="s">
        <v>47</v>
      </c>
      <c r="E391" s="127" t="s">
        <v>1453</v>
      </c>
      <c r="F391" s="116" t="s">
        <v>459</v>
      </c>
      <c r="G391" s="8" t="s">
        <v>460</v>
      </c>
      <c r="H391" s="117" t="s">
        <v>464</v>
      </c>
      <c r="I391" s="5"/>
      <c r="J391" s="5"/>
      <c r="K391" s="5"/>
      <c r="L391" s="30"/>
      <c r="M391" s="30"/>
      <c r="N391" s="25"/>
      <c r="O391" s="874"/>
      <c r="P391" s="874"/>
    </row>
    <row r="392" spans="1:16" x14ac:dyDescent="0.25">
      <c r="A392" s="2"/>
      <c r="B392" s="116"/>
      <c r="C392" s="116" t="s">
        <v>555</v>
      </c>
      <c r="D392" s="127" t="s">
        <v>47</v>
      </c>
      <c r="E392" s="127" t="s">
        <v>1453</v>
      </c>
      <c r="F392" s="116" t="s">
        <v>461</v>
      </c>
      <c r="G392" s="8" t="s">
        <v>192</v>
      </c>
      <c r="H392" s="117" t="s">
        <v>464</v>
      </c>
      <c r="I392" s="5"/>
      <c r="J392" s="5"/>
      <c r="K392" s="5"/>
      <c r="L392" s="30"/>
      <c r="M392" s="30"/>
      <c r="N392" s="25"/>
      <c r="O392" s="880" t="s">
        <v>2203</v>
      </c>
      <c r="P392" s="881" t="s">
        <v>192</v>
      </c>
    </row>
    <row r="393" spans="1:16" ht="25.5" x14ac:dyDescent="0.25">
      <c r="A393" s="2"/>
      <c r="B393" s="116"/>
      <c r="C393" s="116" t="s">
        <v>555</v>
      </c>
      <c r="D393" s="127" t="s">
        <v>47</v>
      </c>
      <c r="E393" s="127" t="s">
        <v>1454</v>
      </c>
      <c r="F393" s="116" t="s">
        <v>454</v>
      </c>
      <c r="G393" s="8" t="s">
        <v>455</v>
      </c>
      <c r="H393" s="117" t="s">
        <v>464</v>
      </c>
      <c r="I393" s="5"/>
      <c r="J393" s="5"/>
      <c r="K393" s="5"/>
      <c r="L393" s="30"/>
      <c r="M393" s="30"/>
      <c r="N393" s="25"/>
      <c r="O393" s="881" t="s">
        <v>2204</v>
      </c>
      <c r="P393" s="881" t="s">
        <v>2157</v>
      </c>
    </row>
    <row r="394" spans="1:16" ht="25.5" x14ac:dyDescent="0.25">
      <c r="A394" s="2"/>
      <c r="B394" s="116"/>
      <c r="C394" s="116" t="s">
        <v>555</v>
      </c>
      <c r="D394" s="127" t="s">
        <v>47</v>
      </c>
      <c r="E394" s="127" t="s">
        <v>1454</v>
      </c>
      <c r="F394" s="116" t="s">
        <v>1434</v>
      </c>
      <c r="G394" s="8" t="s">
        <v>1435</v>
      </c>
      <c r="H394" s="117" t="s">
        <v>464</v>
      </c>
      <c r="I394" s="5"/>
      <c r="J394" s="5"/>
      <c r="K394" s="5"/>
      <c r="L394" s="30"/>
      <c r="M394" s="30"/>
      <c r="N394" s="25"/>
      <c r="O394" s="874"/>
      <c r="P394" s="874"/>
    </row>
    <row r="395" spans="1:16" ht="38.25" x14ac:dyDescent="0.25">
      <c r="A395" s="2"/>
      <c r="B395" s="116"/>
      <c r="C395" s="116" t="s">
        <v>555</v>
      </c>
      <c r="D395" s="127" t="s">
        <v>47</v>
      </c>
      <c r="E395" s="127" t="s">
        <v>1455</v>
      </c>
      <c r="F395" s="116" t="s">
        <v>456</v>
      </c>
      <c r="G395" s="8" t="s">
        <v>457</v>
      </c>
      <c r="H395" s="117" t="s">
        <v>464</v>
      </c>
      <c r="I395" s="5"/>
      <c r="J395" s="5"/>
      <c r="K395" s="5"/>
      <c r="L395" s="30"/>
      <c r="M395" s="30"/>
      <c r="N395" s="25"/>
      <c r="O395" s="881" t="s">
        <v>2202</v>
      </c>
      <c r="P395" s="881" t="s">
        <v>2196</v>
      </c>
    </row>
    <row r="396" spans="1:16" x14ac:dyDescent="0.25">
      <c r="A396" s="2"/>
      <c r="B396" s="116"/>
      <c r="C396" s="116" t="s">
        <v>555</v>
      </c>
      <c r="D396" s="127" t="s">
        <v>47</v>
      </c>
      <c r="E396" s="127" t="s">
        <v>1455</v>
      </c>
      <c r="F396" s="116" t="s">
        <v>1436</v>
      </c>
      <c r="G396" s="8" t="s">
        <v>1437</v>
      </c>
      <c r="H396" s="864" t="s">
        <v>464</v>
      </c>
      <c r="I396" s="5"/>
      <c r="J396" s="5"/>
      <c r="K396" s="5"/>
      <c r="L396" s="30"/>
      <c r="M396" s="30"/>
      <c r="N396" s="25"/>
      <c r="O396" s="874"/>
      <c r="P396" s="874"/>
    </row>
    <row r="397" spans="1:16" x14ac:dyDescent="0.25">
      <c r="A397" s="2"/>
      <c r="B397" s="116"/>
      <c r="C397" s="116" t="s">
        <v>555</v>
      </c>
      <c r="D397" s="127" t="s">
        <v>47</v>
      </c>
      <c r="E397" s="127" t="s">
        <v>1455</v>
      </c>
      <c r="F397" s="116" t="s">
        <v>459</v>
      </c>
      <c r="G397" s="8" t="s">
        <v>460</v>
      </c>
      <c r="H397" s="864" t="s">
        <v>464</v>
      </c>
      <c r="I397" s="5"/>
      <c r="J397" s="5"/>
      <c r="K397" s="5"/>
      <c r="L397" s="30"/>
      <c r="M397" s="30"/>
      <c r="N397" s="25"/>
      <c r="O397" s="874"/>
      <c r="P397" s="874"/>
    </row>
    <row r="398" spans="1:16" x14ac:dyDescent="0.25">
      <c r="A398" s="2"/>
      <c r="B398" s="116"/>
      <c r="C398" s="116" t="s">
        <v>555</v>
      </c>
      <c r="D398" s="127" t="s">
        <v>47</v>
      </c>
      <c r="E398" s="127" t="s">
        <v>1455</v>
      </c>
      <c r="F398" s="116" t="s">
        <v>1438</v>
      </c>
      <c r="G398" s="8" t="s">
        <v>1439</v>
      </c>
      <c r="H398" s="864" t="s">
        <v>464</v>
      </c>
      <c r="I398" s="5"/>
      <c r="J398" s="5"/>
      <c r="K398" s="5"/>
      <c r="L398" s="30"/>
      <c r="M398" s="30"/>
      <c r="N398" s="25"/>
      <c r="O398" s="874"/>
      <c r="P398" s="874"/>
    </row>
    <row r="399" spans="1:16" x14ac:dyDescent="0.25">
      <c r="A399" s="2"/>
      <c r="B399" s="116"/>
      <c r="C399" s="116" t="s">
        <v>555</v>
      </c>
      <c r="D399" s="127" t="s">
        <v>47</v>
      </c>
      <c r="E399" s="127" t="s">
        <v>1455</v>
      </c>
      <c r="F399" s="116" t="s">
        <v>1440</v>
      </c>
      <c r="G399" s="8" t="s">
        <v>1441</v>
      </c>
      <c r="H399" s="864" t="s">
        <v>464</v>
      </c>
      <c r="I399" s="5"/>
      <c r="J399" s="5"/>
      <c r="K399" s="5"/>
      <c r="L399" s="30"/>
      <c r="M399" s="30"/>
      <c r="N399" s="25"/>
      <c r="O399" s="874"/>
      <c r="P399" s="874"/>
    </row>
    <row r="400" spans="1:16" x14ac:dyDescent="0.25">
      <c r="A400" s="2"/>
      <c r="B400" s="116"/>
      <c r="C400" s="116" t="s">
        <v>555</v>
      </c>
      <c r="D400" s="127" t="s">
        <v>47</v>
      </c>
      <c r="E400" s="127" t="s">
        <v>1456</v>
      </c>
      <c r="F400" s="116" t="s">
        <v>1442</v>
      </c>
      <c r="G400" s="8" t="s">
        <v>1443</v>
      </c>
      <c r="H400" s="864" t="s">
        <v>464</v>
      </c>
      <c r="I400" s="5"/>
      <c r="J400" s="5"/>
      <c r="K400" s="5"/>
      <c r="L400" s="30"/>
      <c r="M400" s="30"/>
      <c r="N400" s="25"/>
      <c r="O400" s="874"/>
      <c r="P400" s="874"/>
    </row>
    <row r="401" spans="1:16" x14ac:dyDescent="0.25">
      <c r="A401" s="2"/>
      <c r="B401" s="116"/>
      <c r="C401" s="116" t="s">
        <v>555</v>
      </c>
      <c r="D401" s="127" t="s">
        <v>47</v>
      </c>
      <c r="E401" s="127" t="s">
        <v>1456</v>
      </c>
      <c r="F401" s="116" t="s">
        <v>1444</v>
      </c>
      <c r="G401" s="8" t="s">
        <v>1445</v>
      </c>
      <c r="H401" s="864" t="s">
        <v>464</v>
      </c>
      <c r="I401" s="5"/>
      <c r="J401" s="5"/>
      <c r="K401" s="5"/>
      <c r="L401" s="30"/>
      <c r="M401" s="30"/>
      <c r="N401" s="25"/>
      <c r="O401" s="874"/>
      <c r="P401" s="874"/>
    </row>
    <row r="402" spans="1:16" x14ac:dyDescent="0.25">
      <c r="A402" s="2"/>
      <c r="B402" s="116"/>
      <c r="C402" s="116" t="s">
        <v>555</v>
      </c>
      <c r="D402" s="127" t="s">
        <v>47</v>
      </c>
      <c r="E402" s="127" t="s">
        <v>1456</v>
      </c>
      <c r="F402" s="116" t="s">
        <v>458</v>
      </c>
      <c r="G402" s="8" t="s">
        <v>1446</v>
      </c>
      <c r="H402" s="864" t="s">
        <v>464</v>
      </c>
      <c r="I402" s="5"/>
      <c r="J402" s="5"/>
      <c r="K402" s="5"/>
      <c r="L402" s="30"/>
      <c r="M402" s="30"/>
      <c r="N402" s="25"/>
      <c r="O402" s="881" t="s">
        <v>2205</v>
      </c>
      <c r="P402" s="881" t="s">
        <v>196</v>
      </c>
    </row>
    <row r="403" spans="1:16" x14ac:dyDescent="0.25">
      <c r="A403" s="2"/>
      <c r="B403" s="116"/>
      <c r="C403" s="116" t="s">
        <v>555</v>
      </c>
      <c r="D403" s="127" t="s">
        <v>47</v>
      </c>
      <c r="E403" s="127" t="s">
        <v>1456</v>
      </c>
      <c r="F403" s="116" t="s">
        <v>1447</v>
      </c>
      <c r="G403" s="8" t="s">
        <v>1448</v>
      </c>
      <c r="H403" s="864" t="s">
        <v>464</v>
      </c>
      <c r="I403" s="5"/>
      <c r="J403" s="5"/>
      <c r="K403" s="5"/>
      <c r="L403" s="30"/>
      <c r="M403" s="30"/>
      <c r="N403" s="25"/>
      <c r="O403" s="874"/>
      <c r="P403" s="874"/>
    </row>
    <row r="404" spans="1:16" x14ac:dyDescent="0.25">
      <c r="A404" s="2">
        <v>5</v>
      </c>
      <c r="B404" s="3" t="s">
        <v>75</v>
      </c>
      <c r="C404" s="3" t="s">
        <v>555</v>
      </c>
      <c r="D404" s="127" t="s">
        <v>75</v>
      </c>
      <c r="E404" s="127" t="s">
        <v>1461</v>
      </c>
      <c r="F404" s="3" t="s">
        <v>1457</v>
      </c>
      <c r="G404" s="8" t="s">
        <v>1458</v>
      </c>
      <c r="H404" s="864" t="s">
        <v>464</v>
      </c>
      <c r="I404" s="5"/>
      <c r="J404" s="5"/>
      <c r="K404" s="5"/>
      <c r="L404" s="30"/>
      <c r="M404" s="30"/>
      <c r="N404" s="25"/>
      <c r="O404" s="874"/>
      <c r="P404" s="874"/>
    </row>
    <row r="405" spans="1:16" x14ac:dyDescent="0.25">
      <c r="A405" s="2">
        <v>5</v>
      </c>
      <c r="B405" s="3" t="s">
        <v>75</v>
      </c>
      <c r="C405" s="3" t="s">
        <v>555</v>
      </c>
      <c r="D405" s="127" t="s">
        <v>75</v>
      </c>
      <c r="E405" s="127" t="s">
        <v>1461</v>
      </c>
      <c r="F405" s="3" t="s">
        <v>215</v>
      </c>
      <c r="G405" s="8" t="s">
        <v>216</v>
      </c>
      <c r="H405" s="864" t="s">
        <v>464</v>
      </c>
      <c r="I405" s="5"/>
      <c r="J405" s="5"/>
      <c r="K405" s="5"/>
      <c r="L405" s="30"/>
      <c r="M405" s="30"/>
      <c r="N405" s="25"/>
      <c r="O405" s="875" t="s">
        <v>84</v>
      </c>
      <c r="P405" s="875" t="s">
        <v>216</v>
      </c>
    </row>
    <row r="406" spans="1:16" x14ac:dyDescent="0.25">
      <c r="A406" s="2"/>
      <c r="B406" s="116"/>
      <c r="C406" s="116" t="s">
        <v>555</v>
      </c>
      <c r="D406" s="127" t="s">
        <v>75</v>
      </c>
      <c r="E406" s="127" t="s">
        <v>1461</v>
      </c>
      <c r="F406" s="116" t="s">
        <v>1460</v>
      </c>
      <c r="G406" s="8" t="s">
        <v>1459</v>
      </c>
      <c r="H406" s="864" t="s">
        <v>464</v>
      </c>
      <c r="I406" s="5"/>
      <c r="J406" s="5"/>
      <c r="K406" s="5"/>
      <c r="L406" s="30"/>
      <c r="M406" s="30"/>
      <c r="N406" s="25"/>
      <c r="O406" s="874"/>
      <c r="P406" s="874"/>
    </row>
    <row r="407" spans="1:16" x14ac:dyDescent="0.25">
      <c r="A407" s="2">
        <v>5</v>
      </c>
      <c r="B407" s="3" t="s">
        <v>75</v>
      </c>
      <c r="C407" s="3" t="s">
        <v>555</v>
      </c>
      <c r="D407" s="127" t="s">
        <v>75</v>
      </c>
      <c r="E407" s="127" t="s">
        <v>1462</v>
      </c>
      <c r="F407" s="116" t="s">
        <v>1457</v>
      </c>
      <c r="G407" s="8" t="s">
        <v>1458</v>
      </c>
      <c r="H407" s="864" t="s">
        <v>464</v>
      </c>
      <c r="I407" s="5"/>
      <c r="J407" s="5"/>
      <c r="K407" s="5"/>
      <c r="L407" s="30"/>
      <c r="M407" s="30"/>
      <c r="N407" s="25"/>
      <c r="O407" s="874"/>
      <c r="P407" s="874"/>
    </row>
    <row r="408" spans="1:16" x14ac:dyDescent="0.25">
      <c r="A408" s="2">
        <v>5</v>
      </c>
      <c r="B408" s="3" t="s">
        <v>75</v>
      </c>
      <c r="C408" s="3" t="s">
        <v>555</v>
      </c>
      <c r="D408" s="127" t="s">
        <v>75</v>
      </c>
      <c r="E408" s="127" t="s">
        <v>1462</v>
      </c>
      <c r="F408" s="116" t="s">
        <v>215</v>
      </c>
      <c r="G408" s="8" t="s">
        <v>216</v>
      </c>
      <c r="H408" s="864" t="s">
        <v>464</v>
      </c>
      <c r="I408" s="5"/>
      <c r="J408" s="5"/>
      <c r="K408" s="5"/>
      <c r="L408" s="30"/>
      <c r="M408" s="30"/>
      <c r="N408" s="25"/>
      <c r="O408" s="875" t="s">
        <v>84</v>
      </c>
      <c r="P408" s="875" t="s">
        <v>216</v>
      </c>
    </row>
    <row r="409" spans="1:16" x14ac:dyDescent="0.25">
      <c r="C409" s="116" t="s">
        <v>555</v>
      </c>
      <c r="D409" s="127" t="s">
        <v>75</v>
      </c>
      <c r="E409" s="127" t="s">
        <v>1462</v>
      </c>
      <c r="F409" s="116" t="s">
        <v>1460</v>
      </c>
      <c r="G409" s="8" t="s">
        <v>1459</v>
      </c>
      <c r="H409" s="864" t="s">
        <v>464</v>
      </c>
      <c r="I409" s="5"/>
      <c r="J409" s="5"/>
      <c r="K409" s="5"/>
      <c r="L409" s="30"/>
      <c r="M409" s="30"/>
      <c r="N409" s="25"/>
      <c r="O409" s="874"/>
      <c r="P409" s="874"/>
    </row>
    <row r="410" spans="1:16" x14ac:dyDescent="0.25">
      <c r="C410" s="116" t="s">
        <v>555</v>
      </c>
      <c r="D410" s="127" t="s">
        <v>75</v>
      </c>
      <c r="E410" s="127" t="s">
        <v>1463</v>
      </c>
      <c r="F410" s="116" t="s">
        <v>1457</v>
      </c>
      <c r="G410" s="8" t="s">
        <v>1458</v>
      </c>
      <c r="H410" s="864" t="s">
        <v>464</v>
      </c>
      <c r="I410" s="5"/>
      <c r="J410" s="5"/>
      <c r="K410" s="5"/>
      <c r="L410" s="30"/>
      <c r="M410" s="30"/>
      <c r="N410" s="25"/>
      <c r="O410" s="874"/>
      <c r="P410" s="874"/>
    </row>
    <row r="411" spans="1:16" x14ac:dyDescent="0.25">
      <c r="C411" s="116" t="s">
        <v>555</v>
      </c>
      <c r="D411" s="127" t="s">
        <v>75</v>
      </c>
      <c r="E411" s="127" t="s">
        <v>1463</v>
      </c>
      <c r="F411" s="116" t="s">
        <v>215</v>
      </c>
      <c r="G411" s="8" t="s">
        <v>216</v>
      </c>
      <c r="H411" s="864" t="s">
        <v>464</v>
      </c>
      <c r="I411" s="5"/>
      <c r="J411" s="5"/>
      <c r="K411" s="5"/>
      <c r="L411" s="30"/>
      <c r="M411" s="30"/>
      <c r="N411" s="25"/>
      <c r="O411" s="875" t="s">
        <v>84</v>
      </c>
      <c r="P411" s="875" t="s">
        <v>216</v>
      </c>
    </row>
    <row r="412" spans="1:16" x14ac:dyDescent="0.25">
      <c r="C412" s="116" t="s">
        <v>555</v>
      </c>
      <c r="D412" s="127" t="s">
        <v>75</v>
      </c>
      <c r="E412" s="127" t="s">
        <v>1463</v>
      </c>
      <c r="F412" s="116" t="s">
        <v>1460</v>
      </c>
      <c r="G412" s="8" t="s">
        <v>1459</v>
      </c>
      <c r="H412" s="864" t="s">
        <v>464</v>
      </c>
      <c r="I412" s="5"/>
      <c r="J412" s="5"/>
      <c r="K412" s="5"/>
      <c r="L412" s="30"/>
      <c r="M412" s="30"/>
      <c r="N412" s="25"/>
      <c r="O412" s="874"/>
      <c r="P412" s="874"/>
    </row>
    <row r="413" spans="1:16" x14ac:dyDescent="0.25">
      <c r="C413" s="116" t="s">
        <v>555</v>
      </c>
      <c r="D413" s="127" t="s">
        <v>75</v>
      </c>
      <c r="E413" s="127" t="s">
        <v>1464</v>
      </c>
      <c r="F413" s="116" t="s">
        <v>1457</v>
      </c>
      <c r="G413" s="8" t="s">
        <v>1458</v>
      </c>
      <c r="H413" s="864" t="s">
        <v>464</v>
      </c>
      <c r="I413" s="5"/>
      <c r="J413" s="5"/>
      <c r="K413" s="5"/>
      <c r="L413" s="30"/>
      <c r="M413" s="30"/>
      <c r="N413" s="25"/>
      <c r="O413" s="874"/>
      <c r="P413" s="874"/>
    </row>
    <row r="414" spans="1:16" x14ac:dyDescent="0.25">
      <c r="C414" s="116" t="s">
        <v>555</v>
      </c>
      <c r="D414" s="127" t="s">
        <v>75</v>
      </c>
      <c r="E414" s="127" t="s">
        <v>1464</v>
      </c>
      <c r="F414" s="116" t="s">
        <v>215</v>
      </c>
      <c r="G414" s="8" t="s">
        <v>216</v>
      </c>
      <c r="H414" s="864" t="s">
        <v>464</v>
      </c>
      <c r="I414" s="5"/>
      <c r="J414" s="5"/>
      <c r="K414" s="5"/>
      <c r="L414" s="30"/>
      <c r="M414" s="30"/>
      <c r="N414" s="25"/>
      <c r="O414" s="875" t="s">
        <v>84</v>
      </c>
      <c r="P414" s="875" t="s">
        <v>216</v>
      </c>
    </row>
    <row r="415" spans="1:16" x14ac:dyDescent="0.25">
      <c r="C415" s="116" t="s">
        <v>555</v>
      </c>
      <c r="D415" s="127" t="s">
        <v>75</v>
      </c>
      <c r="E415" s="127" t="s">
        <v>1464</v>
      </c>
      <c r="F415" s="116" t="s">
        <v>1460</v>
      </c>
      <c r="G415" s="8" t="s">
        <v>1459</v>
      </c>
      <c r="H415" s="864" t="s">
        <v>464</v>
      </c>
      <c r="I415" s="5"/>
      <c r="J415" s="5"/>
      <c r="K415" s="5"/>
      <c r="L415" s="30"/>
      <c r="M415" s="30"/>
      <c r="N415" s="25"/>
      <c r="O415" s="874"/>
      <c r="P415" s="874"/>
    </row>
  </sheetData>
  <autoFilter ref="B1:N415">
    <filterColumn colId="2">
      <filters>
        <filter val="5.1.1"/>
        <filter val="5.1.2"/>
      </filters>
    </filterColumn>
    <filterColumn colId="5">
      <filters>
        <filter val="Celková plocha inventarizovaných uzavretých úložísk a opustených úložísk ťažobného odpadu"/>
        <filter val="Celkový povrch rekultivovanej pôdy"/>
        <filter val="Čas trvania zásahu pri mimoriadnej udalosti ovplyvnenej zmenou klímy"/>
        <filter val="Dĺžka novovybudovaných kanalizačných sietí (bez kanal. prípojok)"/>
        <filter val="Dĺžka novovybudovaných kanalizačných sietí (bez kanal. prípojok) (chránené obl.)"/>
        <filter val="Dĺžka novovybudovaných rozvodov pitnej vody (bez vodovod. prípojok)"/>
        <filter val="Dĺžka spojitého úseku vodného toku po eliminácii bariéry"/>
        <filter val="Hodnota majetku ochraneného pred povodňami"/>
        <filter val="Inštalovaný výkon nízkoemisných zariadení nahradzujúcich zastarané spaľovacie zariadenia na výrobu tepla na vykurovanie"/>
        <filter val="Inštalovaný výkon zariadenia na výrobu  biometánu"/>
        <filter val="Množstvo elektrickej energie vyrobenej v zariadení OZE"/>
        <filter val="Množstvo opätovne použitých odpadov"/>
        <filter val="Množstvo recyklovaných nebezpečných odpadov"/>
        <filter val="Množstvo recyklovaných nie nebezpečných odpadov"/>
        <filter val="Množstvo tepelnej energie vyrobenej v zariadení OZE"/>
        <filter val="Množstvo tepla vyrobeného vysoko účinnou kombinovanou výrobou založenou na dopyte po využiteľnom teple"/>
        <filter val="Množstvo vyrobeného biometánu (energetický obsah)"/>
        <filter val="Množstvo vytriedeného komunálneho odpadu"/>
        <filter val="Množstvo zhodnotených nie nebezpečných odpadov"/>
        <filter val="Odhadované ročné zníženie emisií skleníkových plynov"/>
        <filter val="Plocha biotopov podporených s cieľom dosiahnuť lepší stav ich ochrany"/>
        <filter val="Plocha hydrogeologicky preskúmaného územia"/>
        <filter val="Plocha monitorovaných environmentálnych záťaží"/>
        <filter val="Plocha monitorovaných svahových deformácií"/>
        <filter val="Plocha pokrytia obývaného územia zabezpečeného systémom včasného varovania"/>
        <filter val="Plocha pokrytia územia zabezpečeného systémom včasného varovania"/>
        <filter val="Plocha preskúmaného zosuvného územia"/>
        <filter val="Plocha preskúmaných environmentálnych záťaží"/>
        <filter val="Plocha s odstránenými inváznymi druhmi rastlín"/>
        <filter val="Plocha vytvoreného vodozádržného opatrenia"/>
        <filter val="Plocha zmapovaného územia"/>
        <filter val="Počet administratívnych kapacít financovaných z technickej pomoci"/>
        <filter val="Počet administratívnych kapacít vybavených materiálno-technickým vybavením z TP"/>
        <filter val="Počet aktivít zameraných na výcvik, vzdelávanie, výmenu informácií a skúseností"/>
        <filter val="Počet aktualizovaných alebo novovytvorených plánovacích podkladov manažmentu povodňových rizík (na úrovni SR)"/>
        <filter val="Počet aktualizovaných koncepcií rozvoja obcí v tepelnej energetike"/>
        <filter val="Počet analýz podzemných vôd"/>
        <filter val="Počet analýz povrchových vôd"/>
        <filter val="Počet analyzovaných vzoriek podzemných vôd"/>
        <filter val="Počet analyzovaných vzoriek povrchových vôd"/>
        <filter val="Počet aplikovaných modulov NEIS podľa požiadaviek na informovanie verejnosti a reportingových povinností"/>
        <filter val="Počet databáz pre potreby modelovania vývoja mimoriadnych udalostí, monitorovania a vyhodnocovania rizík viazaných na zmenu klímy a jej dôsledkov"/>
        <filter val="Počet dočasne vytvorených pracovných miest počas doby realizácie projektu za účelom koordinácie prípravy konkrétnych projektov nízkouhlíkových opatrení zo schválených nízkouhlíkových stratégií."/>
        <filter val="Počet dodaných informačných a komunikačných technológii"/>
        <filter val="Počet druhov alebo biotopov v neznámom stave, ktorých stav sa pri monitorovaní druhov, alebo biotopov zmenil"/>
        <filter val="Počet energetických auditov"/>
        <filter val="Počet informačných materiálov"/>
        <filter val="Počet inventarizovaných uzavretých úložísk a opustených úložísk ťažobného odpadu"/>
        <filter val="Počet koncepčných, analytických a metodických materiálov"/>
        <filter val="Počet malých zariadení na využívanie OZE"/>
        <filter val="Počet mediálnych kampaní"/>
        <filter val="Počet mediálnych výstupov"/>
        <filter val="Počet monitorovaných budov"/>
        <filter val="Počet monitorovaných environmentálnych záťaží"/>
        <filter val="Počet monitorovaných lokalít, kde došlo k zvýšeniu počtu monitorovaných druhov alebo biotopov"/>
        <filter val="Počet monitorovaných svahových deformácií"/>
        <filter val="Počet monitorovaných vodných útvarov podzemných vôd"/>
        <filter val="Počet monitorovaných vodných útvarov povrchových vôd"/>
        <filter val="Počet nahradených zastaraných spaľovacích zariadení"/>
        <filter val="Počet navrhovaných druhov preventívnych opatrení na elimináciu rizík viazaných na zmenu klímy a jej dôsledkov"/>
        <filter val="Počet novo vykonaných emisných inventúr a/alebo projekcií emisií"/>
        <filter val="Počet novo zaradených monitorovaných lokalít"/>
        <filter val="Počet novoidentifikovaných, registrovaných a zmapovaných svahových deformácií"/>
        <filter val="Počet novovybudovaných akreditovaných odberných miest NMSKO"/>
        <filter val="Počet novovybudovaných staníc NMSKO"/>
        <filter val="Počet novovytvorených metodík pre hodnotenie investičných rizík spojených s nepriaznivými dôsledkami zmeny klímy"/>
        <filter val="Počet nových funkcionalít monitorovacieho systému"/>
        <filter val="Počet nových IKT zariadení"/>
        <filter val="Počet obyvateľov využívajúcich opatrenia protipovodňovej ochrany"/>
        <filter val="Počet obyvateľov žijúcich v oblastiach vyznačujúcich sa deficitom pitnej vody"/>
        <filter val="Počet opatrení energetickej efektívnosti realizovaných v podnikoch"/>
        <filter val="Počet opatrení na zabezpečenie spojitosti vodných tokov a odstraňovanie bariér vo vodných tokoch"/>
        <filter val="Počet opatrení na zníženie spotreby energie realizovaných vo verejnej budove"/>
        <filter val="Počet optimalizovaných informačných nástrojov"/>
        <filter val="Počet osôb zapojených do informačných aktivít"/>
        <filter val="Počet osôb zapojených do informačných aktivít (nie nebezpečný odpad a BRKO)"/>
        <filter val="Počet osôb zapojených do opatrení zameraných na výmenu informácií, skúseností, vzdelávanie a výcvik"/>
        <filter val="Počet podnikov s registrovaným EMAS a zavedeným systémom environmentálneho manažérstva"/>
        <filter val="Počet podnikov, ktorým sa poskytuje podpora"/>
        <filter val="Počet podporených existujúcich akreditovaných odberných miest NMSKO"/>
        <filter val="Počet podporených existujúcich staníc NMSKO"/>
        <filter val="Počet podporených objektov monitorovacej siete podzemných vôd"/>
        <filter val="Počet podporených objektov monitorovacej siete povrchových vôd"/>
        <filter val="Počet podporených zariadení malých stacionárnych zdrojov znečisťovania ovzdušia za účelom zníženia emisií"/>
        <filter val="Počet podporených zariadení stredných a veľkých stacionárnych zdrojov znečisťovania ovzdušia za účelom zníženia emisií"/>
        <filter val="Počet preložených dokumentov do cudzieho jazyka"/>
        <filter val="Počet preskúmaných prioritných environmentálnych záťaží"/>
        <filter val="Počet preskúmaných svahových deformácií"/>
        <filter val="Počet pripravených projektov nízkouhlíkových opatrení"/>
        <filter val="Počet pripravených projektov realizovaných prostredníctvom poskytnutia energetickej služby"/>
        <filter val="Počet realizovaných prvkov zelenej infraštruktúry"/>
        <filter val="Počet realizovaných vodozádržných opatrení"/>
        <filter val="Počet refundovaných hodín zamestnancov mimopracovného pomeru"/>
        <filter val="Počet regionálnych a lokálnych nízkouhlíkových stratégií"/>
        <filter val="Počet registrácií EMAS"/>
        <filter val="Počet rekultivovaných uzavretých úložísk a opustených úložísk ťažobného odpadu"/>
        <filter val="Počet rokovaní s využitím tlmočníckych služieb"/>
        <filter val="Počet sanovaných environmentálnych záťaží"/>
        <filter val="Počet sanovaných svahových deformácií"/>
        <filter val="Počet subjektov so zlepšeným vybavením intervenčnými kapacitami."/>
        <filter val="Počet subjektov zapojených do informačných aktivít"/>
        <filter val="Počet subjektov zapojených do projektu"/>
        <filter val="Počet systémov centralizovaného zásobovania teplom s vyššou účinnosťou"/>
        <filter val="Počet systémov monitorovania a/alebo vyhodnocovania rizík viazaných na zmenu klímy a jej dôsledkov"/>
        <filter val="Počet systémov na prenos údajov medzi lokálnou a/ alebo regionálnou a/ alebo národnou a/ alebo nadnárodnou úrovňou"/>
        <filter val="Počet systémov včasného varovania"/>
        <filter val="Počet systémov vyhodnocovania rizík viazaných na zmenu klímy a jej dôsledkov"/>
        <filter val="Počet účastníkov zrealizovaných pracovných ciest"/>
        <filter val="Počet verejných budov na úrovni nízkoenergetickej alebo ultranízkoenergetickej alebo s takmer nulovou potrebou energie"/>
        <filter val="Počet vodných útvarov so zabezpečenou spojitosťou toku a habitatov"/>
        <filter val="Počet vybudovaných zariadení na monitorovanie environmentálnych záťaží"/>
        <filter val="Počet vybudovaných zariadení na monitorovanie svahových deformácií"/>
        <filter val="Počet vyhodnotených vodných útvarov podzemných vôd"/>
        <filter val="Počet vyhodnotených vodných útvarov povrchových vôd"/>
        <filter val="Počet vykonaných modelových výpočtov a/alebo chemických analýz"/>
        <filter val="Počet vypracovaných dokumentov starostlivosti"/>
        <filter val="Počet vypracovaných MÚSES"/>
        <filter val="Počet vypracovaných RÚSES"/>
        <filter val="Počet vytvorených modelov vývoja mimoriadnych udalostí ovplyvnených zmenou klímy"/>
        <filter val="Počet vytvorených špecializovaných záchranných modulov"/>
        <filter val="Počet zahraničných subjektov"/>
        <filter val="Počet zariadení na elimináciu rizík súvisiacich so zmenou klímy"/>
        <filter val="Počet zariadení na predchádzanie vzniku odpadu"/>
        <filter val="Počet zavedených nových aplikovaných modulov NRZ"/>
        <filter val="Počet zavedených systémov energetického manažérstva"/>
        <filter val="Počet zavedených systémov environmentálneho manažérstva"/>
        <filter val="Počet zavedených systémov kontinuálneho zvyšovania informovanosti"/>
        <filter val="Počet zavedených systémov merania a riadenia"/>
        <filter val="Počet zrealizovaných aktivít, alebo poskytnutých služieb"/>
        <filter val="Počet zrealizovaných hodnotení, analýz a štúdií"/>
        <filter val="Počet zrealizovaných informačných aktivít"/>
        <filter val="Počet zrealizovaných informačných aktivít (nie nebezpečný odpad a BRKO)"/>
        <filter val="Počet zrealizovaných pracovných ciest"/>
        <filter val="Počet zrealizovaných vzdelávacích aktivít"/>
        <filter val="Počet zrekonštruovaných alebo novovybudovaných ČOV"/>
        <filter val="Počet zrekonštruovaných alebo novovybudovaných ČOV (chránené obl.)"/>
        <filter val="Počet zrekonštruovaných úpravní povrchových vôd"/>
        <filter val="Počet zavedených systémov environmentálneho manažérstva"/>
        <filter val="Podlahová plocha budov obnovených nad rámec minimálnych požiadaviek"/>
        <filter val="Predpokladaná úspora PEZ v podniku podľa energetického auditu"/>
        <filter val="Rozšírený monitorovací systém nízkouhlíkových opatrení"/>
        <filter val="Spotreba energie v budove po realizácii opatrení energetickej efektívnosti"/>
        <filter val="Spotreba energie v budove pred realizáciou opatrení energetickej efektívnosti"/>
        <filter val="Spotreba energie v podniku po realizácii opatrení energetickej efektívnosti"/>
        <filter val="Spotreba energie v podniku pred realizáciou opatrení energetickej efektívnosti"/>
        <filter val="Úspora PEZ v systémoch centralizovaného zásobovania teplom"/>
        <filter val="Úspora PEZ v zariadeniach pre vysoko účinnú kombinovanú výrobu elektriny a tepla"/>
        <filter val="Úspora PEZ v podniku"/>
        <filter val="Vybudovaný jednotný environmentálny monitorovací a informačný systém v odpadovom hospodárstve"/>
        <filter val="Zníženie konečnej spotreby energie vo verejných budovách"/>
        <filter val="Zníženie materiálnych škôd posilnením intervenčných kapacít"/>
        <filter val="Zníženie potreby energie vo verejných budovách"/>
        <filter val="Zníženie produkcie emisií NH3"/>
        <filter val="Zníženie produkcie emisií NOx"/>
        <filter val="Zníženie produkcie emisií PM10"/>
        <filter val="Zníženie produkcie emisií PM2,5"/>
        <filter val="Zníženie produkcie emisií SO2"/>
        <filter val="Zníženie produkcie emisií VOC"/>
        <filter val="Zníženie ročnej spotreby primárnej energie vo verejných budovách  "/>
        <filter val="Zvýšená kapacita pre triedenie komunálnych odpadov (nie nebezpečný odpad a BRKO)"/>
        <filter val="Zvýšená kapacita pre zhodnocovanie odpadov (nebezpečný odpad)"/>
        <filter val="Zvýšená kapacita pre zhodnocovanie odpadov (nie nebezpečný odpad a BRKO)"/>
        <filter val="Zvýšená kapacita recyklácie odpadu (nebezpečný odpad)"/>
        <filter val="Zvýšená kapacita recyklácie odpadu (nie nebezpečný odpad a BRKO)"/>
        <filter val="Zvýšená kapacita výroby elektriny z obnoviteľných zdrojov"/>
        <filter val="Zvýšená kapacita výroby energie z obnoviteľných zdrojov"/>
        <filter val="Zvýšená kapacita výroby tepla z obnoviteľných zdrojov"/>
        <filter val="Zvýšená kapacita zariadení na predchádzanie vzniku odpadov"/>
        <filter val="Zvýšenie inštalovaného výkonu zariadení na výrobu elektriny a tepla vysoko účinnou kombinovanou výrobou založenou na dopyte po využiteľnom teple"/>
        <filter val="Zvýšený počet obyvateľov so zlepšenou dodávkou pitnej vody"/>
        <filter val="Zvýšený počet obyvateľov so zlepšeným čistením komunálnych odpadových vôd"/>
        <filter val="Zvýšený počet obyvateľov so zlepšeným čistením komunálnych odpadových vôd (chránené obl.)"/>
      </filters>
    </filterColumn>
  </autoFilter>
  <conditionalFormatting sqref="O4">
    <cfRule type="duplicateValues" dxfId="135" priority="115"/>
  </conditionalFormatting>
  <conditionalFormatting sqref="O51">
    <cfRule type="duplicateValues" dxfId="134" priority="114"/>
  </conditionalFormatting>
  <conditionalFormatting sqref="O94">
    <cfRule type="duplicateValues" dxfId="133" priority="113"/>
  </conditionalFormatting>
  <conditionalFormatting sqref="O186">
    <cfRule type="duplicateValues" dxfId="132" priority="112"/>
  </conditionalFormatting>
  <conditionalFormatting sqref="O198">
    <cfRule type="duplicateValues" dxfId="131" priority="111"/>
  </conditionalFormatting>
  <conditionalFormatting sqref="O213">
    <cfRule type="duplicateValues" dxfId="130" priority="110"/>
  </conditionalFormatting>
  <conditionalFormatting sqref="O242">
    <cfRule type="duplicateValues" dxfId="129" priority="109"/>
  </conditionalFormatting>
  <conditionalFormatting sqref="O252">
    <cfRule type="duplicateValues" dxfId="128" priority="108"/>
  </conditionalFormatting>
  <conditionalFormatting sqref="O364">
    <cfRule type="duplicateValues" dxfId="127" priority="107"/>
  </conditionalFormatting>
  <conditionalFormatting sqref="O405">
    <cfRule type="duplicateValues" dxfId="126" priority="106"/>
  </conditionalFormatting>
  <conditionalFormatting sqref="O408">
    <cfRule type="duplicateValues" dxfId="125" priority="105"/>
  </conditionalFormatting>
  <conditionalFormatting sqref="O411">
    <cfRule type="duplicateValues" dxfId="124" priority="104"/>
  </conditionalFormatting>
  <conditionalFormatting sqref="O414">
    <cfRule type="duplicateValues" dxfId="123" priority="103"/>
  </conditionalFormatting>
  <conditionalFormatting sqref="O52">
    <cfRule type="duplicateValues" dxfId="122" priority="102"/>
  </conditionalFormatting>
  <conditionalFormatting sqref="O54">
    <cfRule type="duplicateValues" dxfId="121" priority="101"/>
  </conditionalFormatting>
  <conditionalFormatting sqref="O95">
    <cfRule type="duplicateValues" dxfId="120" priority="100"/>
  </conditionalFormatting>
  <conditionalFormatting sqref="O64">
    <cfRule type="duplicateValues" dxfId="119" priority="99"/>
  </conditionalFormatting>
  <conditionalFormatting sqref="O105">
    <cfRule type="duplicateValues" dxfId="118" priority="98"/>
  </conditionalFormatting>
  <conditionalFormatting sqref="O115">
    <cfRule type="duplicateValues" dxfId="117" priority="97"/>
  </conditionalFormatting>
  <conditionalFormatting sqref="O127">
    <cfRule type="duplicateValues" dxfId="116" priority="96"/>
  </conditionalFormatting>
  <conditionalFormatting sqref="O148">
    <cfRule type="duplicateValues" dxfId="115" priority="95"/>
  </conditionalFormatting>
  <conditionalFormatting sqref="O160">
    <cfRule type="duplicateValues" dxfId="114" priority="94"/>
  </conditionalFormatting>
  <conditionalFormatting sqref="O172">
    <cfRule type="duplicateValues" dxfId="113" priority="93"/>
  </conditionalFormatting>
  <conditionalFormatting sqref="O173">
    <cfRule type="duplicateValues" dxfId="112" priority="92"/>
  </conditionalFormatting>
  <conditionalFormatting sqref="O177">
    <cfRule type="duplicateValues" dxfId="111" priority="91"/>
  </conditionalFormatting>
  <conditionalFormatting sqref="O178">
    <cfRule type="duplicateValues" dxfId="110" priority="90"/>
  </conditionalFormatting>
  <conditionalFormatting sqref="O179">
    <cfRule type="duplicateValues" dxfId="109" priority="89"/>
  </conditionalFormatting>
  <conditionalFormatting sqref="O180">
    <cfRule type="duplicateValues" dxfId="108" priority="88"/>
  </conditionalFormatting>
  <conditionalFormatting sqref="O182">
    <cfRule type="duplicateValues" dxfId="107" priority="87"/>
  </conditionalFormatting>
  <conditionalFormatting sqref="O184">
    <cfRule type="duplicateValues" dxfId="106" priority="86"/>
  </conditionalFormatting>
  <conditionalFormatting sqref="O281">
    <cfRule type="duplicateValues" dxfId="105" priority="85"/>
  </conditionalFormatting>
  <conditionalFormatting sqref="O187">
    <cfRule type="duplicateValues" dxfId="104" priority="84"/>
  </conditionalFormatting>
  <conditionalFormatting sqref="O189">
    <cfRule type="duplicateValues" dxfId="103" priority="83"/>
  </conditionalFormatting>
  <conditionalFormatting sqref="O191">
    <cfRule type="duplicateValues" dxfId="102" priority="82"/>
  </conditionalFormatting>
  <conditionalFormatting sqref="O196">
    <cfRule type="duplicateValues" dxfId="101" priority="81"/>
  </conditionalFormatting>
  <conditionalFormatting sqref="O195">
    <cfRule type="duplicateValues" dxfId="100" priority="80"/>
  </conditionalFormatting>
  <conditionalFormatting sqref="O202">
    <cfRule type="duplicateValues" dxfId="99" priority="79"/>
  </conditionalFormatting>
  <conditionalFormatting sqref="O199">
    <cfRule type="duplicateValues" dxfId="98" priority="78"/>
  </conditionalFormatting>
  <conditionalFormatting sqref="O216">
    <cfRule type="duplicateValues" dxfId="97" priority="77"/>
  </conditionalFormatting>
  <conditionalFormatting sqref="O221">
    <cfRule type="duplicateValues" dxfId="96" priority="76"/>
  </conditionalFormatting>
  <conditionalFormatting sqref="O214">
    <cfRule type="duplicateValues" dxfId="95" priority="75"/>
  </conditionalFormatting>
  <conditionalFormatting sqref="O236">
    <cfRule type="duplicateValues" dxfId="94" priority="74"/>
  </conditionalFormatting>
  <conditionalFormatting sqref="O234">
    <cfRule type="duplicateValues" dxfId="93" priority="73"/>
  </conditionalFormatting>
  <conditionalFormatting sqref="O235">
    <cfRule type="duplicateValues" dxfId="92" priority="72"/>
  </conditionalFormatting>
  <conditionalFormatting sqref="O244">
    <cfRule type="duplicateValues" dxfId="91" priority="71"/>
  </conditionalFormatting>
  <conditionalFormatting sqref="O246">
    <cfRule type="duplicateValues" dxfId="90" priority="70"/>
  </conditionalFormatting>
  <conditionalFormatting sqref="O248">
    <cfRule type="duplicateValues" dxfId="89" priority="69"/>
  </conditionalFormatting>
  <conditionalFormatting sqref="O249">
    <cfRule type="duplicateValues" dxfId="88" priority="68"/>
  </conditionalFormatting>
  <conditionalFormatting sqref="O250">
    <cfRule type="duplicateValues" dxfId="87" priority="67"/>
  </conditionalFormatting>
  <conditionalFormatting sqref="O254">
    <cfRule type="duplicateValues" dxfId="86" priority="66"/>
  </conditionalFormatting>
  <conditionalFormatting sqref="O268">
    <cfRule type="duplicateValues" dxfId="85" priority="65"/>
  </conditionalFormatting>
  <conditionalFormatting sqref="O261">
    <cfRule type="duplicateValues" dxfId="84" priority="64"/>
  </conditionalFormatting>
  <conditionalFormatting sqref="O266">
    <cfRule type="duplicateValues" dxfId="83" priority="63"/>
  </conditionalFormatting>
  <conditionalFormatting sqref="O270">
    <cfRule type="duplicateValues" dxfId="82" priority="62"/>
  </conditionalFormatting>
  <conditionalFormatting sqref="O277">
    <cfRule type="duplicateValues" dxfId="81" priority="61"/>
  </conditionalFormatting>
  <conditionalFormatting sqref="O283">
    <cfRule type="duplicateValues" dxfId="80" priority="60"/>
  </conditionalFormatting>
  <conditionalFormatting sqref="O287">
    <cfRule type="duplicateValues" dxfId="79" priority="59"/>
  </conditionalFormatting>
  <conditionalFormatting sqref="O309">
    <cfRule type="duplicateValues" dxfId="78" priority="58"/>
  </conditionalFormatting>
  <conditionalFormatting sqref="O310">
    <cfRule type="duplicateValues" dxfId="77" priority="57"/>
  </conditionalFormatting>
  <conditionalFormatting sqref="O298">
    <cfRule type="duplicateValues" dxfId="76" priority="56"/>
  </conditionalFormatting>
  <conditionalFormatting sqref="O307">
    <cfRule type="duplicateValues" dxfId="75" priority="55"/>
  </conditionalFormatting>
  <conditionalFormatting sqref="O312">
    <cfRule type="duplicateValues" dxfId="74" priority="54"/>
  </conditionalFormatting>
  <conditionalFormatting sqref="O297">
    <cfRule type="duplicateValues" dxfId="73" priority="53"/>
  </conditionalFormatting>
  <conditionalFormatting sqref="O306">
    <cfRule type="duplicateValues" dxfId="72" priority="52"/>
  </conditionalFormatting>
  <conditionalFormatting sqref="O311">
    <cfRule type="duplicateValues" dxfId="71" priority="51"/>
  </conditionalFormatting>
  <conditionalFormatting sqref="O291">
    <cfRule type="duplicateValues" dxfId="70" priority="50"/>
  </conditionalFormatting>
  <conditionalFormatting sqref="O303">
    <cfRule type="duplicateValues" dxfId="69" priority="49"/>
  </conditionalFormatting>
  <conditionalFormatting sqref="O308">
    <cfRule type="duplicateValues" dxfId="68" priority="48"/>
  </conditionalFormatting>
  <conditionalFormatting sqref="O292">
    <cfRule type="duplicateValues" dxfId="67" priority="47"/>
  </conditionalFormatting>
  <conditionalFormatting sqref="O304">
    <cfRule type="duplicateValues" dxfId="66" priority="46"/>
  </conditionalFormatting>
  <conditionalFormatting sqref="O316">
    <cfRule type="duplicateValues" dxfId="65" priority="45"/>
  </conditionalFormatting>
  <conditionalFormatting sqref="O313">
    <cfRule type="duplicateValues" dxfId="64" priority="44"/>
  </conditionalFormatting>
  <conditionalFormatting sqref="O314">
    <cfRule type="duplicateValues" dxfId="63" priority="43"/>
  </conditionalFormatting>
  <conditionalFormatting sqref="O315">
    <cfRule type="duplicateValues" dxfId="62" priority="42"/>
  </conditionalFormatting>
  <conditionalFormatting sqref="O317">
    <cfRule type="duplicateValues" dxfId="61" priority="41"/>
  </conditionalFormatting>
  <conditionalFormatting sqref="O318">
    <cfRule type="duplicateValues" dxfId="60" priority="40"/>
  </conditionalFormatting>
  <conditionalFormatting sqref="O324">
    <cfRule type="duplicateValues" dxfId="59" priority="39"/>
  </conditionalFormatting>
  <conditionalFormatting sqref="O335">
    <cfRule type="duplicateValues" dxfId="58" priority="38"/>
  </conditionalFormatting>
  <conditionalFormatting sqref="O321">
    <cfRule type="duplicateValues" dxfId="57" priority="37"/>
  </conditionalFormatting>
  <conditionalFormatting sqref="O322">
    <cfRule type="duplicateValues" dxfId="56" priority="36"/>
  </conditionalFormatting>
  <conditionalFormatting sqref="O328">
    <cfRule type="duplicateValues" dxfId="55" priority="35"/>
  </conditionalFormatting>
  <conditionalFormatting sqref="O323">
    <cfRule type="duplicateValues" dxfId="54" priority="34"/>
  </conditionalFormatting>
  <conditionalFormatting sqref="O330">
    <cfRule type="duplicateValues" dxfId="53" priority="33"/>
  </conditionalFormatting>
  <conditionalFormatting sqref="O333">
    <cfRule type="duplicateValues" dxfId="52" priority="32"/>
  </conditionalFormatting>
  <conditionalFormatting sqref="O334">
    <cfRule type="duplicateValues" dxfId="51" priority="31"/>
  </conditionalFormatting>
  <conditionalFormatting sqref="O296">
    <cfRule type="duplicateValues" dxfId="50" priority="30"/>
  </conditionalFormatting>
  <conditionalFormatting sqref="O305">
    <cfRule type="duplicateValues" dxfId="49" priority="29"/>
  </conditionalFormatting>
  <conditionalFormatting sqref="O336">
    <cfRule type="duplicateValues" dxfId="48" priority="28"/>
  </conditionalFormatting>
  <conditionalFormatting sqref="O352">
    <cfRule type="duplicateValues" dxfId="47" priority="27"/>
  </conditionalFormatting>
  <conditionalFormatting sqref="O350">
    <cfRule type="duplicateValues" dxfId="46" priority="26"/>
  </conditionalFormatting>
  <conditionalFormatting sqref="O339">
    <cfRule type="duplicateValues" dxfId="45" priority="25"/>
  </conditionalFormatting>
  <conditionalFormatting sqref="O341">
    <cfRule type="duplicateValues" dxfId="44" priority="24"/>
  </conditionalFormatting>
  <conditionalFormatting sqref="O342">
    <cfRule type="duplicateValues" dxfId="43" priority="23"/>
  </conditionalFormatting>
  <conditionalFormatting sqref="O345">
    <cfRule type="duplicateValues" dxfId="42" priority="22"/>
  </conditionalFormatting>
  <conditionalFormatting sqref="O357">
    <cfRule type="duplicateValues" dxfId="41" priority="21"/>
  </conditionalFormatting>
  <conditionalFormatting sqref="O358">
    <cfRule type="duplicateValues" dxfId="40" priority="20"/>
  </conditionalFormatting>
  <conditionalFormatting sqref="O360">
    <cfRule type="duplicateValues" dxfId="39" priority="19"/>
  </conditionalFormatting>
  <conditionalFormatting sqref="O359">
    <cfRule type="duplicateValues" dxfId="38" priority="18"/>
  </conditionalFormatting>
  <conditionalFormatting sqref="O361">
    <cfRule type="duplicateValues" dxfId="37" priority="17"/>
  </conditionalFormatting>
  <conditionalFormatting sqref="O365">
    <cfRule type="duplicateValues" dxfId="36" priority="16"/>
  </conditionalFormatting>
  <conditionalFormatting sqref="O367">
    <cfRule type="duplicateValues" dxfId="35" priority="15"/>
  </conditionalFormatting>
  <conditionalFormatting sqref="O372">
    <cfRule type="duplicateValues" dxfId="34" priority="14"/>
  </conditionalFormatting>
  <conditionalFormatting sqref="O373">
    <cfRule type="duplicateValues" dxfId="33" priority="13"/>
  </conditionalFormatting>
  <conditionalFormatting sqref="O371">
    <cfRule type="duplicateValues" dxfId="32" priority="12"/>
  </conditionalFormatting>
  <conditionalFormatting sqref="O375">
    <cfRule type="duplicateValues" dxfId="31" priority="11"/>
  </conditionalFormatting>
  <conditionalFormatting sqref="O377">
    <cfRule type="duplicateValues" dxfId="30" priority="10"/>
  </conditionalFormatting>
  <conditionalFormatting sqref="O374">
    <cfRule type="duplicateValues" dxfId="29" priority="9"/>
  </conditionalFormatting>
  <conditionalFormatting sqref="O379">
    <cfRule type="duplicateValues" dxfId="28" priority="8"/>
  </conditionalFormatting>
  <conditionalFormatting sqref="O392">
    <cfRule type="duplicateValues" dxfId="27" priority="7"/>
  </conditionalFormatting>
  <conditionalFormatting sqref="O380">
    <cfRule type="duplicateValues" dxfId="26" priority="6"/>
  </conditionalFormatting>
  <conditionalFormatting sqref="O393">
    <cfRule type="duplicateValues" dxfId="25" priority="5"/>
  </conditionalFormatting>
  <conditionalFormatting sqref="O382">
    <cfRule type="duplicateValues" dxfId="24" priority="4"/>
  </conditionalFormatting>
  <conditionalFormatting sqref="O395">
    <cfRule type="duplicateValues" dxfId="23" priority="3"/>
  </conditionalFormatting>
  <conditionalFormatting sqref="O389">
    <cfRule type="duplicateValues" dxfId="22" priority="2"/>
  </conditionalFormatting>
  <conditionalFormatting sqref="O402">
    <cfRule type="duplicateValues" dxfId="21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04"/>
  <sheetViews>
    <sheetView topLeftCell="E1" zoomScale="85" zoomScaleNormal="85" workbookViewId="0">
      <pane ySplit="10" topLeftCell="A50" activePane="bottomLeft" state="frozen"/>
      <selection pane="bottomLeft" activeCell="J55" sqref="J55"/>
    </sheetView>
  </sheetViews>
  <sheetFormatPr defaultRowHeight="12.75" x14ac:dyDescent="0.2"/>
  <cols>
    <col min="1" max="1" width="4.28515625" style="91" hidden="1" customWidth="1"/>
    <col min="2" max="2" width="17.5703125" style="91" hidden="1" customWidth="1"/>
    <col min="3" max="3" width="4.28515625" style="91" hidden="1" customWidth="1"/>
    <col min="4" max="4" width="21.28515625" style="91" hidden="1" customWidth="1"/>
    <col min="5" max="5" width="13.42578125" style="91" customWidth="1"/>
    <col min="6" max="6" width="17.28515625" style="91" customWidth="1"/>
    <col min="7" max="7" width="4" style="91" customWidth="1"/>
    <col min="8" max="8" width="59.5703125" style="91" customWidth="1"/>
    <col min="9" max="9" width="12" style="91" customWidth="1"/>
    <col min="10" max="10" width="57.28515625" style="91" customWidth="1"/>
    <col min="11" max="11" width="11.140625" style="91" customWidth="1"/>
    <col min="12" max="12" width="9.140625" style="139"/>
    <col min="13" max="13" width="15.42578125" style="140" customWidth="1"/>
    <col min="14" max="14" width="14.28515625" style="140" customWidth="1"/>
    <col min="15" max="15" width="11" style="141" customWidth="1"/>
    <col min="16" max="16" width="13.140625" style="91" customWidth="1"/>
    <col min="17" max="18" width="14.5703125" style="141" customWidth="1"/>
    <col min="19" max="19" width="11.7109375" style="141" customWidth="1"/>
    <col min="20" max="20" width="13.85546875" style="91" customWidth="1"/>
    <col min="21" max="21" width="12.28515625" style="91" customWidth="1"/>
    <col min="22" max="22" width="10.28515625" style="91" customWidth="1"/>
    <col min="23" max="23" width="11.28515625" style="91" customWidth="1"/>
    <col min="24" max="24" width="12.28515625" style="91" customWidth="1"/>
    <col min="25" max="27" width="10.140625" style="91" customWidth="1"/>
    <col min="28" max="28" width="17.5703125" style="91" customWidth="1"/>
    <col min="29" max="29" width="17.5703125" style="141" customWidth="1"/>
    <col min="30" max="30" width="17.5703125" style="78" customWidth="1"/>
    <col min="31" max="31" width="15.42578125" style="91" customWidth="1"/>
    <col min="32" max="32" width="14.7109375" style="91" customWidth="1"/>
    <col min="33" max="16384" width="9.140625" style="91"/>
  </cols>
  <sheetData>
    <row r="1" spans="1:32" ht="43.5" hidden="1" customHeight="1" x14ac:dyDescent="0.35">
      <c r="B1" s="137" t="s">
        <v>1996</v>
      </c>
      <c r="C1" s="137"/>
      <c r="D1" s="138">
        <v>42794</v>
      </c>
      <c r="P1" s="142"/>
      <c r="Q1" s="143"/>
      <c r="R1" s="143"/>
      <c r="S1" s="143"/>
      <c r="T1" s="144"/>
      <c r="U1" s="144"/>
      <c r="V1" s="144"/>
      <c r="W1" s="144"/>
      <c r="X1" s="144"/>
      <c r="Y1" s="144"/>
      <c r="Z1" s="144"/>
      <c r="AA1" s="144"/>
      <c r="AB1" s="144"/>
      <c r="AC1" s="143"/>
      <c r="AD1" s="145"/>
      <c r="AE1" s="144"/>
      <c r="AF1" s="146"/>
    </row>
    <row r="2" spans="1:32" ht="22.5" hidden="1" customHeight="1" x14ac:dyDescent="0.25">
      <c r="B2" s="147" t="s">
        <v>1997</v>
      </c>
      <c r="C2" s="147"/>
      <c r="D2" s="148">
        <f ca="1">NOW()</f>
        <v>43508.518367592595</v>
      </c>
      <c r="K2" s="149"/>
      <c r="L2" s="150"/>
      <c r="M2" s="151"/>
      <c r="P2" s="152"/>
      <c r="Q2" s="153"/>
      <c r="R2" s="153"/>
      <c r="S2" s="153"/>
      <c r="T2" s="154"/>
      <c r="U2" s="154"/>
      <c r="V2" s="154"/>
      <c r="W2" s="154"/>
      <c r="X2" s="154"/>
      <c r="Y2" s="154"/>
      <c r="Z2" s="154"/>
      <c r="AA2" s="154"/>
      <c r="AB2" s="154"/>
      <c r="AC2" s="153"/>
      <c r="AD2" s="155"/>
      <c r="AE2" s="154"/>
      <c r="AF2" s="156"/>
    </row>
    <row r="3" spans="1:32" ht="21" hidden="1" customHeight="1" x14ac:dyDescent="0.2">
      <c r="D3" s="157"/>
      <c r="K3" s="149"/>
      <c r="L3" s="150"/>
      <c r="M3" s="151"/>
      <c r="P3" s="152"/>
      <c r="Q3" s="153"/>
      <c r="R3" s="153"/>
      <c r="S3" s="153"/>
      <c r="T3" s="154"/>
      <c r="U3" s="154"/>
      <c r="V3" s="154"/>
      <c r="W3" s="154"/>
      <c r="X3" s="154"/>
      <c r="Y3" s="154"/>
      <c r="Z3" s="154"/>
      <c r="AA3" s="154"/>
      <c r="AB3" s="154"/>
      <c r="AC3" s="153"/>
      <c r="AD3" s="155"/>
      <c r="AE3" s="154"/>
      <c r="AF3" s="156"/>
    </row>
    <row r="4" spans="1:32" ht="21" hidden="1" customHeight="1" x14ac:dyDescent="0.2">
      <c r="B4" s="1021" t="s">
        <v>1998</v>
      </c>
      <c r="C4" s="1021"/>
      <c r="D4" s="1021"/>
      <c r="E4" s="1021"/>
      <c r="K4" s="149"/>
      <c r="L4" s="150"/>
      <c r="M4" s="151"/>
      <c r="P4" s="152"/>
      <c r="Q4" s="153"/>
      <c r="R4" s="153"/>
      <c r="S4" s="153"/>
      <c r="T4" s="154"/>
      <c r="U4" s="154"/>
      <c r="V4" s="154"/>
      <c r="W4" s="154"/>
      <c r="X4" s="154"/>
      <c r="Y4" s="154"/>
      <c r="Z4" s="154"/>
      <c r="AA4" s="154"/>
      <c r="AB4" s="154"/>
      <c r="AC4" s="153"/>
      <c r="AD4" s="155"/>
      <c r="AE4" s="154"/>
      <c r="AF4" s="156"/>
    </row>
    <row r="5" spans="1:32" ht="15.75" hidden="1" customHeight="1" x14ac:dyDescent="0.2">
      <c r="B5" s="158" t="s">
        <v>1999</v>
      </c>
      <c r="C5" s="158"/>
      <c r="D5" s="158"/>
      <c r="E5" s="158"/>
      <c r="K5" s="159"/>
      <c r="L5" s="160"/>
      <c r="M5" s="151"/>
      <c r="O5" s="161"/>
      <c r="P5" s="162"/>
      <c r="Q5" s="163"/>
      <c r="R5" s="153"/>
      <c r="S5" s="153"/>
      <c r="T5" s="154"/>
      <c r="U5" s="154"/>
      <c r="V5" s="154"/>
      <c r="W5" s="154"/>
      <c r="X5" s="154"/>
      <c r="Y5" s="154"/>
      <c r="Z5" s="154"/>
      <c r="AA5" s="154"/>
      <c r="AB5" s="154"/>
      <c r="AC5" s="153"/>
      <c r="AD5" s="155"/>
      <c r="AE5" s="154"/>
      <c r="AF5" s="156"/>
    </row>
    <row r="6" spans="1:32" ht="15" hidden="1" customHeight="1" x14ac:dyDescent="0.2">
      <c r="B6" s="164" t="s">
        <v>2000</v>
      </c>
      <c r="C6" s="165"/>
      <c r="D6" s="165"/>
      <c r="E6" s="165"/>
      <c r="O6" s="161"/>
      <c r="P6" s="152"/>
      <c r="Q6" s="153"/>
      <c r="R6" s="153"/>
      <c r="S6" s="153"/>
      <c r="T6" s="154"/>
      <c r="U6" s="154"/>
      <c r="V6" s="154"/>
      <c r="W6" s="154"/>
      <c r="X6" s="154"/>
      <c r="Y6" s="154"/>
      <c r="Z6" s="154"/>
      <c r="AA6" s="154"/>
      <c r="AB6" s="154"/>
      <c r="AC6" s="153"/>
      <c r="AD6" s="155"/>
      <c r="AE6" s="154"/>
      <c r="AF6" s="156"/>
    </row>
    <row r="7" spans="1:32" ht="19.5" hidden="1" customHeight="1" thickBot="1" x14ac:dyDescent="0.25">
      <c r="P7" s="1022"/>
      <c r="Q7" s="1023"/>
      <c r="R7" s="1023"/>
      <c r="S7" s="1023"/>
      <c r="T7" s="154"/>
      <c r="U7" s="154"/>
      <c r="V7" s="154"/>
      <c r="W7" s="154"/>
      <c r="X7" s="154"/>
      <c r="Y7" s="154"/>
      <c r="Z7" s="154"/>
      <c r="AA7" s="154"/>
      <c r="AB7" s="154"/>
      <c r="AC7" s="153"/>
      <c r="AD7" s="155"/>
      <c r="AE7" s="154"/>
      <c r="AF7" s="156"/>
    </row>
    <row r="8" spans="1:32" ht="19.5" customHeight="1" thickTop="1" thickBot="1" x14ac:dyDescent="0.4">
      <c r="P8" s="1024" t="s">
        <v>2001</v>
      </c>
      <c r="Q8" s="1025"/>
      <c r="R8" s="1025"/>
      <c r="S8" s="1025"/>
      <c r="T8" s="1025"/>
      <c r="U8" s="1025"/>
      <c r="V8" s="1025"/>
      <c r="W8" s="1025"/>
      <c r="X8" s="1025"/>
      <c r="Y8" s="1025"/>
      <c r="Z8" s="1025"/>
      <c r="AA8" s="1025"/>
      <c r="AB8" s="1025"/>
      <c r="AC8" s="1025"/>
      <c r="AD8" s="1025"/>
      <c r="AE8" s="1025"/>
      <c r="AF8" s="1026"/>
    </row>
    <row r="9" spans="1:32" ht="43.5" customHeight="1" thickTop="1" x14ac:dyDescent="0.2">
      <c r="A9" s="1027" t="s">
        <v>2002</v>
      </c>
      <c r="B9" s="1028"/>
      <c r="C9" s="1031" t="s">
        <v>2003</v>
      </c>
      <c r="D9" s="1031"/>
      <c r="E9" s="1033" t="s">
        <v>2004</v>
      </c>
      <c r="F9" s="1034"/>
      <c r="G9" s="1037" t="s">
        <v>2005</v>
      </c>
      <c r="H9" s="1037"/>
      <c r="I9" s="1039" t="s">
        <v>465</v>
      </c>
      <c r="J9" s="1039"/>
      <c r="K9" s="1039" t="s">
        <v>466</v>
      </c>
      <c r="L9" s="1039" t="s">
        <v>462</v>
      </c>
      <c r="M9" s="1068" t="s">
        <v>2006</v>
      </c>
      <c r="N9" s="1070" t="s">
        <v>2007</v>
      </c>
      <c r="O9" s="1072" t="s">
        <v>2008</v>
      </c>
      <c r="P9" s="1049" t="s">
        <v>2009</v>
      </c>
      <c r="Q9" s="1050"/>
      <c r="R9" s="1050"/>
      <c r="S9" s="1050"/>
      <c r="T9" s="1051" t="s">
        <v>2010</v>
      </c>
      <c r="U9" s="1050"/>
      <c r="V9" s="1050"/>
      <c r="W9" s="1050"/>
      <c r="X9" s="1050"/>
      <c r="Y9" s="1050"/>
      <c r="Z9" s="1050"/>
      <c r="AA9" s="1052"/>
      <c r="AB9" s="1041" t="s">
        <v>2011</v>
      </c>
      <c r="AC9" s="1043" t="s">
        <v>2012</v>
      </c>
      <c r="AD9" s="1044"/>
      <c r="AE9" s="1045" t="s">
        <v>2013</v>
      </c>
      <c r="AF9" s="1047" t="s">
        <v>2014</v>
      </c>
    </row>
    <row r="10" spans="1:32" ht="51.75" thickBot="1" x14ac:dyDescent="0.25">
      <c r="A10" s="1029"/>
      <c r="B10" s="1030"/>
      <c r="C10" s="1032"/>
      <c r="D10" s="1032"/>
      <c r="E10" s="1035"/>
      <c r="F10" s="1036"/>
      <c r="G10" s="1038"/>
      <c r="H10" s="1038"/>
      <c r="I10" s="1040"/>
      <c r="J10" s="1040"/>
      <c r="K10" s="1040"/>
      <c r="L10" s="1040"/>
      <c r="M10" s="1069"/>
      <c r="N10" s="1071"/>
      <c r="O10" s="1073"/>
      <c r="P10" s="166" t="s">
        <v>2015</v>
      </c>
      <c r="Q10" s="167" t="s">
        <v>2016</v>
      </c>
      <c r="R10" s="168" t="s">
        <v>2017</v>
      </c>
      <c r="S10" s="169" t="s">
        <v>2018</v>
      </c>
      <c r="T10" s="170" t="s">
        <v>2019</v>
      </c>
      <c r="U10" s="167" t="s">
        <v>2016</v>
      </c>
      <c r="V10" s="168" t="s">
        <v>2017</v>
      </c>
      <c r="W10" s="169" t="s">
        <v>2020</v>
      </c>
      <c r="X10" s="171" t="s">
        <v>2021</v>
      </c>
      <c r="Y10" s="167" t="s">
        <v>2016</v>
      </c>
      <c r="Z10" s="168" t="s">
        <v>2017</v>
      </c>
      <c r="AA10" s="172" t="s">
        <v>2020</v>
      </c>
      <c r="AB10" s="1042"/>
      <c r="AC10" s="170" t="s">
        <v>2022</v>
      </c>
      <c r="AD10" s="173" t="s">
        <v>2016</v>
      </c>
      <c r="AE10" s="1046"/>
      <c r="AF10" s="1048"/>
    </row>
    <row r="11" spans="1:32" s="192" customFormat="1" ht="43.5" customHeight="1" thickTop="1" x14ac:dyDescent="0.25">
      <c r="A11" s="1053">
        <v>1</v>
      </c>
      <c r="B11" s="1056" t="s">
        <v>2023</v>
      </c>
      <c r="C11" s="1059">
        <v>42736</v>
      </c>
      <c r="D11" s="1062" t="s">
        <v>2024</v>
      </c>
      <c r="E11" s="1065" t="s">
        <v>3</v>
      </c>
      <c r="F11" s="1074" t="s">
        <v>2025</v>
      </c>
      <c r="G11" s="174" t="s">
        <v>2026</v>
      </c>
      <c r="H11" s="175" t="s">
        <v>2027</v>
      </c>
      <c r="I11" s="175" t="s">
        <v>84</v>
      </c>
      <c r="J11" s="175" t="s">
        <v>216</v>
      </c>
      <c r="K11" s="175" t="s">
        <v>215</v>
      </c>
      <c r="L11" s="176" t="s">
        <v>464</v>
      </c>
      <c r="M11" s="177">
        <v>322</v>
      </c>
      <c r="N11" s="177"/>
      <c r="O11" s="178"/>
      <c r="P11" s="179">
        <f>'[1]Vystup. ukazovatele projektov'!M5+'[1]Vystup. ukazovatele projektov'!M12+'[1]Vystup. ukazovatele projektov'!M20</f>
        <v>0</v>
      </c>
      <c r="Q11" s="180">
        <f>IF(M11=0,0,P11/M11)</f>
        <v>0</v>
      </c>
      <c r="R11" s="177"/>
      <c r="S11" s="181"/>
      <c r="T11" s="182">
        <f>'[1]Vystup. ukazovatele projektov'!K5+'[1]Vystup. ukazovatele projektov'!K12+'[1]Vystup. ukazovatele projektov'!K20</f>
        <v>220</v>
      </c>
      <c r="U11" s="183">
        <f t="shared" ref="U11:U43" si="0">IF(M11=0,0,T11/M11)</f>
        <v>0.68322981366459623</v>
      </c>
      <c r="V11" s="183"/>
      <c r="W11" s="184"/>
      <c r="X11" s="185">
        <f>'[1]Vystup. ukazovatele projektov'!L5+'[1]Vystup. ukazovatele projektov'!L12+'[1]Vystup. ukazovatele projektov'!L20</f>
        <v>217</v>
      </c>
      <c r="Y11" s="183">
        <f>IF(M11=0,0,X11/M11)</f>
        <v>0.67391304347826086</v>
      </c>
      <c r="Z11" s="180"/>
      <c r="AA11" s="186"/>
      <c r="AB11" s="187">
        <f>'[1]Vystup. ukazovatele projektov'!O5+'[1]Vystup. ukazovatele projektov'!O12+'[1]Vystup. ukazovatele projektov'!O20</f>
        <v>4</v>
      </c>
      <c r="AC11" s="188">
        <f t="shared" ref="AC11:AC12" si="1">T11+AB11</f>
        <v>224</v>
      </c>
      <c r="AD11" s="189">
        <f>IF(M11=0,0,AC11/M11)</f>
        <v>0.69565217391304346</v>
      </c>
      <c r="AE11" s="190">
        <f>'[1]Vystup. ukazovatele projektov'!N5</f>
        <v>0</v>
      </c>
      <c r="AF11" s="191">
        <f>'[1]Vystup. ukazovatele projektov'!P5</f>
        <v>0</v>
      </c>
    </row>
    <row r="12" spans="1:32" s="192" customFormat="1" ht="43.5" customHeight="1" x14ac:dyDescent="0.25">
      <c r="A12" s="1054"/>
      <c r="B12" s="1057"/>
      <c r="C12" s="1060"/>
      <c r="D12" s="1063"/>
      <c r="E12" s="1066"/>
      <c r="F12" s="1075"/>
      <c r="G12" s="193" t="s">
        <v>2028</v>
      </c>
      <c r="H12" s="194" t="s">
        <v>2029</v>
      </c>
      <c r="I12" s="195" t="s">
        <v>78</v>
      </c>
      <c r="J12" s="195" t="s">
        <v>79</v>
      </c>
      <c r="K12" s="195" t="s">
        <v>218</v>
      </c>
      <c r="L12" s="196" t="s">
        <v>467</v>
      </c>
      <c r="M12" s="197">
        <v>21579</v>
      </c>
      <c r="N12" s="197">
        <v>8632</v>
      </c>
      <c r="O12" s="198"/>
      <c r="P12" s="199">
        <f>'[1]Vystup. ukazovatele projektov'!M13</f>
        <v>0</v>
      </c>
      <c r="Q12" s="200">
        <f t="shared" ref="Q12:Q75" si="2">IF(M12=0,0,P12/M12)</f>
        <v>0</v>
      </c>
      <c r="R12" s="200">
        <f>IF(N12=0,0,P12/N12)</f>
        <v>0</v>
      </c>
      <c r="S12" s="201"/>
      <c r="T12" s="202">
        <v>57372.42</v>
      </c>
      <c r="U12" s="203">
        <f>IF(M12=0,0,T12/M12)</f>
        <v>2.6587154177672736</v>
      </c>
      <c r="V12" s="203">
        <f>IF(N12=0,0,T12/N12)</f>
        <v>6.646480537534754</v>
      </c>
      <c r="W12" s="204"/>
      <c r="X12" s="205">
        <v>51610.788999999997</v>
      </c>
      <c r="Y12" s="203">
        <f t="shared" ref="Y12:Y75" si="3">IF(M12=0,0,X12/M12)</f>
        <v>2.3917136567959587</v>
      </c>
      <c r="Z12" s="200">
        <f>IF(N12=0,0,X12/N12)</f>
        <v>5.9790070667284523</v>
      </c>
      <c r="AA12" s="206"/>
      <c r="AB12" s="207">
        <v>110.79</v>
      </c>
      <c r="AC12" s="208">
        <f t="shared" si="1"/>
        <v>57483.21</v>
      </c>
      <c r="AD12" s="209">
        <f>IF(M12=0,0,AC12/M12)</f>
        <v>2.6638495759766441</v>
      </c>
      <c r="AE12" s="210">
        <f>'[1]Vystup. ukazovatele projektov'!N13</f>
        <v>0</v>
      </c>
      <c r="AF12" s="211">
        <f>'[1]Vystup. ukazovatele projektov'!P13</f>
        <v>0</v>
      </c>
    </row>
    <row r="13" spans="1:32" s="192" customFormat="1" ht="43.5" customHeight="1" x14ac:dyDescent="0.25">
      <c r="A13" s="1054"/>
      <c r="B13" s="1057"/>
      <c r="C13" s="1060"/>
      <c r="D13" s="1063"/>
      <c r="E13" s="1066"/>
      <c r="F13" s="1075"/>
      <c r="G13" s="1077" t="s">
        <v>2030</v>
      </c>
      <c r="H13" s="1079" t="s">
        <v>2031</v>
      </c>
      <c r="I13" s="195" t="s">
        <v>80</v>
      </c>
      <c r="J13" s="195" t="s">
        <v>81</v>
      </c>
      <c r="K13" s="195" t="s">
        <v>219</v>
      </c>
      <c r="L13" s="196" t="s">
        <v>467</v>
      </c>
      <c r="M13" s="212">
        <v>329676</v>
      </c>
      <c r="N13" s="197">
        <v>34579</v>
      </c>
      <c r="O13" s="198"/>
      <c r="P13" s="199">
        <f>'[1]Vystup. ukazovatele projektov'!M14+'[1]Vystup. ukazovatele projektov'!M21</f>
        <v>0</v>
      </c>
      <c r="Q13" s="200">
        <f>IF(M13=0,0,P13/M13)</f>
        <v>0</v>
      </c>
      <c r="R13" s="200">
        <f>IF(N13=0,0,P13/N13)</f>
        <v>0</v>
      </c>
      <c r="S13" s="201"/>
      <c r="T13" s="202">
        <f>70818.5+26852</f>
        <v>97670.5</v>
      </c>
      <c r="U13" s="203">
        <f>IF(M13=0,0,T13/M13)</f>
        <v>0.29626208762542616</v>
      </c>
      <c r="V13" s="203">
        <f>IF(N13=0,0,T13/N13)</f>
        <v>2.8245611498308221</v>
      </c>
      <c r="W13" s="204"/>
      <c r="X13" s="205">
        <f>43966.5+0</f>
        <v>43966.5</v>
      </c>
      <c r="Y13" s="203">
        <f>IF(M13=0,0,X13/M13)</f>
        <v>0.13336275616059404</v>
      </c>
      <c r="Z13" s="200">
        <f>IF(N13=0,0,X13/N13)</f>
        <v>1.271479799878539</v>
      </c>
      <c r="AA13" s="206"/>
      <c r="AB13" s="207">
        <f>200+2300</f>
        <v>2500</v>
      </c>
      <c r="AC13" s="208">
        <f>T13+AB13</f>
        <v>100170.5</v>
      </c>
      <c r="AD13" s="209">
        <f>IF(M13=0,0,AC13/M13)</f>
        <v>0.30384529052766956</v>
      </c>
      <c r="AE13" s="213">
        <f>'[1]Vystup. ukazovatele projektov'!N14+'[1]Vystup. ukazovatele projektov'!N21</f>
        <v>0</v>
      </c>
      <c r="AF13" s="211">
        <f>'[1]Vystup. ukazovatele projektov'!P14+'[1]Vystup. ukazovatele projektov'!P21</f>
        <v>519534.11</v>
      </c>
    </row>
    <row r="14" spans="1:32" s="192" customFormat="1" ht="43.5" customHeight="1" x14ac:dyDescent="0.25">
      <c r="A14" s="1054"/>
      <c r="B14" s="1057"/>
      <c r="C14" s="1060"/>
      <c r="D14" s="1063"/>
      <c r="E14" s="1066"/>
      <c r="F14" s="1075"/>
      <c r="G14" s="1078"/>
      <c r="H14" s="1080"/>
      <c r="I14" s="214" t="s">
        <v>76</v>
      </c>
      <c r="J14" s="214" t="s">
        <v>2032</v>
      </c>
      <c r="K14" s="214" t="s">
        <v>220</v>
      </c>
      <c r="L14" s="215" t="s">
        <v>467</v>
      </c>
      <c r="M14" s="216">
        <v>197466</v>
      </c>
      <c r="N14" s="217"/>
      <c r="O14" s="218"/>
      <c r="P14" s="219">
        <f>'[1]Vystup. ukazovatele projektov'!M15+'[1]Vystup. ukazovatele projektov'!M22</f>
        <v>0</v>
      </c>
      <c r="Q14" s="220">
        <f>IF(M14=0,0,P14/M14)</f>
        <v>0</v>
      </c>
      <c r="R14" s="220"/>
      <c r="S14" s="221"/>
      <c r="T14" s="222">
        <v>32170</v>
      </c>
      <c r="U14" s="223">
        <f>IF(M14=0,0,T14/M14)</f>
        <v>0.16291412192478705</v>
      </c>
      <c r="V14" s="223"/>
      <c r="W14" s="224"/>
      <c r="X14" s="225">
        <f>'[1]Vystup. ukazovatele projektov'!L15+'[1]Vystup. ukazovatele projektov'!L22</f>
        <v>0</v>
      </c>
      <c r="Y14" s="223">
        <f>IF(M14=0,0,X14/M14)</f>
        <v>0</v>
      </c>
      <c r="Z14" s="220"/>
      <c r="AA14" s="226"/>
      <c r="AB14" s="227">
        <v>2300</v>
      </c>
      <c r="AC14" s="222">
        <f>T14+AB14</f>
        <v>34470</v>
      </c>
      <c r="AD14" s="228">
        <f>IF(M14=0,0,AC14/M14)</f>
        <v>0.17456169669715293</v>
      </c>
      <c r="AE14" s="229">
        <f>'[1]Vystup. ukazovatele projektov'!N15+'[1]Vystup. ukazovatele projektov'!N22</f>
        <v>0</v>
      </c>
      <c r="AF14" s="230">
        <f>'[1]Vystup. ukazovatele projektov'!P15+'[1]Vystup. ukazovatele projektov'!P22</f>
        <v>137225</v>
      </c>
    </row>
    <row r="15" spans="1:32" s="192" customFormat="1" ht="43.5" customHeight="1" thickBot="1" x14ac:dyDescent="0.3">
      <c r="A15" s="1054"/>
      <c r="B15" s="1057"/>
      <c r="C15" s="1061"/>
      <c r="D15" s="1064"/>
      <c r="E15" s="1067"/>
      <c r="F15" s="1076"/>
      <c r="G15" s="231" t="s">
        <v>2033</v>
      </c>
      <c r="H15" s="232" t="s">
        <v>2034</v>
      </c>
      <c r="I15" s="232" t="s">
        <v>82</v>
      </c>
      <c r="J15" s="232" t="s">
        <v>83</v>
      </c>
      <c r="K15" s="232" t="s">
        <v>217</v>
      </c>
      <c r="L15" s="233" t="s">
        <v>464</v>
      </c>
      <c r="M15" s="234">
        <v>1</v>
      </c>
      <c r="N15" s="234"/>
      <c r="O15" s="235"/>
      <c r="P15" s="236">
        <f>'[1]Vystup. ukazovatele projektov'!M23</f>
        <v>0</v>
      </c>
      <c r="Q15" s="237">
        <f>IF(M15=0,0,P15/M15)</f>
        <v>0</v>
      </c>
      <c r="R15" s="237"/>
      <c r="S15" s="238"/>
      <c r="T15" s="239">
        <f>'[1]Vystup. ukazovatele projektov'!K23</f>
        <v>0</v>
      </c>
      <c r="U15" s="240">
        <f t="shared" si="0"/>
        <v>0</v>
      </c>
      <c r="V15" s="240"/>
      <c r="W15" s="241"/>
      <c r="X15" s="242">
        <f>'[1]Vystup. ukazovatele projektov'!L23</f>
        <v>0</v>
      </c>
      <c r="Y15" s="240">
        <f t="shared" si="3"/>
        <v>0</v>
      </c>
      <c r="Z15" s="237"/>
      <c r="AA15" s="243"/>
      <c r="AB15" s="244">
        <f>'[1]Vystup. ukazovatele projektov'!O23</f>
        <v>0</v>
      </c>
      <c r="AC15" s="245">
        <f>T15+AB15</f>
        <v>0</v>
      </c>
      <c r="AD15" s="246">
        <f t="shared" ref="AD15:AD78" si="4">IF(M15=0,0,AC15/M15)</f>
        <v>0</v>
      </c>
      <c r="AE15" s="247">
        <f>'[1]Vystup. ukazovatele projektov'!N23</f>
        <v>0</v>
      </c>
      <c r="AF15" s="248">
        <f>'[1]Vystup. ukazovatele projektov'!P23</f>
        <v>1</v>
      </c>
    </row>
    <row r="16" spans="1:32" ht="43.5" customHeight="1" x14ac:dyDescent="0.2">
      <c r="A16" s="1054"/>
      <c r="B16" s="1057"/>
      <c r="C16" s="249">
        <v>42767</v>
      </c>
      <c r="D16" s="1081" t="s">
        <v>2035</v>
      </c>
      <c r="E16" s="250" t="s">
        <v>2</v>
      </c>
      <c r="F16" s="251" t="s">
        <v>2036</v>
      </c>
      <c r="G16" s="193" t="s">
        <v>2037</v>
      </c>
      <c r="H16" s="252" t="s">
        <v>2038</v>
      </c>
      <c r="I16" s="195" t="s">
        <v>2039</v>
      </c>
      <c r="J16" s="195" t="s">
        <v>87</v>
      </c>
      <c r="K16" s="195" t="s">
        <v>227</v>
      </c>
      <c r="L16" s="196" t="s">
        <v>471</v>
      </c>
      <c r="M16" s="197">
        <v>205046</v>
      </c>
      <c r="N16" s="197"/>
      <c r="O16" s="198">
        <v>20505</v>
      </c>
      <c r="P16" s="199">
        <f>'[1]Vystup. ukazovatele projektov'!M26+'[1]Vystup. ukazovatele projektov'!M29</f>
        <v>3500</v>
      </c>
      <c r="Q16" s="200">
        <f>IF(M16=0,0,P16/M16)</f>
        <v>1.7069340538220693E-2</v>
      </c>
      <c r="R16" s="200"/>
      <c r="S16" s="201">
        <f>IF(O16=0,0,P16/O16)</f>
        <v>0.17069007559131918</v>
      </c>
      <c r="T16" s="202">
        <f>'[1]Vystup. ukazovatele projektov'!K26+'[1]Vystup. ukazovatele projektov'!K29</f>
        <v>273863</v>
      </c>
      <c r="U16" s="203">
        <f>IF(M16=0,0,T16/M16)</f>
        <v>1.3356173736624952</v>
      </c>
      <c r="V16" s="203"/>
      <c r="W16" s="200">
        <f>IF(O16=0,0,T16/O16)</f>
        <v>13.355913191904413</v>
      </c>
      <c r="X16" s="253">
        <f>'[1]Vystup. ukazovatele projektov'!L26+'[1]Vystup. ukazovatele projektov'!L29</f>
        <v>172746</v>
      </c>
      <c r="Y16" s="203">
        <f>IF(M16=0,0,X16/M16)</f>
        <v>0.84247437160442051</v>
      </c>
      <c r="Z16" s="200"/>
      <c r="AA16" s="206">
        <f>IF(O16=0,0,X16/O16)</f>
        <v>8.4245793708851497</v>
      </c>
      <c r="AB16" s="207">
        <f>'[1]Vystup. ukazovatele projektov'!O26+'[1]Vystup. ukazovatele projektov'!O29</f>
        <v>0</v>
      </c>
      <c r="AC16" s="202">
        <f>T16+AB16</f>
        <v>273863</v>
      </c>
      <c r="AD16" s="209">
        <f>IF(M16=0,0,AC16/M16)</f>
        <v>1.3356173736624952</v>
      </c>
      <c r="AE16" s="213"/>
      <c r="AF16" s="211"/>
    </row>
    <row r="17" spans="1:32" ht="43.5" customHeight="1" x14ac:dyDescent="0.2">
      <c r="A17" s="1054"/>
      <c r="B17" s="1057"/>
      <c r="C17" s="249"/>
      <c r="D17" s="1063"/>
      <c r="E17" s="254" t="s">
        <v>10</v>
      </c>
      <c r="F17" s="193" t="s">
        <v>2040</v>
      </c>
      <c r="G17" s="193" t="s">
        <v>2026</v>
      </c>
      <c r="H17" s="252" t="s">
        <v>2041</v>
      </c>
      <c r="I17" s="214" t="s">
        <v>88</v>
      </c>
      <c r="J17" s="214" t="s">
        <v>233</v>
      </c>
      <c r="K17" s="214" t="s">
        <v>232</v>
      </c>
      <c r="L17" s="215" t="s">
        <v>470</v>
      </c>
      <c r="M17" s="217">
        <v>86079</v>
      </c>
      <c r="N17" s="217"/>
      <c r="O17" s="218"/>
      <c r="P17" s="219">
        <f>'[1]Vystup. ukazovatele projektov'!M32</f>
        <v>0</v>
      </c>
      <c r="Q17" s="220">
        <f>IF(M17=0,0,P17/M17)</f>
        <v>0</v>
      </c>
      <c r="R17" s="220"/>
      <c r="S17" s="221"/>
      <c r="T17" s="222">
        <f>'[1]Vystup. ukazovatele projektov'!K32</f>
        <v>3129</v>
      </c>
      <c r="U17" s="223">
        <f t="shared" si="0"/>
        <v>3.6350329348621618E-2</v>
      </c>
      <c r="V17" s="223"/>
      <c r="W17" s="224"/>
      <c r="X17" s="225">
        <f>'[1]Vystup. ukazovatele projektov'!L32</f>
        <v>729</v>
      </c>
      <c r="Y17" s="223">
        <f t="shared" si="3"/>
        <v>8.4689645558150076E-3</v>
      </c>
      <c r="Z17" s="220"/>
      <c r="AA17" s="226"/>
      <c r="AB17" s="227">
        <f>'[1]Vystup. ukazovatele projektov'!O32</f>
        <v>0</v>
      </c>
      <c r="AC17" s="222">
        <f t="shared" ref="AC17:AC22" si="5">T17+AB17</f>
        <v>3129</v>
      </c>
      <c r="AD17" s="228">
        <f t="shared" si="4"/>
        <v>3.6350329348621618E-2</v>
      </c>
      <c r="AE17" s="229">
        <f>'[1]Vystup. ukazovatele projektov'!N32</f>
        <v>1610</v>
      </c>
      <c r="AF17" s="230">
        <f>'[1]Vystup. ukazovatele projektov'!P32</f>
        <v>0</v>
      </c>
    </row>
    <row r="18" spans="1:32" ht="43.5" customHeight="1" x14ac:dyDescent="0.2">
      <c r="A18" s="1054"/>
      <c r="B18" s="1057"/>
      <c r="C18" s="249"/>
      <c r="D18" s="1063"/>
      <c r="E18" s="1082" t="s">
        <v>11</v>
      </c>
      <c r="F18" s="1083" t="s">
        <v>2042</v>
      </c>
      <c r="G18" s="1083" t="s">
        <v>2026</v>
      </c>
      <c r="H18" s="1079" t="s">
        <v>2043</v>
      </c>
      <c r="I18" s="214" t="s">
        <v>97</v>
      </c>
      <c r="J18" s="214" t="s">
        <v>2044</v>
      </c>
      <c r="K18" s="214" t="s">
        <v>1006</v>
      </c>
      <c r="L18" s="215" t="s">
        <v>464</v>
      </c>
      <c r="M18" s="217">
        <v>786929</v>
      </c>
      <c r="N18" s="217"/>
      <c r="O18" s="218"/>
      <c r="P18" s="219">
        <f>'[1]Vystup. ukazovatele projektov'!M35+'[1]Vystup. ukazovatele projektov'!M36</f>
        <v>74094</v>
      </c>
      <c r="Q18" s="220">
        <f t="shared" si="2"/>
        <v>9.4155889540225357E-2</v>
      </c>
      <c r="R18" s="220"/>
      <c r="S18" s="221"/>
      <c r="T18" s="222">
        <f>'[1]Vystup. ukazovatele projektov'!K35+'[1]Vystup. ukazovatele projektov'!K36</f>
        <v>887546</v>
      </c>
      <c r="U18" s="223">
        <f t="shared" si="0"/>
        <v>1.1278603279330155</v>
      </c>
      <c r="V18" s="223"/>
      <c r="W18" s="224"/>
      <c r="X18" s="225">
        <f>'[1]Vystup. ukazovatele projektov'!L35+'[1]Vystup. ukazovatele projektov'!L36</f>
        <v>4763</v>
      </c>
      <c r="Y18" s="223">
        <f t="shared" si="3"/>
        <v>6.0526426145179552E-3</v>
      </c>
      <c r="Z18" s="220"/>
      <c r="AA18" s="226"/>
      <c r="AB18" s="227">
        <f>'[1]Vystup. ukazovatele projektov'!O35+'[1]Vystup. ukazovatele projektov'!O36</f>
        <v>0</v>
      </c>
      <c r="AC18" s="222">
        <f t="shared" si="5"/>
        <v>887546</v>
      </c>
      <c r="AD18" s="228">
        <f t="shared" si="4"/>
        <v>1.1278603279330155</v>
      </c>
      <c r="AE18" s="229">
        <f>'[1]Vystup. ukazovatele projektov'!N35+'[1]Vystup. ukazovatele projektov'!N36</f>
        <v>0</v>
      </c>
      <c r="AF18" s="230">
        <f>'[1]Vystup. ukazovatele projektov'!P35+'[1]Vystup. ukazovatele projektov'!P36</f>
        <v>0</v>
      </c>
    </row>
    <row r="19" spans="1:32" ht="43.5" customHeight="1" x14ac:dyDescent="0.2">
      <c r="A19" s="1054"/>
      <c r="B19" s="1057"/>
      <c r="C19" s="249"/>
      <c r="D19" s="1063"/>
      <c r="E19" s="1066"/>
      <c r="F19" s="1075"/>
      <c r="G19" s="1075"/>
      <c r="H19" s="1063"/>
      <c r="I19" s="214" t="s">
        <v>89</v>
      </c>
      <c r="J19" s="214" t="s">
        <v>90</v>
      </c>
      <c r="K19" s="214" t="s">
        <v>1004</v>
      </c>
      <c r="L19" s="215" t="s">
        <v>464</v>
      </c>
      <c r="M19" s="217">
        <v>2295</v>
      </c>
      <c r="N19" s="217"/>
      <c r="O19" s="218"/>
      <c r="P19" s="219">
        <f>'[1]Vystup. ukazovatele projektov'!M40+'[1]Vystup. ukazovatele projektov'!M41</f>
        <v>0</v>
      </c>
      <c r="Q19" s="220">
        <f t="shared" si="2"/>
        <v>0</v>
      </c>
      <c r="R19" s="220"/>
      <c r="S19" s="221"/>
      <c r="T19" s="222">
        <f>'[1]Vystup. ukazovatele projektov'!K40+'[1]Vystup. ukazovatele projektov'!K41</f>
        <v>0</v>
      </c>
      <c r="U19" s="223">
        <f t="shared" si="0"/>
        <v>0</v>
      </c>
      <c r="V19" s="223"/>
      <c r="W19" s="224"/>
      <c r="X19" s="225">
        <f>'[1]Vystup. ukazovatele projektov'!L40+'[1]Vystup. ukazovatele projektov'!L41</f>
        <v>0</v>
      </c>
      <c r="Y19" s="223">
        <f t="shared" si="3"/>
        <v>0</v>
      </c>
      <c r="Z19" s="220"/>
      <c r="AA19" s="226"/>
      <c r="AB19" s="227">
        <f>'[1]Vystup. ukazovatele projektov'!O40+'[1]Vystup. ukazovatele projektov'!O41</f>
        <v>0</v>
      </c>
      <c r="AC19" s="222">
        <f t="shared" si="5"/>
        <v>0</v>
      </c>
      <c r="AD19" s="228">
        <f t="shared" si="4"/>
        <v>0</v>
      </c>
      <c r="AE19" s="229">
        <f>'[1]Vystup. ukazovatele projektov'!N40+'[1]Vystup. ukazovatele projektov'!N41</f>
        <v>0</v>
      </c>
      <c r="AF19" s="230">
        <f>'[1]Vystup. ukazovatele projektov'!P40+'[1]Vystup. ukazovatele projektov'!P41</f>
        <v>0</v>
      </c>
    </row>
    <row r="20" spans="1:32" ht="43.5" customHeight="1" x14ac:dyDescent="0.2">
      <c r="A20" s="1054"/>
      <c r="B20" s="1057"/>
      <c r="C20" s="249"/>
      <c r="D20" s="1063"/>
      <c r="E20" s="1066"/>
      <c r="F20" s="1075"/>
      <c r="G20" s="1084"/>
      <c r="H20" s="1080"/>
      <c r="I20" s="214" t="s">
        <v>91</v>
      </c>
      <c r="J20" s="214" t="s">
        <v>2045</v>
      </c>
      <c r="K20" s="214" t="s">
        <v>1005</v>
      </c>
      <c r="L20" s="215" t="s">
        <v>464</v>
      </c>
      <c r="M20" s="217">
        <v>1835</v>
      </c>
      <c r="N20" s="217"/>
      <c r="O20" s="218"/>
      <c r="P20" s="219">
        <f>'[1]Vystup. ukazovatele projektov'!M42+'[1]Vystup. ukazovatele projektov'!M43</f>
        <v>49</v>
      </c>
      <c r="Q20" s="220">
        <f t="shared" si="2"/>
        <v>2.6702997275204358E-2</v>
      </c>
      <c r="R20" s="220"/>
      <c r="S20" s="221"/>
      <c r="T20" s="222">
        <f>'[1]Vystup. ukazovatele projektov'!K42+'[1]Vystup. ukazovatele projektov'!K43</f>
        <v>1632</v>
      </c>
      <c r="U20" s="223">
        <f t="shared" si="0"/>
        <v>0.88937329700272483</v>
      </c>
      <c r="V20" s="223"/>
      <c r="W20" s="224"/>
      <c r="X20" s="225">
        <f>'[1]Vystup. ukazovatele projektov'!L42+'[1]Vystup. ukazovatele projektov'!L43</f>
        <v>0</v>
      </c>
      <c r="Y20" s="223">
        <f t="shared" si="3"/>
        <v>0</v>
      </c>
      <c r="Z20" s="220"/>
      <c r="AA20" s="226"/>
      <c r="AB20" s="227">
        <f>'[1]Vystup. ukazovatele projektov'!O42+'[1]Vystup. ukazovatele projektov'!O43</f>
        <v>0</v>
      </c>
      <c r="AC20" s="222">
        <f t="shared" si="5"/>
        <v>1632</v>
      </c>
      <c r="AD20" s="228">
        <f t="shared" si="4"/>
        <v>0.88937329700272483</v>
      </c>
      <c r="AE20" s="229">
        <f>'[1]Vystup. ukazovatele projektov'!N42+'[1]Vystup. ukazovatele projektov'!N43</f>
        <v>0</v>
      </c>
      <c r="AF20" s="230">
        <f>'[1]Vystup. ukazovatele projektov'!P42+'[1]Vystup. ukazovatele projektov'!P43</f>
        <v>0</v>
      </c>
    </row>
    <row r="21" spans="1:32" ht="43.5" customHeight="1" x14ac:dyDescent="0.2">
      <c r="A21" s="1054"/>
      <c r="B21" s="1057"/>
      <c r="C21" s="249"/>
      <c r="D21" s="1063"/>
      <c r="E21" s="1066"/>
      <c r="F21" s="1075"/>
      <c r="G21" s="255" t="s">
        <v>2028</v>
      </c>
      <c r="H21" s="214" t="s">
        <v>2046</v>
      </c>
      <c r="I21" s="214" t="s">
        <v>93</v>
      </c>
      <c r="J21" s="214" t="s">
        <v>94</v>
      </c>
      <c r="K21" s="214" t="s">
        <v>250</v>
      </c>
      <c r="L21" s="215" t="s">
        <v>464</v>
      </c>
      <c r="M21" s="217">
        <v>345</v>
      </c>
      <c r="N21" s="217"/>
      <c r="O21" s="218"/>
      <c r="P21" s="219">
        <f>'[1]Vystup. ukazovatele projektov'!M45</f>
        <v>0</v>
      </c>
      <c r="Q21" s="220">
        <f t="shared" si="2"/>
        <v>0</v>
      </c>
      <c r="R21" s="220"/>
      <c r="S21" s="221"/>
      <c r="T21" s="222">
        <f>'[1]Vystup. ukazovatele projektov'!K45</f>
        <v>0</v>
      </c>
      <c r="U21" s="223">
        <f t="shared" si="0"/>
        <v>0</v>
      </c>
      <c r="V21" s="223"/>
      <c r="W21" s="224"/>
      <c r="X21" s="225">
        <f>'[1]Vystup. ukazovatele projektov'!L45</f>
        <v>0</v>
      </c>
      <c r="Y21" s="223">
        <f t="shared" si="3"/>
        <v>0</v>
      </c>
      <c r="Z21" s="220"/>
      <c r="AA21" s="226"/>
      <c r="AB21" s="227">
        <f>'[1]Vystup. ukazovatele projektov'!O45</f>
        <v>0</v>
      </c>
      <c r="AC21" s="222">
        <f t="shared" si="5"/>
        <v>0</v>
      </c>
      <c r="AD21" s="228">
        <f t="shared" si="4"/>
        <v>0</v>
      </c>
      <c r="AE21" s="229">
        <f>'[1]Vystup. ukazovatele projektov'!N45</f>
        <v>0</v>
      </c>
      <c r="AF21" s="230">
        <f>'[1]Vystup. ukazovatele projektov'!P45</f>
        <v>0</v>
      </c>
    </row>
    <row r="22" spans="1:32" ht="43.5" customHeight="1" x14ac:dyDescent="0.2">
      <c r="A22" s="1054"/>
      <c r="B22" s="1057"/>
      <c r="C22" s="249"/>
      <c r="D22" s="1063"/>
      <c r="E22" s="1066"/>
      <c r="F22" s="1075"/>
      <c r="G22" s="1083" t="s">
        <v>2047</v>
      </c>
      <c r="H22" s="1079" t="s">
        <v>2048</v>
      </c>
      <c r="I22" s="214" t="s">
        <v>84</v>
      </c>
      <c r="J22" s="214" t="s">
        <v>216</v>
      </c>
      <c r="K22" s="214" t="s">
        <v>215</v>
      </c>
      <c r="L22" s="215" t="s">
        <v>464</v>
      </c>
      <c r="M22" s="217">
        <v>116</v>
      </c>
      <c r="N22" s="217"/>
      <c r="O22" s="218"/>
      <c r="P22" s="219">
        <f>'[1]Vystup. ukazovatele projektov'!M49</f>
        <v>0</v>
      </c>
      <c r="Q22" s="220">
        <f t="shared" si="2"/>
        <v>0</v>
      </c>
      <c r="R22" s="220"/>
      <c r="S22" s="221"/>
      <c r="T22" s="222">
        <f>'[1]Vystup. ukazovatele projektov'!K49</f>
        <v>0</v>
      </c>
      <c r="U22" s="223">
        <f t="shared" si="0"/>
        <v>0</v>
      </c>
      <c r="V22" s="223"/>
      <c r="W22" s="224"/>
      <c r="X22" s="225">
        <f>'[1]Vystup. ukazovatele projektov'!L49</f>
        <v>0</v>
      </c>
      <c r="Y22" s="223">
        <f t="shared" si="3"/>
        <v>0</v>
      </c>
      <c r="Z22" s="220"/>
      <c r="AA22" s="226"/>
      <c r="AB22" s="227">
        <f>'[1]Vystup. ukazovatele projektov'!O49</f>
        <v>0</v>
      </c>
      <c r="AC22" s="222">
        <f t="shared" si="5"/>
        <v>0</v>
      </c>
      <c r="AD22" s="228">
        <f t="shared" si="4"/>
        <v>0</v>
      </c>
      <c r="AE22" s="229">
        <f>'[1]Vystup. ukazovatele projektov'!N49</f>
        <v>0</v>
      </c>
      <c r="AF22" s="230">
        <f>'[1]Vystup. ukazovatele projektov'!P49</f>
        <v>0</v>
      </c>
    </row>
    <row r="23" spans="1:32" ht="43.5" customHeight="1" thickBot="1" x14ac:dyDescent="0.25">
      <c r="A23" s="1054"/>
      <c r="B23" s="1057"/>
      <c r="C23" s="256"/>
      <c r="D23" s="1064"/>
      <c r="E23" s="1067"/>
      <c r="F23" s="1076"/>
      <c r="G23" s="1076"/>
      <c r="H23" s="1064"/>
      <c r="I23" s="232" t="s">
        <v>95</v>
      </c>
      <c r="J23" s="232" t="s">
        <v>245</v>
      </c>
      <c r="K23" s="232" t="s">
        <v>244</v>
      </c>
      <c r="L23" s="233" t="s">
        <v>464</v>
      </c>
      <c r="M23" s="234">
        <v>34</v>
      </c>
      <c r="N23" s="234"/>
      <c r="O23" s="235"/>
      <c r="P23" s="236">
        <f>'[1]Vystup. ukazovatele projektov'!M47</f>
        <v>0</v>
      </c>
      <c r="Q23" s="237">
        <f t="shared" si="2"/>
        <v>0</v>
      </c>
      <c r="R23" s="237"/>
      <c r="S23" s="238"/>
      <c r="T23" s="239">
        <f>'[1]Vystup. ukazovatele projektov'!K47</f>
        <v>0</v>
      </c>
      <c r="U23" s="240">
        <f t="shared" si="0"/>
        <v>0</v>
      </c>
      <c r="V23" s="240"/>
      <c r="W23" s="257"/>
      <c r="X23" s="258">
        <f>'[1]Vystup. ukazovatele projektov'!L47</f>
        <v>0</v>
      </c>
      <c r="Y23" s="240">
        <f t="shared" si="3"/>
        <v>0</v>
      </c>
      <c r="Z23" s="237"/>
      <c r="AA23" s="243"/>
      <c r="AB23" s="244">
        <f>'[1]Vystup. ukazovatele projektov'!O47</f>
        <v>0</v>
      </c>
      <c r="AC23" s="239">
        <f>T23+AB23</f>
        <v>0</v>
      </c>
      <c r="AD23" s="246">
        <f t="shared" si="4"/>
        <v>0</v>
      </c>
      <c r="AE23" s="259">
        <f>'[1]Vystup. ukazovatele projektov'!N47</f>
        <v>0</v>
      </c>
      <c r="AF23" s="248">
        <f>'[1]Vystup. ukazovatele projektov'!P47</f>
        <v>0</v>
      </c>
    </row>
    <row r="24" spans="1:32" ht="43.5" customHeight="1" x14ac:dyDescent="0.2">
      <c r="A24" s="1054"/>
      <c r="B24" s="1057"/>
      <c r="C24" s="1085">
        <v>42795</v>
      </c>
      <c r="D24" s="1081" t="s">
        <v>2049</v>
      </c>
      <c r="E24" s="260" t="s">
        <v>20</v>
      </c>
      <c r="F24" s="1087" t="s">
        <v>2050</v>
      </c>
      <c r="G24" s="261" t="s">
        <v>2037</v>
      </c>
      <c r="H24" s="262" t="s">
        <v>2051</v>
      </c>
      <c r="I24" s="214" t="s">
        <v>99</v>
      </c>
      <c r="J24" s="214" t="s">
        <v>264</v>
      </c>
      <c r="K24" s="214" t="s">
        <v>263</v>
      </c>
      <c r="L24" s="215" t="s">
        <v>486</v>
      </c>
      <c r="M24" s="217">
        <v>20131</v>
      </c>
      <c r="N24" s="217"/>
      <c r="O24" s="263"/>
      <c r="P24" s="219">
        <f>'[1]Vystup. ukazovatele projektov'!M50+'[1]Vystup. ukazovatele projektov'!M52</f>
        <v>0</v>
      </c>
      <c r="Q24" s="220">
        <f>IF(M24=0,0,P24/M24)</f>
        <v>0</v>
      </c>
      <c r="R24" s="220"/>
      <c r="S24" s="221"/>
      <c r="T24" s="222">
        <f>'[1]Vystup. ukazovatele projektov'!K50+'[1]Vystup. ukazovatele projektov'!K52</f>
        <v>0</v>
      </c>
      <c r="U24" s="223">
        <f>IF(M24=0,0,T24/M24)</f>
        <v>0</v>
      </c>
      <c r="V24" s="223"/>
      <c r="W24" s="224"/>
      <c r="X24" s="225">
        <f>'[1]Vystup. ukazovatele projektov'!L50+'[1]Vystup. ukazovatele projektov'!L52</f>
        <v>0</v>
      </c>
      <c r="Y24" s="223">
        <f>IF(M24=0,0,X24/M24)</f>
        <v>0</v>
      </c>
      <c r="Z24" s="220"/>
      <c r="AA24" s="226"/>
      <c r="AB24" s="227">
        <f>'[1]Vystup. ukazovatele projektov'!O50+'[1]Vystup. ukazovatele projektov'!O52</f>
        <v>0</v>
      </c>
      <c r="AC24" s="222">
        <f>T24+AB24</f>
        <v>0</v>
      </c>
      <c r="AD24" s="228">
        <f>IF(M24=0,0,AC24/M24)</f>
        <v>0</v>
      </c>
      <c r="AE24" s="229">
        <f>'[1]Vystup. ukazovatele projektov'!N50+'[1]Vystup. ukazovatele projektov'!N52</f>
        <v>0</v>
      </c>
      <c r="AF24" s="230">
        <f>'[1]Vystup. ukazovatele projektov'!P50+'[1]Vystup. ukazovatele projektov'!P52</f>
        <v>0</v>
      </c>
    </row>
    <row r="25" spans="1:32" ht="43.5" customHeight="1" x14ac:dyDescent="0.2">
      <c r="A25" s="1054"/>
      <c r="B25" s="1057"/>
      <c r="C25" s="1085"/>
      <c r="D25" s="1063"/>
      <c r="E25" s="260"/>
      <c r="F25" s="1075"/>
      <c r="G25" s="264" t="s">
        <v>2028</v>
      </c>
      <c r="H25" s="265" t="s">
        <v>2052</v>
      </c>
      <c r="I25" s="214" t="s">
        <v>101</v>
      </c>
      <c r="J25" s="214" t="s">
        <v>102</v>
      </c>
      <c r="K25" s="214" t="s">
        <v>272</v>
      </c>
      <c r="L25" s="215" t="s">
        <v>464</v>
      </c>
      <c r="M25" s="217">
        <v>390</v>
      </c>
      <c r="N25" s="217"/>
      <c r="O25" s="263"/>
      <c r="P25" s="219">
        <f>'[1]Vystup. ukazovatele projektov'!M54</f>
        <v>0</v>
      </c>
      <c r="Q25" s="220">
        <f t="shared" si="2"/>
        <v>0</v>
      </c>
      <c r="R25" s="220"/>
      <c r="S25" s="221"/>
      <c r="T25" s="222">
        <f>'[1]Vystup. ukazovatele projektov'!K54</f>
        <v>0</v>
      </c>
      <c r="U25" s="223">
        <f t="shared" si="0"/>
        <v>0</v>
      </c>
      <c r="V25" s="223"/>
      <c r="W25" s="224"/>
      <c r="X25" s="225"/>
      <c r="Y25" s="223">
        <f t="shared" si="3"/>
        <v>0</v>
      </c>
      <c r="Z25" s="220"/>
      <c r="AA25" s="226"/>
      <c r="AB25" s="227">
        <f>'[1]Vystup. ukazovatele projektov'!O54</f>
        <v>0</v>
      </c>
      <c r="AC25" s="222">
        <f t="shared" ref="AC25:AC27" si="6">T25+AB25</f>
        <v>0</v>
      </c>
      <c r="AD25" s="228">
        <f t="shared" si="4"/>
        <v>0</v>
      </c>
      <c r="AE25" s="229">
        <f>'[1]Vystup. ukazovatele projektov'!N54</f>
        <v>0</v>
      </c>
      <c r="AF25" s="230">
        <f>'[1]Vystup. ukazovatele projektov'!P54</f>
        <v>0</v>
      </c>
    </row>
    <row r="26" spans="1:32" ht="43.5" customHeight="1" x14ac:dyDescent="0.2">
      <c r="A26" s="1054"/>
      <c r="B26" s="1057"/>
      <c r="C26" s="1085"/>
      <c r="D26" s="1063"/>
      <c r="E26" s="260"/>
      <c r="F26" s="1075"/>
      <c r="G26" s="1083" t="s">
        <v>2047</v>
      </c>
      <c r="H26" s="1079" t="s">
        <v>2053</v>
      </c>
      <c r="I26" s="214" t="s">
        <v>103</v>
      </c>
      <c r="J26" s="214" t="s">
        <v>104</v>
      </c>
      <c r="K26" s="214" t="s">
        <v>271</v>
      </c>
      <c r="L26" s="215" t="s">
        <v>464</v>
      </c>
      <c r="M26" s="217">
        <v>700</v>
      </c>
      <c r="N26" s="217"/>
      <c r="O26" s="263"/>
      <c r="P26" s="219">
        <f>'[1]Vystup. ukazovatele projektov'!M59</f>
        <v>0</v>
      </c>
      <c r="Q26" s="220">
        <f t="shared" si="2"/>
        <v>0</v>
      </c>
      <c r="R26" s="220"/>
      <c r="S26" s="221"/>
      <c r="T26" s="222">
        <f>'[1]Vystup. ukazovatele projektov'!K59</f>
        <v>0</v>
      </c>
      <c r="U26" s="223">
        <f t="shared" si="0"/>
        <v>0</v>
      </c>
      <c r="V26" s="223"/>
      <c r="W26" s="224"/>
      <c r="X26" s="225"/>
      <c r="Y26" s="223">
        <f t="shared" si="3"/>
        <v>0</v>
      </c>
      <c r="Z26" s="220"/>
      <c r="AA26" s="226"/>
      <c r="AB26" s="227">
        <f>'[1]Vystup. ukazovatele projektov'!O59</f>
        <v>0</v>
      </c>
      <c r="AC26" s="222">
        <f t="shared" si="6"/>
        <v>0</v>
      </c>
      <c r="AD26" s="228">
        <f t="shared" si="4"/>
        <v>0</v>
      </c>
      <c r="AE26" s="229">
        <f>'[1]Vystup. ukazovatele projektov'!N59</f>
        <v>0</v>
      </c>
      <c r="AF26" s="230">
        <f>'[1]Vystup. ukazovatele projektov'!P59</f>
        <v>0</v>
      </c>
    </row>
    <row r="27" spans="1:32" ht="43.5" customHeight="1" x14ac:dyDescent="0.2">
      <c r="A27" s="1054"/>
      <c r="B27" s="1057"/>
      <c r="C27" s="1085"/>
      <c r="D27" s="1063"/>
      <c r="E27" s="260"/>
      <c r="F27" s="1075"/>
      <c r="G27" s="1084"/>
      <c r="H27" s="1080"/>
      <c r="I27" s="214" t="s">
        <v>105</v>
      </c>
      <c r="J27" s="214" t="s">
        <v>270</v>
      </c>
      <c r="K27" s="214" t="s">
        <v>269</v>
      </c>
      <c r="L27" s="215" t="s">
        <v>464</v>
      </c>
      <c r="M27" s="217">
        <v>3000</v>
      </c>
      <c r="N27" s="217"/>
      <c r="O27" s="263"/>
      <c r="P27" s="219">
        <f>'[1]Vystup. ukazovatele projektov'!M58</f>
        <v>0</v>
      </c>
      <c r="Q27" s="220">
        <f t="shared" si="2"/>
        <v>0</v>
      </c>
      <c r="R27" s="220"/>
      <c r="S27" s="221"/>
      <c r="T27" s="222">
        <f>'[1]Vystup. ukazovatele projektov'!K58</f>
        <v>0</v>
      </c>
      <c r="U27" s="223">
        <f t="shared" si="0"/>
        <v>0</v>
      </c>
      <c r="V27" s="223"/>
      <c r="W27" s="224"/>
      <c r="X27" s="225"/>
      <c r="Y27" s="223">
        <f t="shared" si="3"/>
        <v>0</v>
      </c>
      <c r="Z27" s="220"/>
      <c r="AA27" s="226"/>
      <c r="AB27" s="227">
        <f>'[1]Vystup. ukazovatele projektov'!O58</f>
        <v>0</v>
      </c>
      <c r="AC27" s="222">
        <f t="shared" si="6"/>
        <v>0</v>
      </c>
      <c r="AD27" s="228">
        <f t="shared" si="4"/>
        <v>0</v>
      </c>
      <c r="AE27" s="229">
        <f>'[1]Vystup. ukazovatele projektov'!N58</f>
        <v>0</v>
      </c>
      <c r="AF27" s="230">
        <f>'[1]Vystup. ukazovatele projektov'!P58</f>
        <v>0</v>
      </c>
    </row>
    <row r="28" spans="1:32" ht="43.5" customHeight="1" thickBot="1" x14ac:dyDescent="0.25">
      <c r="A28" s="1054"/>
      <c r="B28" s="1057"/>
      <c r="C28" s="1086"/>
      <c r="D28" s="1064"/>
      <c r="E28" s="266"/>
      <c r="F28" s="1076"/>
      <c r="G28" s="267" t="s">
        <v>2033</v>
      </c>
      <c r="H28" s="232" t="s">
        <v>2054</v>
      </c>
      <c r="I28" s="232" t="s">
        <v>84</v>
      </c>
      <c r="J28" s="232" t="s">
        <v>216</v>
      </c>
      <c r="K28" s="232" t="s">
        <v>215</v>
      </c>
      <c r="L28" s="233" t="s">
        <v>464</v>
      </c>
      <c r="M28" s="234">
        <v>645</v>
      </c>
      <c r="N28" s="234"/>
      <c r="O28" s="235"/>
      <c r="P28" s="236">
        <f>'[1]Vystup. ukazovatele projektov'!M61</f>
        <v>0</v>
      </c>
      <c r="Q28" s="237">
        <f t="shared" si="2"/>
        <v>0</v>
      </c>
      <c r="R28" s="237"/>
      <c r="S28" s="238"/>
      <c r="T28" s="239">
        <f>'[1]Vystup. ukazovatele projektov'!K61</f>
        <v>0</v>
      </c>
      <c r="U28" s="240">
        <f t="shared" si="0"/>
        <v>0</v>
      </c>
      <c r="V28" s="240"/>
      <c r="W28" s="257"/>
      <c r="X28" s="258"/>
      <c r="Y28" s="240">
        <f t="shared" si="3"/>
        <v>0</v>
      </c>
      <c r="Z28" s="237"/>
      <c r="AA28" s="243"/>
      <c r="AB28" s="244">
        <f>'[1]Vystup. ukazovatele projektov'!O61</f>
        <v>0</v>
      </c>
      <c r="AC28" s="239">
        <f>T28+AB28</f>
        <v>0</v>
      </c>
      <c r="AD28" s="246">
        <f t="shared" si="4"/>
        <v>0</v>
      </c>
      <c r="AE28" s="259">
        <f>'[1]Vystup. ukazovatele projektov'!N61</f>
        <v>0</v>
      </c>
      <c r="AF28" s="248">
        <f>'[1]Vystup. ukazovatele projektov'!P61</f>
        <v>0</v>
      </c>
    </row>
    <row r="29" spans="1:32" ht="43.5" customHeight="1" x14ac:dyDescent="0.2">
      <c r="A29" s="1054"/>
      <c r="B29" s="1057"/>
      <c r="C29" s="1088">
        <v>42826</v>
      </c>
      <c r="D29" s="1081" t="s">
        <v>2055</v>
      </c>
      <c r="E29" s="1090" t="s">
        <v>25</v>
      </c>
      <c r="F29" s="1087" t="s">
        <v>2056</v>
      </c>
      <c r="G29" s="1087" t="s">
        <v>2026</v>
      </c>
      <c r="H29" s="1081" t="s">
        <v>2057</v>
      </c>
      <c r="I29" s="268" t="s">
        <v>113</v>
      </c>
      <c r="J29" s="268" t="s">
        <v>2058</v>
      </c>
      <c r="K29" s="268" t="s">
        <v>295</v>
      </c>
      <c r="L29" s="269" t="s">
        <v>464</v>
      </c>
      <c r="M29" s="270">
        <v>20</v>
      </c>
      <c r="N29" s="270"/>
      <c r="O29" s="263"/>
      <c r="P29" s="271">
        <f>'[1]Vystup. ukazovatele projektov'!M65</f>
        <v>0</v>
      </c>
      <c r="Q29" s="272">
        <f t="shared" si="2"/>
        <v>0</v>
      </c>
      <c r="R29" s="272"/>
      <c r="S29" s="273"/>
      <c r="T29" s="274">
        <f>'[1]Vystup. ukazovatele projektov'!K65</f>
        <v>22</v>
      </c>
      <c r="U29" s="275">
        <f t="shared" si="0"/>
        <v>1.1000000000000001</v>
      </c>
      <c r="V29" s="275"/>
      <c r="W29" s="276"/>
      <c r="X29" s="277">
        <f>'[1]Vystup. ukazovatele projektov'!L65</f>
        <v>2</v>
      </c>
      <c r="Y29" s="275">
        <f t="shared" si="3"/>
        <v>0.1</v>
      </c>
      <c r="Z29" s="272"/>
      <c r="AA29" s="278"/>
      <c r="AB29" s="279">
        <f>'[1]Vystup. ukazovatele projektov'!O65</f>
        <v>0</v>
      </c>
      <c r="AC29" s="280">
        <f>T29+AB29</f>
        <v>22</v>
      </c>
      <c r="AD29" s="281">
        <f t="shared" si="4"/>
        <v>1.1000000000000001</v>
      </c>
      <c r="AE29" s="282">
        <f>'[1]Vystup. ukazovatele projektov'!N65</f>
        <v>0</v>
      </c>
      <c r="AF29" s="283">
        <f>'[1]Vystup. ukazovatele projektov'!P65</f>
        <v>0</v>
      </c>
    </row>
    <row r="30" spans="1:32" ht="43.5" customHeight="1" x14ac:dyDescent="0.2">
      <c r="A30" s="1054"/>
      <c r="B30" s="1057"/>
      <c r="C30" s="1085"/>
      <c r="D30" s="1063"/>
      <c r="E30" s="1066"/>
      <c r="F30" s="1075"/>
      <c r="G30" s="1084"/>
      <c r="H30" s="1080"/>
      <c r="I30" s="214" t="s">
        <v>111</v>
      </c>
      <c r="J30" s="214" t="s">
        <v>112</v>
      </c>
      <c r="K30" s="214" t="s">
        <v>279</v>
      </c>
      <c r="L30" s="215" t="s">
        <v>491</v>
      </c>
      <c r="M30" s="217">
        <v>104</v>
      </c>
      <c r="N30" s="217"/>
      <c r="O30" s="218"/>
      <c r="P30" s="219">
        <f>'[1]Vystup. ukazovatele projektov'!M62</f>
        <v>0</v>
      </c>
      <c r="Q30" s="220">
        <f t="shared" si="2"/>
        <v>0</v>
      </c>
      <c r="R30" s="220"/>
      <c r="S30" s="221"/>
      <c r="T30" s="222">
        <f>'[1]Vystup. ukazovatele projektov'!K62</f>
        <v>0</v>
      </c>
      <c r="U30" s="223">
        <f t="shared" si="0"/>
        <v>0</v>
      </c>
      <c r="V30" s="223"/>
      <c r="W30" s="284"/>
      <c r="X30" s="285">
        <f>'[1]Vystup. ukazovatele projektov'!L62</f>
        <v>0</v>
      </c>
      <c r="Y30" s="223">
        <f t="shared" si="3"/>
        <v>0</v>
      </c>
      <c r="Z30" s="220"/>
      <c r="AA30" s="226"/>
      <c r="AB30" s="227">
        <f>'[1]Vystup. ukazovatele projektov'!O62</f>
        <v>0</v>
      </c>
      <c r="AC30" s="286">
        <f>T30+AB30</f>
        <v>0</v>
      </c>
      <c r="AD30" s="228">
        <f t="shared" si="4"/>
        <v>0</v>
      </c>
      <c r="AE30" s="287">
        <f>'[1]Vystup. ukazovatele projektov'!N62</f>
        <v>0</v>
      </c>
      <c r="AF30" s="230">
        <f>'[1]Vystup. ukazovatele projektov'!P62</f>
        <v>0</v>
      </c>
    </row>
    <row r="31" spans="1:32" ht="43.5" customHeight="1" x14ac:dyDescent="0.2">
      <c r="A31" s="1054"/>
      <c r="B31" s="1057"/>
      <c r="C31" s="1085"/>
      <c r="D31" s="1063"/>
      <c r="E31" s="1066"/>
      <c r="F31" s="1075"/>
      <c r="G31" s="1083" t="s">
        <v>2047</v>
      </c>
      <c r="H31" s="1079" t="s">
        <v>2059</v>
      </c>
      <c r="I31" s="214" t="s">
        <v>107</v>
      </c>
      <c r="J31" s="214" t="s">
        <v>108</v>
      </c>
      <c r="K31" s="214" t="s">
        <v>1003</v>
      </c>
      <c r="L31" s="215" t="s">
        <v>464</v>
      </c>
      <c r="M31" s="217">
        <v>131</v>
      </c>
      <c r="N31" s="217"/>
      <c r="O31" s="218"/>
      <c r="P31" s="219">
        <f>'[1]Vystup. ukazovatele projektov'!M76+'[1]Vystup. ukazovatele projektov'!M78</f>
        <v>0</v>
      </c>
      <c r="Q31" s="220">
        <f t="shared" si="2"/>
        <v>0</v>
      </c>
      <c r="R31" s="220"/>
      <c r="S31" s="221"/>
      <c r="T31" s="222">
        <f>'[1]Vystup. ukazovatele projektov'!K76+'[1]Vystup. ukazovatele projektov'!K78</f>
        <v>0</v>
      </c>
      <c r="U31" s="223">
        <f t="shared" si="0"/>
        <v>0</v>
      </c>
      <c r="V31" s="223"/>
      <c r="W31" s="284"/>
      <c r="X31" s="285">
        <f>'[1]Vystup. ukazovatele projektov'!L76+'[1]Vystup. ukazovatele projektov'!L78</f>
        <v>0</v>
      </c>
      <c r="Y31" s="223">
        <f t="shared" si="3"/>
        <v>0</v>
      </c>
      <c r="Z31" s="220"/>
      <c r="AA31" s="226"/>
      <c r="AB31" s="227">
        <f>'[1]Vystup. ukazovatele projektov'!O76+'[1]Vystup. ukazovatele projektov'!O78</f>
        <v>0</v>
      </c>
      <c r="AC31" s="286">
        <f t="shared" ref="AC31:AC37" si="7">T31+AB31</f>
        <v>0</v>
      </c>
      <c r="AD31" s="228">
        <f t="shared" si="4"/>
        <v>0</v>
      </c>
      <c r="AE31" s="287">
        <f>'[1]Vystup. ukazovatele projektov'!N76+'[1]Vystup. ukazovatele projektov'!N78</f>
        <v>0</v>
      </c>
      <c r="AF31" s="230">
        <f>'[1]Vystup. ukazovatele projektov'!P76+'[1]Vystup. ukazovatele projektov'!P78</f>
        <v>0</v>
      </c>
    </row>
    <row r="32" spans="1:32" ht="43.5" customHeight="1" x14ac:dyDescent="0.2">
      <c r="A32" s="1054"/>
      <c r="B32" s="1057"/>
      <c r="C32" s="1085"/>
      <c r="D32" s="1063"/>
      <c r="E32" s="1091"/>
      <c r="F32" s="1084"/>
      <c r="G32" s="1084"/>
      <c r="H32" s="1080"/>
      <c r="I32" s="214" t="s">
        <v>109</v>
      </c>
      <c r="J32" s="214" t="s">
        <v>2060</v>
      </c>
      <c r="K32" s="214" t="s">
        <v>280</v>
      </c>
      <c r="L32" s="215" t="s">
        <v>464</v>
      </c>
      <c r="M32" s="217">
        <v>3</v>
      </c>
      <c r="N32" s="217"/>
      <c r="O32" s="218"/>
      <c r="P32" s="219">
        <f>'[1]Vystup. ukazovatele projektov'!M74</f>
        <v>0</v>
      </c>
      <c r="Q32" s="220">
        <f t="shared" si="2"/>
        <v>0</v>
      </c>
      <c r="R32" s="220"/>
      <c r="S32" s="221"/>
      <c r="T32" s="222">
        <f>'[1]Vystup. ukazovatele projektov'!K74</f>
        <v>0</v>
      </c>
      <c r="U32" s="223">
        <f t="shared" si="0"/>
        <v>0</v>
      </c>
      <c r="V32" s="223"/>
      <c r="W32" s="284"/>
      <c r="X32" s="285">
        <f>'[1]Vystup. ukazovatele projektov'!L74</f>
        <v>0</v>
      </c>
      <c r="Y32" s="223">
        <f t="shared" si="3"/>
        <v>0</v>
      </c>
      <c r="Z32" s="220"/>
      <c r="AA32" s="226"/>
      <c r="AB32" s="227">
        <f>'[1]Vystup. ukazovatele projektov'!O74</f>
        <v>0</v>
      </c>
      <c r="AC32" s="286">
        <f t="shared" si="7"/>
        <v>0</v>
      </c>
      <c r="AD32" s="228">
        <f t="shared" si="4"/>
        <v>0</v>
      </c>
      <c r="AE32" s="287">
        <f>'[1]Vystup. ukazovatele projektov'!N74</f>
        <v>0</v>
      </c>
      <c r="AF32" s="230">
        <f>'[1]Vystup. ukazovatele projektov'!P74</f>
        <v>0</v>
      </c>
    </row>
    <row r="33" spans="1:32" ht="43.5" customHeight="1" x14ac:dyDescent="0.2">
      <c r="A33" s="1054"/>
      <c r="B33" s="1057"/>
      <c r="C33" s="1085"/>
      <c r="D33" s="1063"/>
      <c r="E33" s="1082" t="s">
        <v>31</v>
      </c>
      <c r="F33" s="1083" t="s">
        <v>2061</v>
      </c>
      <c r="G33" s="1083" t="s">
        <v>2026</v>
      </c>
      <c r="H33" s="1079" t="s">
        <v>2062</v>
      </c>
      <c r="I33" s="214" t="s">
        <v>117</v>
      </c>
      <c r="J33" s="214" t="s">
        <v>118</v>
      </c>
      <c r="K33" s="214" t="s">
        <v>315</v>
      </c>
      <c r="L33" s="215" t="s">
        <v>486</v>
      </c>
      <c r="M33" s="217">
        <v>36</v>
      </c>
      <c r="N33" s="217"/>
      <c r="O33" s="218"/>
      <c r="P33" s="219">
        <f>'[1]Vystup. ukazovatele projektov'!M84</f>
        <v>0</v>
      </c>
      <c r="Q33" s="220">
        <f t="shared" si="2"/>
        <v>0</v>
      </c>
      <c r="R33" s="220"/>
      <c r="S33" s="221"/>
      <c r="T33" s="222">
        <f>'[1]Vystup. ukazovatele projektov'!K84</f>
        <v>12.46</v>
      </c>
      <c r="U33" s="223">
        <f t="shared" si="0"/>
        <v>0.34611111111111115</v>
      </c>
      <c r="V33" s="223"/>
      <c r="W33" s="284"/>
      <c r="X33" s="285">
        <f>'[1]Vystup. ukazovatele projektov'!L84</f>
        <v>0</v>
      </c>
      <c r="Y33" s="223">
        <f t="shared" si="3"/>
        <v>0</v>
      </c>
      <c r="Z33" s="220"/>
      <c r="AA33" s="226"/>
      <c r="AB33" s="227">
        <f>'[1]Vystup. ukazovatele projektov'!O84</f>
        <v>0</v>
      </c>
      <c r="AC33" s="286">
        <f t="shared" si="7"/>
        <v>12.46</v>
      </c>
      <c r="AD33" s="228">
        <f t="shared" si="4"/>
        <v>0.34611111111111115</v>
      </c>
      <c r="AE33" s="287">
        <f>'[1]Vystup. ukazovatele projektov'!N84</f>
        <v>0</v>
      </c>
      <c r="AF33" s="230">
        <f>'[1]Vystup. ukazovatele projektov'!P84</f>
        <v>0</v>
      </c>
    </row>
    <row r="34" spans="1:32" ht="43.5" customHeight="1" x14ac:dyDescent="0.2">
      <c r="A34" s="1054"/>
      <c r="B34" s="1057"/>
      <c r="C34" s="1085"/>
      <c r="D34" s="1063"/>
      <c r="E34" s="1066"/>
      <c r="F34" s="1075"/>
      <c r="G34" s="1075"/>
      <c r="H34" s="1063"/>
      <c r="I34" s="195" t="s">
        <v>115</v>
      </c>
      <c r="J34" s="195" t="s">
        <v>313</v>
      </c>
      <c r="K34" s="195" t="s">
        <v>312</v>
      </c>
      <c r="L34" s="196" t="s">
        <v>486</v>
      </c>
      <c r="M34" s="197">
        <v>125</v>
      </c>
      <c r="N34" s="197">
        <v>15</v>
      </c>
      <c r="O34" s="198"/>
      <c r="P34" s="199">
        <f>'[1]Vystup. ukazovatele projektov'!M82</f>
        <v>0</v>
      </c>
      <c r="Q34" s="200">
        <f t="shared" si="2"/>
        <v>0</v>
      </c>
      <c r="R34" s="200">
        <f t="shared" ref="R34:R52" si="8">IF(N34=0,0,P34/N34)</f>
        <v>0</v>
      </c>
      <c r="S34" s="201"/>
      <c r="T34" s="202">
        <f>'[1]Vystup. ukazovatele projektov'!K82</f>
        <v>0</v>
      </c>
      <c r="U34" s="203">
        <f t="shared" si="0"/>
        <v>0</v>
      </c>
      <c r="V34" s="203">
        <f>T34/N34</f>
        <v>0</v>
      </c>
      <c r="W34" s="204"/>
      <c r="X34" s="205">
        <f>'[1]Vystup. ukazovatele projektov'!L82</f>
        <v>0</v>
      </c>
      <c r="Y34" s="203">
        <f t="shared" si="3"/>
        <v>0</v>
      </c>
      <c r="Z34" s="200">
        <f>IF(N34=0,0,X34/N34)</f>
        <v>0</v>
      </c>
      <c r="AA34" s="206"/>
      <c r="AB34" s="207">
        <f>'[1]Vystup. ukazovatele projektov'!O82</f>
        <v>0</v>
      </c>
      <c r="AC34" s="208">
        <f t="shared" si="7"/>
        <v>0</v>
      </c>
      <c r="AD34" s="209">
        <f t="shared" si="4"/>
        <v>0</v>
      </c>
      <c r="AE34" s="210">
        <f>'[1]Vystup. ukazovatele projektov'!N82</f>
        <v>0</v>
      </c>
      <c r="AF34" s="211">
        <f>'[1]Vystup. ukazovatele projektov'!P82</f>
        <v>0</v>
      </c>
    </row>
    <row r="35" spans="1:32" ht="43.5" customHeight="1" x14ac:dyDescent="0.2">
      <c r="A35" s="1054"/>
      <c r="B35" s="1057"/>
      <c r="C35" s="1085"/>
      <c r="D35" s="1063"/>
      <c r="E35" s="1066"/>
      <c r="F35" s="1075"/>
      <c r="G35" s="1084"/>
      <c r="H35" s="1080"/>
      <c r="I35" s="214" t="s">
        <v>119</v>
      </c>
      <c r="J35" s="214" t="s">
        <v>120</v>
      </c>
      <c r="K35" s="214" t="s">
        <v>314</v>
      </c>
      <c r="L35" s="215" t="s">
        <v>486</v>
      </c>
      <c r="M35" s="217">
        <v>446</v>
      </c>
      <c r="N35" s="217"/>
      <c r="O35" s="218"/>
      <c r="P35" s="288">
        <f>'[1]Vystup. ukazovatele projektov'!M83</f>
        <v>195</v>
      </c>
      <c r="Q35" s="220">
        <f t="shared" si="2"/>
        <v>0.43721973094170402</v>
      </c>
      <c r="R35" s="220"/>
      <c r="S35" s="221"/>
      <c r="T35" s="289">
        <f>'[1]Vystup. ukazovatele projektov'!K83</f>
        <v>205.1</v>
      </c>
      <c r="U35" s="223">
        <f t="shared" si="0"/>
        <v>0.4598654708520179</v>
      </c>
      <c r="V35" s="223"/>
      <c r="W35" s="284"/>
      <c r="X35" s="290">
        <f>'[1]Vystup. ukazovatele projektov'!L83</f>
        <v>195</v>
      </c>
      <c r="Y35" s="223">
        <f t="shared" si="3"/>
        <v>0.43721973094170402</v>
      </c>
      <c r="Z35" s="220"/>
      <c r="AA35" s="291"/>
      <c r="AB35" s="292">
        <f>'[1]Vystup. ukazovatele projektov'!O83</f>
        <v>0</v>
      </c>
      <c r="AC35" s="286">
        <f t="shared" si="7"/>
        <v>205.1</v>
      </c>
      <c r="AD35" s="228">
        <f t="shared" si="4"/>
        <v>0.4598654708520179</v>
      </c>
      <c r="AE35" s="293">
        <f>'[1]Vystup. ukazovatele projektov'!N83</f>
        <v>0</v>
      </c>
      <c r="AF35" s="294">
        <f>'[1]Vystup. ukazovatele projektov'!P83</f>
        <v>0</v>
      </c>
    </row>
    <row r="36" spans="1:32" ht="43.5" customHeight="1" thickBot="1" x14ac:dyDescent="0.25">
      <c r="A36" s="1054"/>
      <c r="B36" s="1058"/>
      <c r="C36" s="1089"/>
      <c r="D36" s="1080"/>
      <c r="E36" s="295" t="s">
        <v>2063</v>
      </c>
      <c r="F36" s="255"/>
      <c r="G36" s="255" t="s">
        <v>2064</v>
      </c>
      <c r="H36" s="296" t="s">
        <v>2065</v>
      </c>
      <c r="I36" s="194" t="s">
        <v>84</v>
      </c>
      <c r="J36" s="194" t="s">
        <v>216</v>
      </c>
      <c r="K36" s="194" t="s">
        <v>215</v>
      </c>
      <c r="L36" s="297" t="s">
        <v>464</v>
      </c>
      <c r="M36" s="234">
        <v>516</v>
      </c>
      <c r="N36" s="234"/>
      <c r="O36" s="235"/>
      <c r="P36" s="298">
        <f>'[1]Vystup. ukazovatele projektov'!M73+'[1]Vystup. ukazovatele projektov'!M90</f>
        <v>0</v>
      </c>
      <c r="Q36" s="237">
        <f>IF(M36=0,0,P36/M36)</f>
        <v>0</v>
      </c>
      <c r="R36" s="237"/>
      <c r="S36" s="238"/>
      <c r="T36" s="299">
        <f>'[1]Vystup. ukazovatele projektov'!K73+'[1]Vystup. ukazovatele projektov'!K90</f>
        <v>0</v>
      </c>
      <c r="U36" s="240">
        <f>IF(M36=0,0,T36/M36)</f>
        <v>0</v>
      </c>
      <c r="V36" s="240"/>
      <c r="W36" s="241"/>
      <c r="X36" s="300">
        <f>'[1]Vystup. ukazovatele projektov'!L73+'[1]Vystup. ukazovatele projektov'!L90</f>
        <v>0</v>
      </c>
      <c r="Y36" s="240">
        <f>IF(M36=0,0,X36/M36)</f>
        <v>0</v>
      </c>
      <c r="Z36" s="237"/>
      <c r="AA36" s="301"/>
      <c r="AB36" s="302">
        <f>'[1]Vystup. ukazovatele projektov'!L73+'[1]Vystup. ukazovatele projektov'!O90</f>
        <v>0</v>
      </c>
      <c r="AC36" s="303">
        <f>T36+AB36</f>
        <v>0</v>
      </c>
      <c r="AD36" s="304">
        <f>IF(M36=0,0,AC36/M36)</f>
        <v>0</v>
      </c>
      <c r="AE36" s="305">
        <f>'[1]Vystup. ukazovatele projektov'!N73+'[1]Vystup. ukazovatele projektov'!N90</f>
        <v>0</v>
      </c>
      <c r="AF36" s="306">
        <f>'[1]Vystup. ukazovatele projektov'!P73+'[1]Vystup. ukazovatele projektov'!P90</f>
        <v>0</v>
      </c>
    </row>
    <row r="37" spans="1:32" s="326" customFormat="1" ht="43.5" customHeight="1" thickBot="1" x14ac:dyDescent="0.25">
      <c r="A37" s="1055"/>
      <c r="B37" s="1106"/>
      <c r="C37" s="1107"/>
      <c r="D37" s="1107"/>
      <c r="E37" s="1107"/>
      <c r="F37" s="1107"/>
      <c r="G37" s="1107"/>
      <c r="H37" s="1108"/>
      <c r="I37" s="307" t="s">
        <v>495</v>
      </c>
      <c r="J37" s="307" t="s">
        <v>2066</v>
      </c>
      <c r="K37" s="307"/>
      <c r="L37" s="308" t="s">
        <v>497</v>
      </c>
      <c r="M37" s="309">
        <v>1802207500</v>
      </c>
      <c r="N37" s="309">
        <v>430000000</v>
      </c>
      <c r="O37" s="310"/>
      <c r="P37" s="311">
        <v>39007393.560000002</v>
      </c>
      <c r="Q37" s="312">
        <f t="shared" si="2"/>
        <v>2.1644229956872336E-2</v>
      </c>
      <c r="R37" s="312">
        <f t="shared" si="8"/>
        <v>9.071486874418605E-2</v>
      </c>
      <c r="S37" s="313"/>
      <c r="T37" s="314">
        <f>'[1]Vystup. ukazovatele projektov'!K245</f>
        <v>841886458.1400001</v>
      </c>
      <c r="U37" s="315">
        <f t="shared" si="0"/>
        <v>0.46714180145183065</v>
      </c>
      <c r="V37" s="315">
        <f>IF(N37=0,0,T37/N37)</f>
        <v>1.9578754840465118</v>
      </c>
      <c r="W37" s="316"/>
      <c r="X37" s="317">
        <f>'[1]Vystup. ukazovatele projektov'!L245</f>
        <v>316346119.13</v>
      </c>
      <c r="Y37" s="315">
        <f>IF(M37=0,0,X37/M37)</f>
        <v>0.17553257276423498</v>
      </c>
      <c r="Z37" s="318">
        <f>IF(N37=0,0,X37/N37)</f>
        <v>0.73568864913953491</v>
      </c>
      <c r="AA37" s="319"/>
      <c r="AB37" s="320">
        <f>'[1]Vystup. ukazovatele projektov'!O245</f>
        <v>18630029.909999996</v>
      </c>
      <c r="AC37" s="321">
        <f t="shared" si="7"/>
        <v>860516488.05000007</v>
      </c>
      <c r="AD37" s="322">
        <f t="shared" si="4"/>
        <v>0.47747914047078377</v>
      </c>
      <c r="AE37" s="323">
        <f>'[1]Vystup. ukazovatele projektov'!N245</f>
        <v>158037636.66000003</v>
      </c>
      <c r="AF37" s="324">
        <f>'[1]Vystup. ukazovatele projektov'!P245</f>
        <v>79706771.569999993</v>
      </c>
    </row>
    <row r="38" spans="1:32" s="326" customFormat="1" ht="43.5" customHeight="1" thickTop="1" x14ac:dyDescent="0.2">
      <c r="A38" s="1109">
        <v>2</v>
      </c>
      <c r="B38" s="1112" t="s">
        <v>2067</v>
      </c>
      <c r="C38" s="1115">
        <v>42737</v>
      </c>
      <c r="D38" s="1118" t="s">
        <v>2068</v>
      </c>
      <c r="E38" s="1121" t="s">
        <v>33</v>
      </c>
      <c r="F38" s="1124" t="s">
        <v>2069</v>
      </c>
      <c r="G38" s="327" t="s">
        <v>2037</v>
      </c>
      <c r="H38" s="328" t="s">
        <v>2070</v>
      </c>
      <c r="I38" s="329" t="s">
        <v>121</v>
      </c>
      <c r="J38" s="329" t="s">
        <v>2071</v>
      </c>
      <c r="K38" s="329" t="s">
        <v>330</v>
      </c>
      <c r="L38" s="330" t="s">
        <v>470</v>
      </c>
      <c r="M38" s="331">
        <v>12744</v>
      </c>
      <c r="N38" s="331"/>
      <c r="O38" s="332">
        <v>5735</v>
      </c>
      <c r="P38" s="333">
        <f>'[1]Vystup. ukazovatele projektov'!M92+'[1]Vystup. ukazovatele projektov'!M94</f>
        <v>0</v>
      </c>
      <c r="Q38" s="334">
        <f>IF(M38=0,0,P38/M38)</f>
        <v>0</v>
      </c>
      <c r="R38" s="334"/>
      <c r="S38" s="335">
        <f>IF(O38=0,0,R38/O38)</f>
        <v>0</v>
      </c>
      <c r="T38" s="336">
        <f>'[1]Vystup. ukazovatele projektov'!K92+'[1]Vystup. ukazovatele projektov'!K94</f>
        <v>0</v>
      </c>
      <c r="U38" s="337">
        <f>IF(M38=0,0,T38/M38)</f>
        <v>0</v>
      </c>
      <c r="V38" s="338"/>
      <c r="W38" s="339">
        <f>IF(O38=0,0,T38/O38)</f>
        <v>0</v>
      </c>
      <c r="X38" s="340">
        <f>'[1]Vystup. ukazovatele projektov'!L92+'[1]Vystup. ukazovatele projektov'!L94</f>
        <v>0</v>
      </c>
      <c r="Y38" s="337">
        <f>IF(M38=0,0,X38/M38)</f>
        <v>0</v>
      </c>
      <c r="Z38" s="335"/>
      <c r="AA38" s="341">
        <f>IF(O38=0,0,X38/O38)</f>
        <v>0</v>
      </c>
      <c r="AB38" s="342">
        <f>'[1]Vystup. ukazovatele projektov'!O92+'[1]Vystup. ukazovatele projektov'!O94</f>
        <v>0</v>
      </c>
      <c r="AC38" s="343">
        <f>T38+AB38</f>
        <v>0</v>
      </c>
      <c r="AD38" s="344">
        <f>IF(M38=0,0,AC38/M38)</f>
        <v>0</v>
      </c>
      <c r="AE38" s="345">
        <f>'[1]Vystup. ukazovatele projektov'!N92+'[1]Vystup. ukazovatele projektov'!N94</f>
        <v>0</v>
      </c>
      <c r="AF38" s="346">
        <f>'[1]Vystup. ukazovatele projektov'!P92+'[1]Vystup. ukazovatele projektov'!P94</f>
        <v>0</v>
      </c>
    </row>
    <row r="39" spans="1:32" s="326" customFormat="1" ht="43.5" customHeight="1" x14ac:dyDescent="0.2">
      <c r="A39" s="1110"/>
      <c r="B39" s="1113"/>
      <c r="C39" s="1116"/>
      <c r="D39" s="1119"/>
      <c r="E39" s="1122"/>
      <c r="F39" s="1125"/>
      <c r="G39" s="327" t="s">
        <v>2047</v>
      </c>
      <c r="H39" s="328" t="s">
        <v>2072</v>
      </c>
      <c r="I39" s="328" t="s">
        <v>123</v>
      </c>
      <c r="J39" s="328" t="s">
        <v>124</v>
      </c>
      <c r="K39" s="328" t="s">
        <v>331</v>
      </c>
      <c r="L39" s="348" t="s">
        <v>464</v>
      </c>
      <c r="M39" s="349">
        <v>86</v>
      </c>
      <c r="N39" s="349"/>
      <c r="O39" s="350"/>
      <c r="P39" s="351">
        <f>'[1]Vystup. ukazovatele projektov'!M96</f>
        <v>0</v>
      </c>
      <c r="Q39" s="352">
        <f t="shared" si="2"/>
        <v>0</v>
      </c>
      <c r="R39" s="352"/>
      <c r="S39" s="353"/>
      <c r="T39" s="354">
        <f>'[1]Vystup. ukazovatele projektov'!K96</f>
        <v>0</v>
      </c>
      <c r="U39" s="355">
        <f t="shared" si="0"/>
        <v>0</v>
      </c>
      <c r="V39" s="355"/>
      <c r="W39" s="356"/>
      <c r="X39" s="357"/>
      <c r="Y39" s="355">
        <f t="shared" si="3"/>
        <v>0</v>
      </c>
      <c r="Z39" s="352"/>
      <c r="AA39" s="358"/>
      <c r="AB39" s="359">
        <f>'[1]Vystup. ukazovatele projektov'!O96</f>
        <v>0</v>
      </c>
      <c r="AC39" s="360">
        <f t="shared" ref="AC39:AC41" si="9">T39+AB39</f>
        <v>0</v>
      </c>
      <c r="AD39" s="361">
        <f t="shared" si="4"/>
        <v>0</v>
      </c>
      <c r="AE39" s="362">
        <f>'[1]Vystup. ukazovatele projektov'!N96</f>
        <v>0</v>
      </c>
      <c r="AF39" s="363">
        <f>'[1]Vystup. ukazovatele projektov'!P96</f>
        <v>0</v>
      </c>
    </row>
    <row r="40" spans="1:32" s="326" customFormat="1" ht="43.5" customHeight="1" x14ac:dyDescent="0.2">
      <c r="A40" s="1110"/>
      <c r="B40" s="1113"/>
      <c r="C40" s="1116"/>
      <c r="D40" s="1119"/>
      <c r="E40" s="1122"/>
      <c r="F40" s="1125"/>
      <c r="G40" s="364" t="s">
        <v>2033</v>
      </c>
      <c r="H40" s="328" t="s">
        <v>2073</v>
      </c>
      <c r="I40" s="328" t="s">
        <v>125</v>
      </c>
      <c r="J40" s="328" t="s">
        <v>126</v>
      </c>
      <c r="K40" s="328" t="s">
        <v>328</v>
      </c>
      <c r="L40" s="348" t="s">
        <v>464</v>
      </c>
      <c r="M40" s="349">
        <v>4</v>
      </c>
      <c r="N40" s="349"/>
      <c r="O40" s="350"/>
      <c r="P40" s="351">
        <f>'[1]Vystup. ukazovatele projektov'!M97</f>
        <v>0</v>
      </c>
      <c r="Q40" s="352">
        <f t="shared" si="2"/>
        <v>0</v>
      </c>
      <c r="R40" s="352"/>
      <c r="S40" s="353"/>
      <c r="T40" s="354">
        <f>'[1]Vystup. ukazovatele projektov'!K97</f>
        <v>0</v>
      </c>
      <c r="U40" s="355">
        <f t="shared" si="0"/>
        <v>0</v>
      </c>
      <c r="V40" s="355"/>
      <c r="W40" s="356"/>
      <c r="X40" s="357"/>
      <c r="Y40" s="355">
        <f t="shared" si="3"/>
        <v>0</v>
      </c>
      <c r="Z40" s="352"/>
      <c r="AA40" s="358"/>
      <c r="AB40" s="359">
        <f>'[1]Vystup. ukazovatele projektov'!O97</f>
        <v>0</v>
      </c>
      <c r="AC40" s="360">
        <f t="shared" si="9"/>
        <v>0</v>
      </c>
      <c r="AD40" s="361">
        <f t="shared" si="4"/>
        <v>0</v>
      </c>
      <c r="AE40" s="362">
        <f>'[1]Vystup. ukazovatele projektov'!N97</f>
        <v>0</v>
      </c>
      <c r="AF40" s="363">
        <f>'[1]Vystup. ukazovatele projektov'!P97</f>
        <v>0</v>
      </c>
    </row>
    <row r="41" spans="1:32" s="326" customFormat="1" ht="43.5" customHeight="1" x14ac:dyDescent="0.2">
      <c r="A41" s="1110"/>
      <c r="B41" s="1113"/>
      <c r="C41" s="1116"/>
      <c r="D41" s="1119"/>
      <c r="E41" s="1122"/>
      <c r="F41" s="1125"/>
      <c r="G41" s="327" t="s">
        <v>2074</v>
      </c>
      <c r="H41" s="328" t="s">
        <v>2075</v>
      </c>
      <c r="I41" s="328" t="s">
        <v>127</v>
      </c>
      <c r="J41" s="328" t="s">
        <v>128</v>
      </c>
      <c r="K41" s="328" t="s">
        <v>329</v>
      </c>
      <c r="L41" s="348" t="s">
        <v>464</v>
      </c>
      <c r="M41" s="349">
        <v>10</v>
      </c>
      <c r="N41" s="349"/>
      <c r="O41" s="350"/>
      <c r="P41" s="351">
        <f>'[1]Vystup. ukazovatele projektov'!M98</f>
        <v>0</v>
      </c>
      <c r="Q41" s="352">
        <f t="shared" si="2"/>
        <v>0</v>
      </c>
      <c r="R41" s="352"/>
      <c r="S41" s="353"/>
      <c r="T41" s="354">
        <f>'[1]Vystup. ukazovatele projektov'!K98</f>
        <v>0</v>
      </c>
      <c r="U41" s="355">
        <f t="shared" si="0"/>
        <v>0</v>
      </c>
      <c r="V41" s="355"/>
      <c r="W41" s="356"/>
      <c r="X41" s="357"/>
      <c r="Y41" s="355">
        <f t="shared" si="3"/>
        <v>0</v>
      </c>
      <c r="Z41" s="352"/>
      <c r="AA41" s="358"/>
      <c r="AB41" s="359">
        <f>'[1]Vystup. ukazovatele projektov'!O98</f>
        <v>0</v>
      </c>
      <c r="AC41" s="360">
        <f t="shared" si="9"/>
        <v>0</v>
      </c>
      <c r="AD41" s="361">
        <f t="shared" si="4"/>
        <v>0</v>
      </c>
      <c r="AE41" s="362">
        <f>'[1]Vystup. ukazovatele projektov'!N98</f>
        <v>0</v>
      </c>
      <c r="AF41" s="363">
        <f>'[1]Vystup. ukazovatele projektov'!P98</f>
        <v>0</v>
      </c>
    </row>
    <row r="42" spans="1:32" s="326" customFormat="1" ht="43.5" customHeight="1" x14ac:dyDescent="0.2">
      <c r="A42" s="1110"/>
      <c r="B42" s="1113"/>
      <c r="C42" s="1116"/>
      <c r="D42" s="1119"/>
      <c r="E42" s="1123"/>
      <c r="F42" s="1126"/>
      <c r="G42" s="327" t="s">
        <v>2076</v>
      </c>
      <c r="H42" s="328" t="s">
        <v>2077</v>
      </c>
      <c r="I42" s="328" t="s">
        <v>84</v>
      </c>
      <c r="J42" s="328" t="s">
        <v>216</v>
      </c>
      <c r="K42" s="328" t="s">
        <v>215</v>
      </c>
      <c r="L42" s="348" t="s">
        <v>464</v>
      </c>
      <c r="M42" s="349">
        <v>193</v>
      </c>
      <c r="N42" s="349"/>
      <c r="O42" s="350"/>
      <c r="P42" s="351">
        <f>'[1]Vystup. ukazovatele projektov'!M100</f>
        <v>0</v>
      </c>
      <c r="Q42" s="352">
        <f t="shared" si="2"/>
        <v>0</v>
      </c>
      <c r="R42" s="352"/>
      <c r="S42" s="353"/>
      <c r="T42" s="354">
        <f>'[1]Vystup. ukazovatele projektov'!K100</f>
        <v>0</v>
      </c>
      <c r="U42" s="355">
        <f t="shared" si="0"/>
        <v>0</v>
      </c>
      <c r="V42" s="355"/>
      <c r="W42" s="356"/>
      <c r="X42" s="357"/>
      <c r="Y42" s="355">
        <f t="shared" si="3"/>
        <v>0</v>
      </c>
      <c r="Z42" s="352"/>
      <c r="AA42" s="358"/>
      <c r="AB42" s="359">
        <f>'[1]Vystup. ukazovatele projektov'!O100</f>
        <v>0</v>
      </c>
      <c r="AC42" s="360">
        <f>T42+AB42</f>
        <v>0</v>
      </c>
      <c r="AD42" s="361">
        <f t="shared" si="4"/>
        <v>0</v>
      </c>
      <c r="AE42" s="362">
        <f>'[1]Vystup. ukazovatele projektov'!N100</f>
        <v>0</v>
      </c>
      <c r="AF42" s="363">
        <f>'[1]Vystup. ukazovatele projektov'!P100</f>
        <v>0</v>
      </c>
    </row>
    <row r="43" spans="1:32" s="326" customFormat="1" ht="43.5" customHeight="1" thickBot="1" x14ac:dyDescent="0.25">
      <c r="A43" s="1110"/>
      <c r="B43" s="1114"/>
      <c r="C43" s="1117"/>
      <c r="D43" s="1120"/>
      <c r="E43" s="365" t="s">
        <v>34</v>
      </c>
      <c r="F43" s="366" t="s">
        <v>2078</v>
      </c>
      <c r="G43" s="367" t="s">
        <v>2026</v>
      </c>
      <c r="H43" s="368" t="s">
        <v>2079</v>
      </c>
      <c r="I43" s="368" t="s">
        <v>115</v>
      </c>
      <c r="J43" s="368" t="s">
        <v>313</v>
      </c>
      <c r="K43" s="368" t="s">
        <v>334</v>
      </c>
      <c r="L43" s="369" t="s">
        <v>486</v>
      </c>
      <c r="M43" s="370">
        <v>108</v>
      </c>
      <c r="N43" s="370"/>
      <c r="O43" s="371"/>
      <c r="P43" s="372">
        <f>'[1]Vystup. ukazovatele projektov'!M102</f>
        <v>0</v>
      </c>
      <c r="Q43" s="373">
        <f t="shared" si="2"/>
        <v>0</v>
      </c>
      <c r="R43" s="373"/>
      <c r="S43" s="374"/>
      <c r="T43" s="375">
        <f>'[1]Vystup. ukazovatele projektov'!K102</f>
        <v>0</v>
      </c>
      <c r="U43" s="376">
        <f t="shared" si="0"/>
        <v>0</v>
      </c>
      <c r="V43" s="376"/>
      <c r="W43" s="377"/>
      <c r="X43" s="378"/>
      <c r="Y43" s="376">
        <f t="shared" si="3"/>
        <v>0</v>
      </c>
      <c r="Z43" s="373"/>
      <c r="AA43" s="379"/>
      <c r="AB43" s="380">
        <f>'[1]Vystup. ukazovatele projektov'!O102</f>
        <v>0</v>
      </c>
      <c r="AC43" s="381">
        <f t="shared" ref="AC43:AC62" si="10">T43+AB43</f>
        <v>0</v>
      </c>
      <c r="AD43" s="382">
        <f t="shared" si="4"/>
        <v>0</v>
      </c>
      <c r="AE43" s="383">
        <f>'[1]Vystup. ukazovatele projektov'!N102</f>
        <v>0</v>
      </c>
      <c r="AF43" s="384">
        <f>'[1]Vystup. ukazovatele projektov'!P102</f>
        <v>0</v>
      </c>
    </row>
    <row r="44" spans="1:32" s="326" customFormat="1" ht="43.5" customHeight="1" thickBot="1" x14ac:dyDescent="0.25">
      <c r="A44" s="1111"/>
      <c r="B44" s="1127"/>
      <c r="C44" s="1128"/>
      <c r="D44" s="1128"/>
      <c r="E44" s="1128"/>
      <c r="F44" s="1128"/>
      <c r="G44" s="1128"/>
      <c r="H44" s="1129"/>
      <c r="I44" s="307" t="s">
        <v>495</v>
      </c>
      <c r="J44" s="307" t="s">
        <v>2066</v>
      </c>
      <c r="K44" s="307"/>
      <c r="L44" s="308" t="s">
        <v>497</v>
      </c>
      <c r="M44" s="309">
        <v>493348542</v>
      </c>
      <c r="N44" s="309">
        <v>118000000</v>
      </c>
      <c r="O44" s="310"/>
      <c r="P44" s="311">
        <v>0</v>
      </c>
      <c r="Q44" s="312">
        <f t="shared" si="2"/>
        <v>0</v>
      </c>
      <c r="R44" s="312">
        <f>IF(N44=0,0,P44/N44)</f>
        <v>0</v>
      </c>
      <c r="S44" s="313"/>
      <c r="T44" s="314">
        <f>'[1]Vystup. ukazovatele projektov'!K248</f>
        <v>0</v>
      </c>
      <c r="U44" s="315"/>
      <c r="V44" s="315"/>
      <c r="W44" s="316"/>
      <c r="X44" s="317">
        <v>10889688</v>
      </c>
      <c r="Y44" s="315">
        <f t="shared" si="3"/>
        <v>2.2073011416743987E-2</v>
      </c>
      <c r="Z44" s="318">
        <f>IF(N44=0,0,X44/N44)</f>
        <v>9.228549152542373E-2</v>
      </c>
      <c r="AA44" s="319"/>
      <c r="AB44" s="320"/>
      <c r="AC44" s="321">
        <f t="shared" si="10"/>
        <v>0</v>
      </c>
      <c r="AD44" s="322">
        <f t="shared" si="4"/>
        <v>0</v>
      </c>
      <c r="AE44" s="323"/>
      <c r="AF44" s="324"/>
    </row>
    <row r="45" spans="1:32" s="326" customFormat="1" ht="43.5" customHeight="1" thickTop="1" x14ac:dyDescent="0.2">
      <c r="A45" s="1092">
        <v>3</v>
      </c>
      <c r="B45" s="1095" t="s">
        <v>2080</v>
      </c>
      <c r="C45" s="1098">
        <v>42738</v>
      </c>
      <c r="D45" s="1101" t="s">
        <v>2081</v>
      </c>
      <c r="E45" s="1102" t="s">
        <v>45</v>
      </c>
      <c r="F45" s="1101" t="s">
        <v>2082</v>
      </c>
      <c r="G45" s="385" t="s">
        <v>2026</v>
      </c>
      <c r="H45" s="385" t="s">
        <v>2083</v>
      </c>
      <c r="I45" s="385" t="s">
        <v>129</v>
      </c>
      <c r="J45" s="385" t="s">
        <v>2084</v>
      </c>
      <c r="K45" s="385" t="s">
        <v>356</v>
      </c>
      <c r="L45" s="386" t="s">
        <v>464</v>
      </c>
      <c r="M45" s="387">
        <v>2</v>
      </c>
      <c r="N45" s="388"/>
      <c r="O45" s="389"/>
      <c r="P45" s="390">
        <f>'[1]Vystup. ukazovatele projektov'!M109</f>
        <v>0</v>
      </c>
      <c r="Q45" s="391">
        <f t="shared" si="2"/>
        <v>0</v>
      </c>
      <c r="R45" s="391"/>
      <c r="S45" s="392"/>
      <c r="T45" s="393">
        <f>'[1]Vystup. ukazovatele projektov'!K109</f>
        <v>0</v>
      </c>
      <c r="U45" s="394">
        <f t="shared" ref="U45:U102" si="11">IF(M45=0,0,T45/M45)</f>
        <v>0</v>
      </c>
      <c r="V45" s="394"/>
      <c r="W45" s="395"/>
      <c r="X45" s="396">
        <f>'[1]Vystup. ukazovatele projektov'!L109</f>
        <v>0</v>
      </c>
      <c r="Y45" s="394">
        <f t="shared" si="3"/>
        <v>0</v>
      </c>
      <c r="Z45" s="391"/>
      <c r="AA45" s="397"/>
      <c r="AB45" s="398">
        <f>'[1]Vystup. ukazovatele projektov'!O109</f>
        <v>0</v>
      </c>
      <c r="AC45" s="399">
        <f t="shared" si="10"/>
        <v>0</v>
      </c>
      <c r="AD45" s="400">
        <f t="shared" si="4"/>
        <v>0</v>
      </c>
      <c r="AE45" s="401">
        <f>'[1]Vystup. ukazovatele projektov'!N109</f>
        <v>0</v>
      </c>
      <c r="AF45" s="402">
        <f>'[1]Vystup. ukazovatele projektov'!P109</f>
        <v>0</v>
      </c>
    </row>
    <row r="46" spans="1:32" s="326" customFormat="1" ht="43.5" customHeight="1" x14ac:dyDescent="0.2">
      <c r="A46" s="1093"/>
      <c r="B46" s="1096"/>
      <c r="C46" s="1099"/>
      <c r="D46" s="1096"/>
      <c r="E46" s="1103"/>
      <c r="F46" s="1096"/>
      <c r="G46" s="403" t="s">
        <v>2028</v>
      </c>
      <c r="H46" s="404" t="s">
        <v>2085</v>
      </c>
      <c r="I46" s="329" t="s">
        <v>131</v>
      </c>
      <c r="J46" s="329" t="s">
        <v>2086</v>
      </c>
      <c r="K46" s="405" t="s">
        <v>353</v>
      </c>
      <c r="L46" s="406" t="s">
        <v>464</v>
      </c>
      <c r="M46" s="331">
        <v>2</v>
      </c>
      <c r="N46" s="331">
        <v>1</v>
      </c>
      <c r="O46" s="332"/>
      <c r="P46" s="407">
        <f>'[1]Vystup. ukazovatele projektov'!M114</f>
        <v>0</v>
      </c>
      <c r="Q46" s="334">
        <f t="shared" si="2"/>
        <v>0</v>
      </c>
      <c r="R46" s="334">
        <f t="shared" si="8"/>
        <v>0</v>
      </c>
      <c r="S46" s="335"/>
      <c r="T46" s="408">
        <f>'[1]Vystup. ukazovatele projektov'!K114</f>
        <v>0</v>
      </c>
      <c r="U46" s="337">
        <f t="shared" si="11"/>
        <v>0</v>
      </c>
      <c r="V46" s="337">
        <f>IF(N46=0,0,T46/N46)</f>
        <v>0</v>
      </c>
      <c r="W46" s="347"/>
      <c r="X46" s="340">
        <f>'[1]Vystup. ukazovatele projektov'!L114</f>
        <v>0</v>
      </c>
      <c r="Y46" s="337">
        <f t="shared" si="3"/>
        <v>0</v>
      </c>
      <c r="Z46" s="334">
        <f>IF(N46=0,0,X46/N46)</f>
        <v>0</v>
      </c>
      <c r="AA46" s="341"/>
      <c r="AB46" s="342">
        <f>'[1]Vystup. ukazovatele projektov'!O114</f>
        <v>0</v>
      </c>
      <c r="AC46" s="343">
        <f t="shared" si="10"/>
        <v>0</v>
      </c>
      <c r="AD46" s="344">
        <f t="shared" si="4"/>
        <v>0</v>
      </c>
      <c r="AE46" s="345">
        <f>'[1]Vystup. ukazovatele projektov'!N114</f>
        <v>0</v>
      </c>
      <c r="AF46" s="346">
        <f>'[1]Vystup. ukazovatele projektov'!P114</f>
        <v>0</v>
      </c>
    </row>
    <row r="47" spans="1:32" s="326" customFormat="1" ht="43.5" customHeight="1" x14ac:dyDescent="0.2">
      <c r="A47" s="1093"/>
      <c r="B47" s="1096"/>
      <c r="C47" s="1099"/>
      <c r="D47" s="1096"/>
      <c r="E47" s="1104" t="s">
        <v>48</v>
      </c>
      <c r="F47" s="1105" t="s">
        <v>2087</v>
      </c>
      <c r="G47" s="1105" t="s">
        <v>2026</v>
      </c>
      <c r="H47" s="1105" t="s">
        <v>2088</v>
      </c>
      <c r="I47" s="329" t="s">
        <v>115</v>
      </c>
      <c r="J47" s="329" t="s">
        <v>2089</v>
      </c>
      <c r="K47" s="329" t="s">
        <v>334</v>
      </c>
      <c r="L47" s="406" t="s">
        <v>486</v>
      </c>
      <c r="M47" s="331">
        <v>219</v>
      </c>
      <c r="N47" s="331">
        <v>77</v>
      </c>
      <c r="O47" s="332"/>
      <c r="P47" s="409">
        <f>'[1]Vystup. ukazovatele projektov'!M116</f>
        <v>0</v>
      </c>
      <c r="Q47" s="334">
        <f t="shared" si="2"/>
        <v>0</v>
      </c>
      <c r="R47" s="334">
        <f t="shared" si="8"/>
        <v>0</v>
      </c>
      <c r="S47" s="335"/>
      <c r="T47" s="408">
        <f>'[1]Vystup. ukazovatele projektov'!K116</f>
        <v>0</v>
      </c>
      <c r="U47" s="337">
        <f t="shared" si="11"/>
        <v>0</v>
      </c>
      <c r="V47" s="337">
        <f>IF(N47=0,0,T47/N47)</f>
        <v>0</v>
      </c>
      <c r="W47" s="347"/>
      <c r="X47" s="340">
        <f>'[1]Vystup. ukazovatele projektov'!L116</f>
        <v>0</v>
      </c>
      <c r="Y47" s="337">
        <f t="shared" si="3"/>
        <v>0</v>
      </c>
      <c r="Z47" s="334">
        <f>IF(N47=0,0,X47/N47)</f>
        <v>0</v>
      </c>
      <c r="AA47" s="341"/>
      <c r="AB47" s="342">
        <f>'[1]Vystup. ukazovatele projektov'!O116</f>
        <v>0</v>
      </c>
      <c r="AC47" s="343">
        <f t="shared" si="10"/>
        <v>0</v>
      </c>
      <c r="AD47" s="344">
        <f t="shared" si="4"/>
        <v>0</v>
      </c>
      <c r="AE47" s="345">
        <f>'[1]Vystup. ukazovatele projektov'!N116</f>
        <v>0</v>
      </c>
      <c r="AF47" s="346">
        <f>'[1]Vystup. ukazovatele projektov'!P116</f>
        <v>0</v>
      </c>
    </row>
    <row r="48" spans="1:32" s="326" customFormat="1" ht="43.5" customHeight="1" x14ac:dyDescent="0.2">
      <c r="A48" s="1093"/>
      <c r="B48" s="1096"/>
      <c r="C48" s="1099"/>
      <c r="D48" s="1096"/>
      <c r="E48" s="1104"/>
      <c r="F48" s="1105"/>
      <c r="G48" s="1105"/>
      <c r="H48" s="1105"/>
      <c r="I48" s="404" t="s">
        <v>133</v>
      </c>
      <c r="J48" s="404" t="s">
        <v>134</v>
      </c>
      <c r="K48" s="404" t="s">
        <v>360</v>
      </c>
      <c r="L48" s="410" t="s">
        <v>486</v>
      </c>
      <c r="M48" s="411">
        <v>806</v>
      </c>
      <c r="N48" s="411"/>
      <c r="O48" s="412"/>
      <c r="P48" s="413">
        <f>'[1]Vystup. ukazovatele projektov'!M118</f>
        <v>0</v>
      </c>
      <c r="Q48" s="414">
        <f t="shared" si="2"/>
        <v>0</v>
      </c>
      <c r="R48" s="414"/>
      <c r="S48" s="415"/>
      <c r="T48" s="416">
        <f>'[1]Vystup. ukazovatele projektov'!K118</f>
        <v>0</v>
      </c>
      <c r="U48" s="417">
        <f t="shared" si="11"/>
        <v>0</v>
      </c>
      <c r="V48" s="417"/>
      <c r="W48" s="418"/>
      <c r="X48" s="419">
        <f>'[1]Vystup. ukazovatele projektov'!L118</f>
        <v>0</v>
      </c>
      <c r="Y48" s="417">
        <f t="shared" si="3"/>
        <v>0</v>
      </c>
      <c r="Z48" s="414"/>
      <c r="AA48" s="420"/>
      <c r="AB48" s="421">
        <f>'[1]Vystup. ukazovatele projektov'!O118</f>
        <v>0</v>
      </c>
      <c r="AC48" s="422">
        <f t="shared" si="10"/>
        <v>0</v>
      </c>
      <c r="AD48" s="423">
        <f t="shared" si="4"/>
        <v>0</v>
      </c>
      <c r="AE48" s="424">
        <f>'[1]Vystup. ukazovatele projektov'!N118</f>
        <v>0</v>
      </c>
      <c r="AF48" s="425">
        <f>'[1]Vystup. ukazovatele projektov'!P118</f>
        <v>0</v>
      </c>
    </row>
    <row r="49" spans="1:32" s="326" customFormat="1" ht="43.5" customHeight="1" x14ac:dyDescent="0.2">
      <c r="A49" s="1093"/>
      <c r="B49" s="1096"/>
      <c r="C49" s="1099"/>
      <c r="D49" s="1096"/>
      <c r="E49" s="1104"/>
      <c r="F49" s="1096"/>
      <c r="G49" s="403" t="s">
        <v>2028</v>
      </c>
      <c r="H49" s="404" t="s">
        <v>2090</v>
      </c>
      <c r="I49" s="404" t="s">
        <v>135</v>
      </c>
      <c r="J49" s="404" t="s">
        <v>136</v>
      </c>
      <c r="K49" s="404" t="s">
        <v>357</v>
      </c>
      <c r="L49" s="410" t="s">
        <v>486</v>
      </c>
      <c r="M49" s="411">
        <v>21965</v>
      </c>
      <c r="N49" s="426"/>
      <c r="O49" s="427"/>
      <c r="P49" s="413">
        <f>'[1]Vystup. ukazovatele projektov'!M125</f>
        <v>0</v>
      </c>
      <c r="Q49" s="414">
        <f t="shared" si="2"/>
        <v>0</v>
      </c>
      <c r="R49" s="414"/>
      <c r="S49" s="415"/>
      <c r="T49" s="416">
        <f>'[1]Vystup. ukazovatele projektov'!K125</f>
        <v>0</v>
      </c>
      <c r="U49" s="417">
        <f t="shared" si="11"/>
        <v>0</v>
      </c>
      <c r="V49" s="417"/>
      <c r="W49" s="418"/>
      <c r="X49" s="419">
        <f>'[1]Vystup. ukazovatele projektov'!L125</f>
        <v>0</v>
      </c>
      <c r="Y49" s="417">
        <f t="shared" si="3"/>
        <v>0</v>
      </c>
      <c r="Z49" s="414"/>
      <c r="AA49" s="420"/>
      <c r="AB49" s="421">
        <f>'[1]Vystup. ukazovatele projektov'!O125</f>
        <v>0</v>
      </c>
      <c r="AC49" s="422">
        <f t="shared" si="10"/>
        <v>0</v>
      </c>
      <c r="AD49" s="423">
        <f t="shared" si="4"/>
        <v>0</v>
      </c>
      <c r="AE49" s="424">
        <f>'[1]Vystup. ukazovatele projektov'!N125</f>
        <v>0</v>
      </c>
      <c r="AF49" s="425">
        <f>'[1]Vystup. ukazovatele projektov'!P125</f>
        <v>0</v>
      </c>
    </row>
    <row r="50" spans="1:32" s="326" customFormat="1" ht="43.5" customHeight="1" x14ac:dyDescent="0.2">
      <c r="A50" s="1093"/>
      <c r="B50" s="1096"/>
      <c r="C50" s="1099"/>
      <c r="D50" s="1096"/>
      <c r="E50" s="1104" t="s">
        <v>49</v>
      </c>
      <c r="F50" s="1105" t="s">
        <v>2091</v>
      </c>
      <c r="G50" s="404" t="s">
        <v>2026</v>
      </c>
      <c r="H50" s="404" t="s">
        <v>2092</v>
      </c>
      <c r="I50" s="404" t="s">
        <v>137</v>
      </c>
      <c r="J50" s="404" t="s">
        <v>2093</v>
      </c>
      <c r="K50" s="404" t="s">
        <v>380</v>
      </c>
      <c r="L50" s="410" t="s">
        <v>464</v>
      </c>
      <c r="M50" s="411">
        <v>20</v>
      </c>
      <c r="N50" s="428"/>
      <c r="O50" s="429"/>
      <c r="P50" s="430">
        <f>'[1]Vystup. ukazovatele projektov'!M131</f>
        <v>0</v>
      </c>
      <c r="Q50" s="414">
        <f t="shared" si="2"/>
        <v>0</v>
      </c>
      <c r="R50" s="414"/>
      <c r="S50" s="415"/>
      <c r="T50" s="416">
        <f>'[1]Vystup. ukazovatele projektov'!K131</f>
        <v>0</v>
      </c>
      <c r="U50" s="417">
        <f t="shared" si="11"/>
        <v>0</v>
      </c>
      <c r="V50" s="417"/>
      <c r="W50" s="418"/>
      <c r="X50" s="419">
        <f>'[1]Vystup. ukazovatele projektov'!L131</f>
        <v>0</v>
      </c>
      <c r="Y50" s="417">
        <f t="shared" si="3"/>
        <v>0</v>
      </c>
      <c r="Z50" s="414"/>
      <c r="AA50" s="420"/>
      <c r="AB50" s="421">
        <f>'[1]Vystup. ukazovatele projektov'!O131</f>
        <v>0</v>
      </c>
      <c r="AC50" s="422">
        <f t="shared" si="10"/>
        <v>0</v>
      </c>
      <c r="AD50" s="423">
        <f t="shared" si="4"/>
        <v>0</v>
      </c>
      <c r="AE50" s="424">
        <f>'[1]Vystup. ukazovatele projektov'!N131</f>
        <v>0</v>
      </c>
      <c r="AF50" s="425">
        <f>'[1]Vystup. ukazovatele projektov'!P131</f>
        <v>0</v>
      </c>
    </row>
    <row r="51" spans="1:32" s="326" customFormat="1" ht="43.5" customHeight="1" thickBot="1" x14ac:dyDescent="0.25">
      <c r="A51" s="1093"/>
      <c r="B51" s="1097"/>
      <c r="C51" s="1100"/>
      <c r="D51" s="1097"/>
      <c r="E51" s="1180"/>
      <c r="F51" s="1097"/>
      <c r="G51" s="431" t="s">
        <v>2028</v>
      </c>
      <c r="H51" s="432" t="s">
        <v>2094</v>
      </c>
      <c r="I51" s="433" t="s">
        <v>139</v>
      </c>
      <c r="J51" s="433" t="s">
        <v>2095</v>
      </c>
      <c r="K51" s="433" t="s">
        <v>381</v>
      </c>
      <c r="L51" s="434" t="s">
        <v>464</v>
      </c>
      <c r="M51" s="435">
        <v>4</v>
      </c>
      <c r="N51" s="435">
        <v>1</v>
      </c>
      <c r="O51" s="436"/>
      <c r="P51" s="437">
        <f>'[1]Vystup. ukazovatele projektov'!M135</f>
        <v>0</v>
      </c>
      <c r="Q51" s="438">
        <f t="shared" si="2"/>
        <v>0</v>
      </c>
      <c r="R51" s="438">
        <f t="shared" si="8"/>
        <v>0</v>
      </c>
      <c r="S51" s="439"/>
      <c r="T51" s="440">
        <f>'[1]Vystup. ukazovatele projektov'!K135</f>
        <v>2</v>
      </c>
      <c r="U51" s="441">
        <f t="shared" si="11"/>
        <v>0.5</v>
      </c>
      <c r="V51" s="441">
        <f>IF(N51=0,0,T51/N51)</f>
        <v>2</v>
      </c>
      <c r="W51" s="441"/>
      <c r="X51" s="442">
        <f>'[1]Vystup. ukazovatele projektov'!L135</f>
        <v>1</v>
      </c>
      <c r="Y51" s="441">
        <f t="shared" si="3"/>
        <v>0.25</v>
      </c>
      <c r="Z51" s="438">
        <f t="shared" ref="Z51:Z52" si="12">IF(N51=0,0,X51/N51)</f>
        <v>1</v>
      </c>
      <c r="AA51" s="443"/>
      <c r="AB51" s="444">
        <f>'[1]Vystup. ukazovatele projektov'!O135</f>
        <v>0</v>
      </c>
      <c r="AC51" s="445">
        <f>T51+AB51</f>
        <v>2</v>
      </c>
      <c r="AD51" s="446">
        <f t="shared" si="4"/>
        <v>0.5</v>
      </c>
      <c r="AE51" s="447">
        <f>'[1]Vystup. ukazovatele projektov'!N135</f>
        <v>0</v>
      </c>
      <c r="AF51" s="448">
        <f>'[1]Vystup. ukazovatele projektov'!P135</f>
        <v>0</v>
      </c>
    </row>
    <row r="52" spans="1:32" ht="43.5" customHeight="1" thickBot="1" x14ac:dyDescent="0.25">
      <c r="A52" s="1094"/>
      <c r="B52" s="1181"/>
      <c r="C52" s="1182"/>
      <c r="D52" s="1182"/>
      <c r="E52" s="1182"/>
      <c r="F52" s="1182"/>
      <c r="G52" s="1182"/>
      <c r="H52" s="1183"/>
      <c r="I52" s="307" t="s">
        <v>495</v>
      </c>
      <c r="J52" s="449" t="s">
        <v>2066</v>
      </c>
      <c r="K52" s="449"/>
      <c r="L52" s="450" t="s">
        <v>497</v>
      </c>
      <c r="M52" s="451">
        <v>306942787</v>
      </c>
      <c r="N52" s="451">
        <v>74603549</v>
      </c>
      <c r="O52" s="452"/>
      <c r="P52" s="453">
        <v>0</v>
      </c>
      <c r="Q52" s="325">
        <f t="shared" si="2"/>
        <v>0</v>
      </c>
      <c r="R52" s="325">
        <f t="shared" si="8"/>
        <v>0</v>
      </c>
      <c r="S52" s="454"/>
      <c r="T52" s="314">
        <f>'[1]Vystup. ukazovatele projektov'!K252</f>
        <v>49674703.509999998</v>
      </c>
      <c r="U52" s="315">
        <f t="shared" si="11"/>
        <v>0.16183701202269984</v>
      </c>
      <c r="V52" s="315">
        <f>IF(N52=0,0,T52/N52)</f>
        <v>0.66584906718043668</v>
      </c>
      <c r="W52" s="315"/>
      <c r="X52" s="455">
        <f>'[1]Vystup. ukazovatele projektov'!L252</f>
        <v>46728795.359999999</v>
      </c>
      <c r="Y52" s="315">
        <f t="shared" si="3"/>
        <v>0.15223943138302187</v>
      </c>
      <c r="Z52" s="318">
        <f t="shared" si="12"/>
        <v>0.62636156035954804</v>
      </c>
      <c r="AA52" s="319"/>
      <c r="AB52" s="320">
        <f>'[1]Vystup. ukazovatele projektov'!O252</f>
        <v>0</v>
      </c>
      <c r="AC52" s="456">
        <f t="shared" si="10"/>
        <v>49674703.509999998</v>
      </c>
      <c r="AD52" s="322">
        <f t="shared" si="4"/>
        <v>0.16183701202269984</v>
      </c>
      <c r="AE52" s="457">
        <f>'[1]Vystup. ukazovatele projektov'!N252</f>
        <v>0</v>
      </c>
      <c r="AF52" s="458">
        <f>'[1]Vystup. ukazovatele projektov'!P252</f>
        <v>0</v>
      </c>
    </row>
    <row r="53" spans="1:32" s="326" customFormat="1" ht="43.5" customHeight="1" thickTop="1" x14ac:dyDescent="0.2">
      <c r="A53" s="459">
        <v>4</v>
      </c>
      <c r="B53" s="460" t="s">
        <v>2096</v>
      </c>
      <c r="C53" s="461">
        <v>42739</v>
      </c>
      <c r="D53" s="460" t="s">
        <v>2097</v>
      </c>
      <c r="E53" s="462" t="s">
        <v>2098</v>
      </c>
      <c r="F53" s="1187" t="s">
        <v>2099</v>
      </c>
      <c r="G53" s="871" t="s">
        <v>2047</v>
      </c>
      <c r="H53" s="872" t="s">
        <v>2100</v>
      </c>
      <c r="I53" s="464" t="s">
        <v>2101</v>
      </c>
      <c r="J53" s="464" t="s">
        <v>2102</v>
      </c>
      <c r="K53" s="464" t="s">
        <v>397</v>
      </c>
      <c r="L53" s="464" t="s">
        <v>464</v>
      </c>
      <c r="M53" s="465">
        <v>70000</v>
      </c>
      <c r="N53" s="466"/>
      <c r="O53" s="467"/>
      <c r="P53" s="468">
        <f>'[1]Vystup. ukazovatele projektov'!M157</f>
        <v>3427</v>
      </c>
      <c r="Q53" s="469">
        <f t="shared" si="2"/>
        <v>4.8957142857142859E-2</v>
      </c>
      <c r="R53" s="469"/>
      <c r="S53" s="470"/>
      <c r="T53" s="471">
        <f>'[1]Vystup. ukazovatele projektov'!K157</f>
        <v>13500</v>
      </c>
      <c r="U53" s="472">
        <f t="shared" si="11"/>
        <v>0.19285714285714287</v>
      </c>
      <c r="V53" s="473"/>
      <c r="W53" s="474"/>
      <c r="X53" s="475">
        <f>'[1]Vystup. ukazovatele projektov'!L157</f>
        <v>3427</v>
      </c>
      <c r="Y53" s="472">
        <f t="shared" si="3"/>
        <v>4.8957142857142859E-2</v>
      </c>
      <c r="Z53" s="469"/>
      <c r="AA53" s="476"/>
      <c r="AB53" s="477">
        <f>'[1]Vystup. ukazovatele projektov'!O157</f>
        <v>0</v>
      </c>
      <c r="AC53" s="478">
        <f t="shared" si="10"/>
        <v>13500</v>
      </c>
      <c r="AD53" s="479">
        <f t="shared" si="4"/>
        <v>0.19285714285714287</v>
      </c>
      <c r="AE53" s="480">
        <f>'[1]Vystup. ukazovatele projektov'!N157</f>
        <v>0</v>
      </c>
      <c r="AF53" s="481">
        <f>'[1]Vystup. ukazovatele projektov'!P157</f>
        <v>0</v>
      </c>
    </row>
    <row r="54" spans="1:32" s="505" customFormat="1" ht="43.5" customHeight="1" x14ac:dyDescent="0.2">
      <c r="A54" s="483"/>
      <c r="B54" s="484"/>
      <c r="C54" s="485"/>
      <c r="D54" s="484"/>
      <c r="E54" s="486"/>
      <c r="F54" s="1134"/>
      <c r="G54" s="1184" t="s">
        <v>2106</v>
      </c>
      <c r="H54" s="1172" t="s">
        <v>2194</v>
      </c>
      <c r="I54" s="487" t="s">
        <v>2103</v>
      </c>
      <c r="J54" s="487" t="s">
        <v>2104</v>
      </c>
      <c r="K54" s="487" t="s">
        <v>400</v>
      </c>
      <c r="L54" s="487" t="s">
        <v>2105</v>
      </c>
      <c r="M54" s="488">
        <v>70</v>
      </c>
      <c r="N54" s="489"/>
      <c r="O54" s="490"/>
      <c r="P54" s="491">
        <f>'[1]Vystup. ukazovatele projektov'!M158</f>
        <v>2.7614000000000001</v>
      </c>
      <c r="Q54" s="492">
        <f>IF(M54=0,0,P54/M54)</f>
        <v>3.944857142857143E-2</v>
      </c>
      <c r="R54" s="492"/>
      <c r="S54" s="493"/>
      <c r="T54" s="494">
        <v>21</v>
      </c>
      <c r="U54" s="495">
        <f t="shared" si="11"/>
        <v>0.3</v>
      </c>
      <c r="V54" s="496"/>
      <c r="W54" s="497"/>
      <c r="X54" s="498">
        <f>'[1]Vystup. ukazovatele projektov'!L158</f>
        <v>2.7614000000000001</v>
      </c>
      <c r="Y54" s="495">
        <f t="shared" si="3"/>
        <v>3.944857142857143E-2</v>
      </c>
      <c r="Z54" s="492"/>
      <c r="AA54" s="499"/>
      <c r="AB54" s="500">
        <f>'[1]Vystup. ukazovatele projektov'!O158</f>
        <v>0</v>
      </c>
      <c r="AC54" s="501">
        <f t="shared" si="10"/>
        <v>21</v>
      </c>
      <c r="AD54" s="502">
        <f t="shared" si="4"/>
        <v>0.3</v>
      </c>
      <c r="AE54" s="503">
        <f>'[1]Vystup. ukazovatele projektov'!N158</f>
        <v>0</v>
      </c>
      <c r="AF54" s="504">
        <f>'[1]Vystup. ukazovatele projektov'!P158</f>
        <v>0</v>
      </c>
    </row>
    <row r="55" spans="1:32" s="326" customFormat="1" ht="43.5" customHeight="1" x14ac:dyDescent="0.2">
      <c r="A55" s="506"/>
      <c r="B55" s="507"/>
      <c r="C55" s="508"/>
      <c r="D55" s="507"/>
      <c r="E55" s="462"/>
      <c r="F55" s="463"/>
      <c r="G55" s="1185"/>
      <c r="H55" s="1137"/>
      <c r="I55" s="509" t="s">
        <v>2107</v>
      </c>
      <c r="J55" s="509" t="s">
        <v>2108</v>
      </c>
      <c r="K55" s="509" t="s">
        <v>402</v>
      </c>
      <c r="L55" s="509" t="s">
        <v>2109</v>
      </c>
      <c r="M55" s="510">
        <v>500</v>
      </c>
      <c r="N55" s="511"/>
      <c r="O55" s="512"/>
      <c r="P55" s="513">
        <f>'[1]Vystup. ukazovatele projektov'!M146+'[1]Vystup. ukazovatele projektov'!M155+'[1]Vystup. ukazovatele projektov'!M160</f>
        <v>18.6478</v>
      </c>
      <c r="Q55" s="514">
        <f>IF(M55=0,0,P55/M55)</f>
        <v>3.7295599999999998E-2</v>
      </c>
      <c r="R55" s="514"/>
      <c r="S55" s="515"/>
      <c r="T55" s="516">
        <f>'[1]Vystup. ukazovatele projektov'!K146+'[1]Vystup. ukazovatele projektov'!K155+'[1]Vystup. ukazovatele projektov'!K160</f>
        <v>68</v>
      </c>
      <c r="U55" s="514">
        <f t="shared" si="11"/>
        <v>0.13600000000000001</v>
      </c>
      <c r="V55" s="517"/>
      <c r="W55" s="512"/>
      <c r="X55" s="518">
        <f>'[1]Vystup. ukazovatele projektov'!L146+'[1]Vystup. ukazovatele projektov'!L155+'[1]Vystup. ukazovatele projektov'!L160</f>
        <v>18.6478</v>
      </c>
      <c r="Y55" s="514">
        <f t="shared" si="3"/>
        <v>3.7295599999999998E-2</v>
      </c>
      <c r="Z55" s="514"/>
      <c r="AA55" s="519"/>
      <c r="AB55" s="520">
        <f>'[1]Vystup. ukazovatele projektov'!O146+'[1]Vystup. ukazovatele projektov'!O155+'[1]Vystup. ukazovatele projektov'!O160</f>
        <v>0</v>
      </c>
      <c r="AC55" s="521">
        <f>T55+AB55</f>
        <v>68</v>
      </c>
      <c r="AD55" s="522">
        <f t="shared" si="4"/>
        <v>0.13600000000000001</v>
      </c>
      <c r="AE55" s="523">
        <f>'[1]Vystup. ukazovatele projektov'!N146+'[1]Vystup. ukazovatele projektov'!N155+'[1]Vystup. ukazovatele projektov'!N160</f>
        <v>0</v>
      </c>
      <c r="AF55" s="524">
        <f>'[1]Vystup. ukazovatele projektov'!P146+'[1]Vystup. ukazovatele projektov'!P155+'[1]Vystup. ukazovatele projektov'!P160</f>
        <v>0</v>
      </c>
    </row>
    <row r="56" spans="1:32" s="326" customFormat="1" ht="43.5" customHeight="1" x14ac:dyDescent="0.2">
      <c r="A56" s="506"/>
      <c r="B56" s="507"/>
      <c r="C56" s="508"/>
      <c r="D56" s="507"/>
      <c r="E56" s="525"/>
      <c r="F56" s="526"/>
      <c r="G56" s="1185"/>
      <c r="H56" s="1137"/>
      <c r="I56" s="329" t="s">
        <v>2110</v>
      </c>
      <c r="J56" s="527" t="s">
        <v>2111</v>
      </c>
      <c r="K56" s="527" t="s">
        <v>401</v>
      </c>
      <c r="L56" s="527" t="s">
        <v>491</v>
      </c>
      <c r="M56" s="528">
        <v>570</v>
      </c>
      <c r="N56" s="529">
        <v>160</v>
      </c>
      <c r="O56" s="530"/>
      <c r="P56" s="531">
        <f>'[1]Vystup. ukazovatele projektov'!M145+'[1]Vystup. ukazovatele projektov'!M154+'[1]Vystup. ukazovatele projektov'!M159</f>
        <v>21.409199999999998</v>
      </c>
      <c r="Q56" s="334">
        <f>IF(M56=0,0,P56/M56)</f>
        <v>3.7559999999999996E-2</v>
      </c>
      <c r="R56" s="334">
        <f>IF(N56=0,0,P56/N56)</f>
        <v>0.1338075</v>
      </c>
      <c r="S56" s="532"/>
      <c r="T56" s="533">
        <f>'[1]Vystup. ukazovatele projektov'!K145+'[1]Vystup. ukazovatele projektov'!K154+'[1]Vystup. ukazovatele projektov'!K159</f>
        <v>90</v>
      </c>
      <c r="U56" s="337">
        <f>IF(M56=0,0,T56/M56)</f>
        <v>0.15789473684210525</v>
      </c>
      <c r="V56" s="337">
        <f>IF(N56=0,0,T56/N56)</f>
        <v>0.5625</v>
      </c>
      <c r="W56" s="534"/>
      <c r="X56" s="534">
        <f>'[1]Vystup. ukazovatele projektov'!L145+'[1]Vystup. ukazovatele projektov'!L154+'[1]Vystup. ukazovatele projektov'!L159</f>
        <v>21.409199999999998</v>
      </c>
      <c r="Y56" s="337">
        <f>IF(M56=0,0,X56/M56)</f>
        <v>3.7559999999999996E-2</v>
      </c>
      <c r="Z56" s="334">
        <f>IF(N56=0,0,X56/N56)</f>
        <v>0.1338075</v>
      </c>
      <c r="AA56" s="535"/>
      <c r="AB56" s="536">
        <f>'[1]Vystup. ukazovatele projektov'!O145+'[1]Vystup. ukazovatele projektov'!O1539+'[1]Vystup. ukazovatele projektov'!O159</f>
        <v>0</v>
      </c>
      <c r="AC56" s="537">
        <f>T56+AB56</f>
        <v>90</v>
      </c>
      <c r="AD56" s="538">
        <f t="shared" si="4"/>
        <v>0.15789473684210525</v>
      </c>
      <c r="AE56" s="539">
        <f>'[1]Vystup. ukazovatele projektov'!N145+'[1]Vystup. ukazovatele projektov'!N154+'[1]Vystup. ukazovatele projektov'!N160</f>
        <v>0</v>
      </c>
      <c r="AF56" s="540">
        <f>'[1]Vystup. ukazovatele projektov'!P145+'[1]Vystup. ukazovatele projektov'!P154+'[1]Vystup. ukazovatele projektov'!P160</f>
        <v>0</v>
      </c>
    </row>
    <row r="57" spans="1:32" s="326" customFormat="1" ht="43.5" customHeight="1" x14ac:dyDescent="0.2">
      <c r="A57" s="506"/>
      <c r="B57" s="507"/>
      <c r="C57" s="508"/>
      <c r="D57" s="507"/>
      <c r="E57" s="525"/>
      <c r="F57" s="526"/>
      <c r="G57" s="1186"/>
      <c r="H57" s="1179"/>
      <c r="I57" s="464" t="s">
        <v>2193</v>
      </c>
      <c r="J57" s="464" t="s">
        <v>2112</v>
      </c>
      <c r="K57" s="464" t="s">
        <v>396</v>
      </c>
      <c r="L57" s="464" t="s">
        <v>520</v>
      </c>
      <c r="M57" s="465">
        <v>260000</v>
      </c>
      <c r="N57" s="541"/>
      <c r="O57" s="542"/>
      <c r="P57" s="468">
        <f>'[1]Vystup. ukazovatele projektov'!M139+'[1]Vystup. ukazovatele projektov'!M151+'[1]Vystup. ukazovatele projektov'!M156</f>
        <v>6612.0897000000004</v>
      </c>
      <c r="Q57" s="469">
        <f>IF(M57=0,0,P57/M57)</f>
        <v>2.5431114230769231E-2</v>
      </c>
      <c r="R57" s="469"/>
      <c r="S57" s="470"/>
      <c r="T57" s="471">
        <f>'[1]Vystup. ukazovatele projektov'!K139+'[1]Vystup. ukazovatele projektov'!K151+'[1]Vystup. ukazovatele projektov'!K156</f>
        <v>31809.02</v>
      </c>
      <c r="U57" s="472">
        <f>IF(M57=0,0,T57/M57)</f>
        <v>0.12234238461538462</v>
      </c>
      <c r="V57" s="472"/>
      <c r="W57" s="475"/>
      <c r="X57" s="475">
        <f>'[1]Vystup. ukazovatele projektov'!L139+'[1]Vystup. ukazovatele projektov'!L151+'[1]Vystup. ukazovatele projektov'!L156</f>
        <v>6612.0897000000004</v>
      </c>
      <c r="Y57" s="472">
        <f>IF(M57=0,0,X57/M57)</f>
        <v>2.5431114230769231E-2</v>
      </c>
      <c r="Z57" s="469"/>
      <c r="AA57" s="476"/>
      <c r="AB57" s="477">
        <f>'[1]Vystup. ukazovatele projektov'!O139+'[1]Vystup. ukazovatele projektov'!O151+'[1]Vystup. ukazovatele projektov'!O156</f>
        <v>0</v>
      </c>
      <c r="AC57" s="478">
        <f>T57+AB57</f>
        <v>31809.02</v>
      </c>
      <c r="AD57" s="479">
        <f t="shared" si="4"/>
        <v>0.12234238461538462</v>
      </c>
      <c r="AE57" s="480">
        <f>'[1]Vystup. ukazovatele projektov'!N139+'[1]Vystup. ukazovatele projektov'!N151+'[1]Vystup. ukazovatele projektov'!N156</f>
        <v>0</v>
      </c>
      <c r="AF57" s="481">
        <f>'[1]Vystup. ukazovatele projektov'!P139+'[1]Vystup. ukazovatele projektov'!P151+'[1]Vystup. ukazovatele projektov'!P156</f>
        <v>0</v>
      </c>
    </row>
    <row r="58" spans="1:32" s="326" customFormat="1" ht="43.5" customHeight="1" thickBot="1" x14ac:dyDescent="0.25">
      <c r="A58" s="506"/>
      <c r="B58" s="507"/>
      <c r="C58" s="508"/>
      <c r="D58" s="507"/>
      <c r="E58" s="525"/>
      <c r="F58" s="526"/>
      <c r="G58" s="543" t="s">
        <v>2037</v>
      </c>
      <c r="H58" s="544" t="s">
        <v>2113</v>
      </c>
      <c r="I58" s="545" t="s">
        <v>141</v>
      </c>
      <c r="J58" s="546" t="s">
        <v>399</v>
      </c>
      <c r="K58" s="546" t="s">
        <v>398</v>
      </c>
      <c r="L58" s="546" t="s">
        <v>464</v>
      </c>
      <c r="M58" s="547">
        <v>35</v>
      </c>
      <c r="N58" s="548"/>
      <c r="O58" s="549"/>
      <c r="P58" s="550">
        <f>'[1]Vystup. ukazovatele projektov'!M140+'[1]Vystup. ukazovatele projektov'!M152</f>
        <v>0</v>
      </c>
      <c r="Q58" s="551">
        <f>IF(M58=0,0,P58/M58)</f>
        <v>0</v>
      </c>
      <c r="R58" s="551"/>
      <c r="S58" s="552"/>
      <c r="T58" s="553">
        <f>'[1]Vystup. ukazovatele projektov'!K140+'[1]Vystup. ukazovatele projektov'!K152</f>
        <v>2</v>
      </c>
      <c r="U58" s="517">
        <f>IF(M58=0,0,T58/M58)</f>
        <v>5.7142857142857141E-2</v>
      </c>
      <c r="V58" s="517"/>
      <c r="W58" s="554"/>
      <c r="X58" s="554">
        <f>'[1]Vystup. ukazovatele projektov'!L140+'[1]Vystup. ukazovatele projektov'!L152</f>
        <v>0</v>
      </c>
      <c r="Y58" s="517">
        <f>IF(M58=0,0,X58/M58)</f>
        <v>0</v>
      </c>
      <c r="Z58" s="551"/>
      <c r="AA58" s="555"/>
      <c r="AB58" s="556">
        <f>'[1]Vystup. ukazovatele projektov'!O140+'[1]Vystup. ukazovatele projektov'!O152</f>
        <v>0</v>
      </c>
      <c r="AC58" s="557">
        <f>T58+AB58</f>
        <v>2</v>
      </c>
      <c r="AD58" s="558">
        <f t="shared" si="4"/>
        <v>5.7142857142857141E-2</v>
      </c>
      <c r="AE58" s="559">
        <f>'[1]Vystup. ukazovatele projektov'!N140+'[1]Vystup. ukazovatele projektov'!N152</f>
        <v>0</v>
      </c>
      <c r="AF58" s="560">
        <f>'[1]Vystup. ukazovatele projektov'!P140+'[1]Vystup. ukazovatele projektov'!P152</f>
        <v>0</v>
      </c>
    </row>
    <row r="59" spans="1:32" s="326" customFormat="1" ht="43.5" customHeight="1" x14ac:dyDescent="0.2">
      <c r="A59" s="506"/>
      <c r="B59" s="507"/>
      <c r="C59" s="508"/>
      <c r="D59" s="507"/>
      <c r="E59" s="561" t="s">
        <v>2114</v>
      </c>
      <c r="F59" s="1133" t="s">
        <v>2115</v>
      </c>
      <c r="G59" s="562" t="s">
        <v>2026</v>
      </c>
      <c r="H59" s="1136" t="s">
        <v>2116</v>
      </c>
      <c r="I59" s="563" t="s">
        <v>2117</v>
      </c>
      <c r="J59" s="563" t="s">
        <v>144</v>
      </c>
      <c r="K59" s="563" t="s">
        <v>401</v>
      </c>
      <c r="L59" s="563" t="s">
        <v>491</v>
      </c>
      <c r="M59" s="564">
        <v>5</v>
      </c>
      <c r="N59" s="565">
        <v>1</v>
      </c>
      <c r="O59" s="566"/>
      <c r="P59" s="567">
        <f>'[1]Vystup. ukazovatele projektov'!M164</f>
        <v>1.34</v>
      </c>
      <c r="Q59" s="568">
        <f t="shared" si="2"/>
        <v>0.26800000000000002</v>
      </c>
      <c r="R59" s="568">
        <f t="shared" ref="R59:R93" si="13">IF(N59=0,0,P59/N59)</f>
        <v>1.34</v>
      </c>
      <c r="S59" s="569"/>
      <c r="T59" s="570">
        <f>'[1]Vystup. ukazovatele projektov'!K164</f>
        <v>5</v>
      </c>
      <c r="U59" s="571">
        <f t="shared" si="11"/>
        <v>1</v>
      </c>
      <c r="V59" s="571">
        <f t="shared" ref="V59" si="14">IF(N59=0,0,T59/N59)</f>
        <v>5</v>
      </c>
      <c r="W59" s="572"/>
      <c r="X59" s="573">
        <f>'[1]Vystup. ukazovatele projektov'!L164</f>
        <v>1.34</v>
      </c>
      <c r="Y59" s="571">
        <f t="shared" si="3"/>
        <v>0.26800000000000002</v>
      </c>
      <c r="Z59" s="568">
        <f t="shared" ref="Z59:Z93" si="15">IF(N59=0,0,X59/N59)</f>
        <v>1.34</v>
      </c>
      <c r="AA59" s="574"/>
      <c r="AB59" s="575">
        <f>'[1]Vystup. ukazovatele projektov'!O164</f>
        <v>0</v>
      </c>
      <c r="AC59" s="576">
        <f t="shared" si="10"/>
        <v>5</v>
      </c>
      <c r="AD59" s="577">
        <f t="shared" si="4"/>
        <v>1</v>
      </c>
      <c r="AE59" s="539">
        <f>'[1]Vystup. ukazovatele projektov'!O164</f>
        <v>0</v>
      </c>
      <c r="AF59" s="540" t="e">
        <f>#REF!+#REF!+#REF!</f>
        <v>#REF!</v>
      </c>
    </row>
    <row r="60" spans="1:32" s="326" customFormat="1" ht="43.5" customHeight="1" x14ac:dyDescent="0.2">
      <c r="A60" s="506"/>
      <c r="B60" s="507"/>
      <c r="C60" s="508"/>
      <c r="D60" s="507"/>
      <c r="E60" s="462"/>
      <c r="F60" s="1134"/>
      <c r="G60" s="463"/>
      <c r="H60" s="1137"/>
      <c r="I60" s="464" t="s">
        <v>2118</v>
      </c>
      <c r="J60" s="464" t="s">
        <v>2119</v>
      </c>
      <c r="K60" s="464" t="s">
        <v>396</v>
      </c>
      <c r="L60" s="464" t="s">
        <v>520</v>
      </c>
      <c r="M60" s="578">
        <v>7000</v>
      </c>
      <c r="N60" s="579"/>
      <c r="O60" s="580"/>
      <c r="P60" s="468">
        <f>'[1]Vystup. ukazovatele projektov'!M161</f>
        <v>358.63780000000003</v>
      </c>
      <c r="Q60" s="472">
        <f t="shared" si="2"/>
        <v>5.1233971428571431E-2</v>
      </c>
      <c r="R60" s="472"/>
      <c r="S60" s="474"/>
      <c r="T60" s="471">
        <f>'[1]Vystup. ukazovatele projektov'!K161</f>
        <v>1448.3</v>
      </c>
      <c r="U60" s="472">
        <f t="shared" si="11"/>
        <v>0.2069</v>
      </c>
      <c r="V60" s="472"/>
      <c r="W60" s="580"/>
      <c r="X60" s="475">
        <f>'[1]Vystup. ukazovatele projektov'!L161</f>
        <v>358.63780000000003</v>
      </c>
      <c r="Y60" s="472">
        <f t="shared" si="3"/>
        <v>5.1233971428571431E-2</v>
      </c>
      <c r="Z60" s="472"/>
      <c r="AA60" s="476"/>
      <c r="AB60" s="477">
        <f>'[1]Vystup. ukazovatele projektov'!O161</f>
        <v>0</v>
      </c>
      <c r="AC60" s="581">
        <f t="shared" si="10"/>
        <v>1448.3</v>
      </c>
      <c r="AD60" s="482">
        <f t="shared" si="4"/>
        <v>0.2069</v>
      </c>
      <c r="AE60" s="480">
        <f>'[1]Vystup. ukazovatele projektov'!O161</f>
        <v>0</v>
      </c>
      <c r="AF60" s="481">
        <f>'[1]Vystup. ukazovatele projektov'!P161</f>
        <v>0</v>
      </c>
    </row>
    <row r="61" spans="1:32" s="326" customFormat="1" ht="43.5" customHeight="1" x14ac:dyDescent="0.2">
      <c r="A61" s="506"/>
      <c r="B61" s="507"/>
      <c r="C61" s="508"/>
      <c r="D61" s="507"/>
      <c r="E61" s="462"/>
      <c r="F61" s="1134"/>
      <c r="G61" s="463"/>
      <c r="H61" s="1137"/>
      <c r="I61" s="464" t="s">
        <v>2120</v>
      </c>
      <c r="J61" s="464" t="s">
        <v>2121</v>
      </c>
      <c r="K61" s="464" t="s">
        <v>397</v>
      </c>
      <c r="L61" s="464" t="s">
        <v>464</v>
      </c>
      <c r="M61" s="465">
        <v>3000</v>
      </c>
      <c r="N61" s="466"/>
      <c r="O61" s="467"/>
      <c r="P61" s="468">
        <f>'[1]Vystup. ukazovatele projektov'!M162</f>
        <v>251</v>
      </c>
      <c r="Q61" s="469">
        <f t="shared" si="2"/>
        <v>8.3666666666666667E-2</v>
      </c>
      <c r="R61" s="469"/>
      <c r="S61" s="470"/>
      <c r="T61" s="471">
        <f>'[1]Vystup. ukazovatele projektov'!K162</f>
        <v>800</v>
      </c>
      <c r="U61" s="472">
        <f t="shared" si="11"/>
        <v>0.26666666666666666</v>
      </c>
      <c r="V61" s="472"/>
      <c r="W61" s="580"/>
      <c r="X61" s="475">
        <f>'[1]Vystup. ukazovatele projektov'!L162</f>
        <v>251</v>
      </c>
      <c r="Y61" s="472">
        <f t="shared" si="3"/>
        <v>8.3666666666666667E-2</v>
      </c>
      <c r="Z61" s="469"/>
      <c r="AA61" s="476"/>
      <c r="AB61" s="477">
        <f>'[1]Vystup. ukazovatele projektov'!O162</f>
        <v>0</v>
      </c>
      <c r="AC61" s="478">
        <f t="shared" si="10"/>
        <v>800</v>
      </c>
      <c r="AD61" s="479">
        <f t="shared" si="4"/>
        <v>0.26666666666666666</v>
      </c>
      <c r="AE61" s="480">
        <f>'[1]Vystup. ukazovatele projektov'!O162</f>
        <v>0</v>
      </c>
      <c r="AF61" s="481">
        <f>'[1]Vystup. ukazovatele projektov'!P162</f>
        <v>0</v>
      </c>
    </row>
    <row r="62" spans="1:32" s="326" customFormat="1" ht="43.5" customHeight="1" x14ac:dyDescent="0.2">
      <c r="A62" s="506"/>
      <c r="B62" s="507"/>
      <c r="C62" s="508"/>
      <c r="D62" s="507"/>
      <c r="E62" s="462"/>
      <c r="F62" s="1134"/>
      <c r="G62" s="463"/>
      <c r="H62" s="1137"/>
      <c r="I62" s="464" t="s">
        <v>2122</v>
      </c>
      <c r="J62" s="464" t="s">
        <v>2123</v>
      </c>
      <c r="K62" s="464" t="s">
        <v>400</v>
      </c>
      <c r="L62" s="464" t="s">
        <v>2124</v>
      </c>
      <c r="M62" s="541">
        <v>0.75</v>
      </c>
      <c r="N62" s="466"/>
      <c r="O62" s="467"/>
      <c r="P62" s="468">
        <f>'[1]Vystup. ukazovatele projektov'!M163</f>
        <v>0.1013</v>
      </c>
      <c r="Q62" s="469">
        <f>IF(M62=0,0,P62/M62)</f>
        <v>0.13506666666666667</v>
      </c>
      <c r="R62" s="469"/>
      <c r="S62" s="470"/>
      <c r="T62" s="471">
        <f>'[1]Vystup. ukazovatele projektov'!K163</f>
        <v>2</v>
      </c>
      <c r="U62" s="472">
        <f t="shared" si="11"/>
        <v>2.6666666666666665</v>
      </c>
      <c r="V62" s="472"/>
      <c r="W62" s="580"/>
      <c r="X62" s="475">
        <f>'[1]Vystup. ukazovatele projektov'!L163</f>
        <v>0.1013</v>
      </c>
      <c r="Y62" s="472">
        <f t="shared" si="3"/>
        <v>0.13506666666666667</v>
      </c>
      <c r="Z62" s="469"/>
      <c r="AA62" s="476"/>
      <c r="AB62" s="477">
        <f>'[1]Vystup. ukazovatele projektov'!P163</f>
        <v>0</v>
      </c>
      <c r="AC62" s="478">
        <f t="shared" si="10"/>
        <v>2</v>
      </c>
      <c r="AD62" s="479">
        <f>IF(M62=0,0,AC62/M62)</f>
        <v>2.6666666666666665</v>
      </c>
      <c r="AE62" s="480">
        <f>'[1]Vystup. ukazovatele projektov'!O163</f>
        <v>0</v>
      </c>
      <c r="AF62" s="481">
        <f>'[1]Vystup. ukazovatele projektov'!P163</f>
        <v>0</v>
      </c>
    </row>
    <row r="63" spans="1:32" s="326" customFormat="1" ht="43.5" customHeight="1" thickBot="1" x14ac:dyDescent="0.25">
      <c r="A63" s="506"/>
      <c r="B63" s="507"/>
      <c r="C63" s="508"/>
      <c r="D63" s="507"/>
      <c r="E63" s="582"/>
      <c r="F63" s="1135"/>
      <c r="G63" s="583"/>
      <c r="H63" s="1138"/>
      <c r="I63" s="544" t="s">
        <v>2125</v>
      </c>
      <c r="J63" s="544" t="s">
        <v>2126</v>
      </c>
      <c r="K63" s="544" t="s">
        <v>402</v>
      </c>
      <c r="L63" s="544" t="s">
        <v>2109</v>
      </c>
      <c r="M63" s="584">
        <v>4.25</v>
      </c>
      <c r="N63" s="585"/>
      <c r="O63" s="586"/>
      <c r="P63" s="587">
        <f>'[1]Vystup. ukazovatele projektov'!M165</f>
        <v>1.2386999999999999</v>
      </c>
      <c r="Q63" s="588">
        <f>IF(M63=0,0,P63/M63)</f>
        <v>0.29145882352941177</v>
      </c>
      <c r="R63" s="588"/>
      <c r="S63" s="589"/>
      <c r="T63" s="590">
        <f>'[1]Vystup. ukazovatele projektov'!K165</f>
        <v>3</v>
      </c>
      <c r="U63" s="588">
        <f t="shared" si="11"/>
        <v>0.70588235294117652</v>
      </c>
      <c r="V63" s="588"/>
      <c r="W63" s="586"/>
      <c r="X63" s="591">
        <f>'[1]Vystup. ukazovatele projektov'!L165</f>
        <v>1.2386999999999999</v>
      </c>
      <c r="Y63" s="588">
        <f t="shared" si="3"/>
        <v>0.29145882352941177</v>
      </c>
      <c r="Z63" s="588"/>
      <c r="AA63" s="592"/>
      <c r="AB63" s="593">
        <f>'[1]Vystup. ukazovatele projektov'!P165</f>
        <v>0</v>
      </c>
      <c r="AC63" s="594">
        <f>T63+AB63</f>
        <v>3</v>
      </c>
      <c r="AD63" s="595">
        <f t="shared" si="4"/>
        <v>0.70588235294117652</v>
      </c>
      <c r="AE63" s="596">
        <f>'[1]Vystup. ukazovatele projektov'!O165</f>
        <v>0</v>
      </c>
      <c r="AF63" s="597">
        <f>'[1]Vystup. ukazovatele projektov'!P165</f>
        <v>0</v>
      </c>
    </row>
    <row r="64" spans="1:32" ht="43.5" customHeight="1" x14ac:dyDescent="0.2">
      <c r="A64" s="598"/>
      <c r="B64" s="599"/>
      <c r="C64" s="1139">
        <v>42770</v>
      </c>
      <c r="D64" s="1140" t="s">
        <v>2127</v>
      </c>
      <c r="E64" s="1141" t="s">
        <v>57</v>
      </c>
      <c r="F64" s="1144" t="s">
        <v>2128</v>
      </c>
      <c r="G64" s="600" t="s">
        <v>2026</v>
      </c>
      <c r="H64" s="601" t="s">
        <v>2129</v>
      </c>
      <c r="I64" s="601" t="s">
        <v>155</v>
      </c>
      <c r="J64" s="601" t="s">
        <v>156</v>
      </c>
      <c r="K64" s="601" t="s">
        <v>403</v>
      </c>
      <c r="L64" s="601" t="s">
        <v>464</v>
      </c>
      <c r="M64" s="602">
        <v>200</v>
      </c>
      <c r="N64" s="603"/>
      <c r="O64" s="604"/>
      <c r="P64" s="605">
        <f>'[1]Vystup. ukazovatele projektov'!M166</f>
        <v>0</v>
      </c>
      <c r="Q64" s="606">
        <f t="shared" si="2"/>
        <v>0</v>
      </c>
      <c r="R64" s="606"/>
      <c r="S64" s="607"/>
      <c r="T64" s="608">
        <f>'[1]Vystup. ukazovatele projektov'!K166</f>
        <v>0</v>
      </c>
      <c r="U64" s="609">
        <f t="shared" si="11"/>
        <v>0</v>
      </c>
      <c r="V64" s="609"/>
      <c r="W64" s="610"/>
      <c r="X64" s="611">
        <f>'[1]Vystup. ukazovatele projektov'!L166</f>
        <v>0</v>
      </c>
      <c r="Y64" s="609">
        <f t="shared" si="3"/>
        <v>0</v>
      </c>
      <c r="Z64" s="606"/>
      <c r="AA64" s="612"/>
      <c r="AB64" s="613">
        <f>'[1]Vystup. ukazovatele projektov'!P166</f>
        <v>0</v>
      </c>
      <c r="AC64" s="614">
        <f t="shared" ref="AC64:AC85" si="16">T64+AB64</f>
        <v>0</v>
      </c>
      <c r="AD64" s="615">
        <f t="shared" si="4"/>
        <v>0</v>
      </c>
      <c r="AE64" s="616">
        <f>'[1]Vystup. ukazovatele projektov'!O166</f>
        <v>0</v>
      </c>
      <c r="AF64" s="617">
        <f>'[1]Vystup. ukazovatele projektov'!P166</f>
        <v>0</v>
      </c>
    </row>
    <row r="65" spans="1:32" ht="43.5" customHeight="1" x14ac:dyDescent="0.2">
      <c r="A65" s="598"/>
      <c r="B65" s="599"/>
      <c r="C65" s="1140"/>
      <c r="D65" s="1140"/>
      <c r="E65" s="1142"/>
      <c r="F65" s="1145"/>
      <c r="G65" s="1147" t="s">
        <v>2028</v>
      </c>
      <c r="H65" s="1132" t="s">
        <v>2130</v>
      </c>
      <c r="I65" s="618" t="s">
        <v>141</v>
      </c>
      <c r="J65" s="618" t="s">
        <v>399</v>
      </c>
      <c r="K65" s="618" t="s">
        <v>398</v>
      </c>
      <c r="L65" s="618" t="s">
        <v>464</v>
      </c>
      <c r="M65" s="619">
        <v>220</v>
      </c>
      <c r="N65" s="620"/>
      <c r="O65" s="621"/>
      <c r="P65" s="622">
        <f>'[1]Vystup. ukazovatele projektov'!M172</f>
        <v>0</v>
      </c>
      <c r="Q65" s="623">
        <f t="shared" si="2"/>
        <v>0</v>
      </c>
      <c r="R65" s="623"/>
      <c r="S65" s="624"/>
      <c r="T65" s="625">
        <f>'[1]Vystup. ukazovatele projektov'!K172</f>
        <v>45</v>
      </c>
      <c r="U65" s="623">
        <f t="shared" si="11"/>
        <v>0.20454545454545456</v>
      </c>
      <c r="V65" s="623"/>
      <c r="W65" s="621"/>
      <c r="X65" s="626">
        <f>'[1]Vystup. ukazovatele projektov'!L172</f>
        <v>0</v>
      </c>
      <c r="Y65" s="623">
        <f t="shared" si="3"/>
        <v>0</v>
      </c>
      <c r="Z65" s="623"/>
      <c r="AA65" s="627"/>
      <c r="AB65" s="628">
        <f>'[1]Vystup. ukazovatele projektov'!P172</f>
        <v>0</v>
      </c>
      <c r="AC65" s="629">
        <f t="shared" si="16"/>
        <v>45</v>
      </c>
      <c r="AD65" s="630">
        <f t="shared" si="4"/>
        <v>0.20454545454545456</v>
      </c>
      <c r="AE65" s="631">
        <f>'[1]Vystup. ukazovatele projektov'!O172</f>
        <v>0</v>
      </c>
      <c r="AF65" s="632">
        <f>'[1]Vystup. ukazovatele projektov'!P172</f>
        <v>0</v>
      </c>
    </row>
    <row r="66" spans="1:32" s="640" customFormat="1" ht="43.5" customHeight="1" x14ac:dyDescent="0.2">
      <c r="A66" s="598"/>
      <c r="B66" s="599"/>
      <c r="C66" s="1140"/>
      <c r="D66" s="1140"/>
      <c r="E66" s="1142"/>
      <c r="F66" s="1145"/>
      <c r="G66" s="1147"/>
      <c r="H66" s="1132"/>
      <c r="I66" s="618" t="s">
        <v>143</v>
      </c>
      <c r="J66" s="618" t="s">
        <v>144</v>
      </c>
      <c r="K66" s="618" t="s">
        <v>401</v>
      </c>
      <c r="L66" s="618" t="s">
        <v>491</v>
      </c>
      <c r="M66" s="633">
        <v>47</v>
      </c>
      <c r="N66" s="634"/>
      <c r="O66" s="635"/>
      <c r="P66" s="622">
        <f>'[1]Vystup. ukazovatele projektov'!M182</f>
        <v>0</v>
      </c>
      <c r="Q66" s="636">
        <f t="shared" si="2"/>
        <v>0</v>
      </c>
      <c r="R66" s="636"/>
      <c r="S66" s="637"/>
      <c r="T66" s="625">
        <f>'[1]Vystup. ukazovatele projektov'!K182</f>
        <v>10</v>
      </c>
      <c r="U66" s="623">
        <f t="shared" si="11"/>
        <v>0.21276595744680851</v>
      </c>
      <c r="V66" s="623"/>
      <c r="W66" s="621"/>
      <c r="X66" s="626">
        <f>'[1]Vystup. ukazovatele projektov'!L182</f>
        <v>0</v>
      </c>
      <c r="Y66" s="623">
        <f t="shared" si="3"/>
        <v>0</v>
      </c>
      <c r="Z66" s="636"/>
      <c r="AA66" s="627"/>
      <c r="AB66" s="628">
        <f>'[1]Vystup. ukazovatele projektov'!P182</f>
        <v>0</v>
      </c>
      <c r="AC66" s="638">
        <f t="shared" si="16"/>
        <v>10</v>
      </c>
      <c r="AD66" s="639">
        <f t="shared" si="4"/>
        <v>0.21276595744680851</v>
      </c>
      <c r="AE66" s="631">
        <f>'[1]Vystup. ukazovatele projektov'!O182</f>
        <v>0</v>
      </c>
      <c r="AF66" s="632">
        <f>'[1]Vystup. ukazovatele projektov'!P182</f>
        <v>0</v>
      </c>
    </row>
    <row r="67" spans="1:32" s="640" customFormat="1" ht="43.5" customHeight="1" x14ac:dyDescent="0.2">
      <c r="A67" s="598"/>
      <c r="B67" s="599"/>
      <c r="C67" s="1140"/>
      <c r="D67" s="1140"/>
      <c r="E67" s="1142"/>
      <c r="F67" s="1145"/>
      <c r="G67" s="1147"/>
      <c r="H67" s="1132"/>
      <c r="I67" s="618" t="s">
        <v>145</v>
      </c>
      <c r="J67" s="618" t="s">
        <v>146</v>
      </c>
      <c r="K67" s="618" t="s">
        <v>396</v>
      </c>
      <c r="L67" s="618" t="s">
        <v>1105</v>
      </c>
      <c r="M67" s="619">
        <v>93000</v>
      </c>
      <c r="N67" s="620"/>
      <c r="O67" s="621"/>
      <c r="P67" s="622">
        <f>'[1]Vystup. ukazovatele projektov'!M169</f>
        <v>0</v>
      </c>
      <c r="Q67" s="623">
        <f t="shared" si="2"/>
        <v>0</v>
      </c>
      <c r="R67" s="623"/>
      <c r="S67" s="624"/>
      <c r="T67" s="625">
        <f>'[1]Vystup. ukazovatele projektov'!K169</f>
        <v>18984</v>
      </c>
      <c r="U67" s="623">
        <f t="shared" si="11"/>
        <v>0.20412903225806453</v>
      </c>
      <c r="V67" s="623"/>
      <c r="W67" s="621"/>
      <c r="X67" s="626">
        <f>'[1]Vystup. ukazovatele projektov'!L169</f>
        <v>0</v>
      </c>
      <c r="Y67" s="623">
        <f t="shared" si="3"/>
        <v>0</v>
      </c>
      <c r="Z67" s="623"/>
      <c r="AA67" s="627"/>
      <c r="AB67" s="628">
        <f>'[1]Vystup. ukazovatele projektov'!P169</f>
        <v>0</v>
      </c>
      <c r="AC67" s="629">
        <f t="shared" si="16"/>
        <v>18984</v>
      </c>
      <c r="AD67" s="630">
        <f t="shared" si="4"/>
        <v>0.20412903225806453</v>
      </c>
      <c r="AE67" s="631">
        <f>'[1]Vystup. ukazovatele projektov'!O169</f>
        <v>0</v>
      </c>
      <c r="AF67" s="632">
        <f>'[1]Vystup. ukazovatele projektov'!P169</f>
        <v>0</v>
      </c>
    </row>
    <row r="68" spans="1:32" ht="43.5" customHeight="1" x14ac:dyDescent="0.2">
      <c r="A68" s="598"/>
      <c r="B68" s="599"/>
      <c r="C68" s="1140"/>
      <c r="D68" s="1140"/>
      <c r="E68" s="1142"/>
      <c r="F68" s="1145"/>
      <c r="G68" s="1147"/>
      <c r="H68" s="1132"/>
      <c r="I68" s="618" t="s">
        <v>153</v>
      </c>
      <c r="J68" s="618" t="s">
        <v>2131</v>
      </c>
      <c r="K68" s="618" t="s">
        <v>404</v>
      </c>
      <c r="L68" s="618" t="s">
        <v>464</v>
      </c>
      <c r="M68" s="633">
        <v>270</v>
      </c>
      <c r="N68" s="634"/>
      <c r="O68" s="635"/>
      <c r="P68" s="622">
        <f>'[1]Vystup. ukazovatele projektov'!M170</f>
        <v>0</v>
      </c>
      <c r="Q68" s="636">
        <f t="shared" si="2"/>
        <v>0</v>
      </c>
      <c r="R68" s="636"/>
      <c r="S68" s="637"/>
      <c r="T68" s="625">
        <f>'[1]Vystup. ukazovatele projektov'!K170</f>
        <v>55</v>
      </c>
      <c r="U68" s="623">
        <f t="shared" si="11"/>
        <v>0.20370370370370369</v>
      </c>
      <c r="V68" s="623"/>
      <c r="W68" s="621"/>
      <c r="X68" s="626">
        <f>'[1]Vystup. ukazovatele projektov'!L170</f>
        <v>0</v>
      </c>
      <c r="Y68" s="623">
        <f t="shared" si="3"/>
        <v>0</v>
      </c>
      <c r="Z68" s="636"/>
      <c r="AA68" s="627"/>
      <c r="AB68" s="628">
        <f>'[1]Vystup. ukazovatele projektov'!P170</f>
        <v>0</v>
      </c>
      <c r="AC68" s="638">
        <f t="shared" si="16"/>
        <v>55</v>
      </c>
      <c r="AD68" s="639">
        <f t="shared" si="4"/>
        <v>0.20370370370370369</v>
      </c>
      <c r="AE68" s="631">
        <f>'[1]Vystup. ukazovatele projektov'!O170</f>
        <v>0</v>
      </c>
      <c r="AF68" s="632">
        <f>'[1]Vystup. ukazovatele projektov'!P170</f>
        <v>0</v>
      </c>
    </row>
    <row r="69" spans="1:32" s="645" customFormat="1" ht="43.5" customHeight="1" x14ac:dyDescent="0.2">
      <c r="A69" s="641"/>
      <c r="B69" s="642"/>
      <c r="C69" s="1140"/>
      <c r="D69" s="1140"/>
      <c r="E69" s="1142"/>
      <c r="F69" s="1145"/>
      <c r="G69" s="1147"/>
      <c r="H69" s="1132"/>
      <c r="I69" s="618" t="s">
        <v>157</v>
      </c>
      <c r="J69" s="618" t="s">
        <v>158</v>
      </c>
      <c r="K69" s="618" t="s">
        <v>409</v>
      </c>
      <c r="L69" s="618" t="s">
        <v>464</v>
      </c>
      <c r="M69" s="633">
        <v>30</v>
      </c>
      <c r="N69" s="634"/>
      <c r="O69" s="635"/>
      <c r="P69" s="622">
        <f>'[1]Vystup. ukazovatele projektov'!M175</f>
        <v>0</v>
      </c>
      <c r="Q69" s="636">
        <f t="shared" si="2"/>
        <v>0</v>
      </c>
      <c r="R69" s="636"/>
      <c r="S69" s="637"/>
      <c r="T69" s="625">
        <f>'[1]Vystup. ukazovatele projektov'!K175</f>
        <v>4</v>
      </c>
      <c r="U69" s="623">
        <f t="shared" si="11"/>
        <v>0.13333333333333333</v>
      </c>
      <c r="V69" s="623"/>
      <c r="W69" s="621"/>
      <c r="X69" s="626">
        <f>'[1]Vystup. ukazovatele projektov'!L175</f>
        <v>0</v>
      </c>
      <c r="Y69" s="623">
        <f t="shared" si="3"/>
        <v>0</v>
      </c>
      <c r="Z69" s="636"/>
      <c r="AA69" s="627"/>
      <c r="AB69" s="628">
        <f>'[1]Vystup. ukazovatele projektov'!P175</f>
        <v>0</v>
      </c>
      <c r="AC69" s="638">
        <f t="shared" si="16"/>
        <v>4</v>
      </c>
      <c r="AD69" s="639">
        <f t="shared" si="4"/>
        <v>0.13333333333333333</v>
      </c>
      <c r="AE69" s="643">
        <f>'[1]Vystup. ukazovatele projektov'!O175</f>
        <v>0</v>
      </c>
      <c r="AF69" s="644">
        <f>'[1]Vystup. ukazovatele projektov'!P175</f>
        <v>0</v>
      </c>
    </row>
    <row r="70" spans="1:32" s="645" customFormat="1" ht="43.5" customHeight="1" x14ac:dyDescent="0.2">
      <c r="A70" s="641"/>
      <c r="B70" s="642"/>
      <c r="C70" s="1140"/>
      <c r="D70" s="1140"/>
      <c r="E70" s="1142"/>
      <c r="F70" s="1145"/>
      <c r="G70" s="1147"/>
      <c r="H70" s="1132"/>
      <c r="I70" s="618" t="s">
        <v>159</v>
      </c>
      <c r="J70" s="618" t="s">
        <v>160</v>
      </c>
      <c r="K70" s="618" t="s">
        <v>405</v>
      </c>
      <c r="L70" s="618" t="s">
        <v>464</v>
      </c>
      <c r="M70" s="633">
        <v>30</v>
      </c>
      <c r="N70" s="634"/>
      <c r="O70" s="635"/>
      <c r="P70" s="622">
        <f>'[1]Vystup. ukazovatele projektov'!M171</f>
        <v>0</v>
      </c>
      <c r="Q70" s="636">
        <f t="shared" si="2"/>
        <v>0</v>
      </c>
      <c r="R70" s="636"/>
      <c r="S70" s="637"/>
      <c r="T70" s="625">
        <f>'[1]Vystup. ukazovatele projektov'!K171</f>
        <v>8</v>
      </c>
      <c r="U70" s="623">
        <f t="shared" si="11"/>
        <v>0.26666666666666666</v>
      </c>
      <c r="V70" s="623"/>
      <c r="W70" s="621"/>
      <c r="X70" s="626">
        <f>'[1]Vystup. ukazovatele projektov'!L171</f>
        <v>0</v>
      </c>
      <c r="Y70" s="623">
        <f t="shared" si="3"/>
        <v>0</v>
      </c>
      <c r="Z70" s="636"/>
      <c r="AA70" s="627"/>
      <c r="AB70" s="628">
        <f>'[1]Vystup. ukazovatele projektov'!P171</f>
        <v>0</v>
      </c>
      <c r="AC70" s="638">
        <f t="shared" si="16"/>
        <v>8</v>
      </c>
      <c r="AD70" s="639">
        <f t="shared" si="4"/>
        <v>0.26666666666666666</v>
      </c>
      <c r="AE70" s="643">
        <f>'[1]Vystup. ukazovatele projektov'!O171</f>
        <v>0</v>
      </c>
      <c r="AF70" s="644">
        <f>'[1]Vystup. ukazovatele projektov'!P171</f>
        <v>0</v>
      </c>
    </row>
    <row r="71" spans="1:32" s="645" customFormat="1" ht="43.5" customHeight="1" x14ac:dyDescent="0.2">
      <c r="A71" s="641"/>
      <c r="B71" s="642"/>
      <c r="C71" s="1140"/>
      <c r="D71" s="1140"/>
      <c r="E71" s="1142"/>
      <c r="F71" s="1145"/>
      <c r="G71" s="1147"/>
      <c r="H71" s="1132"/>
      <c r="I71" s="618" t="s">
        <v>161</v>
      </c>
      <c r="J71" s="618" t="s">
        <v>162</v>
      </c>
      <c r="K71" s="618" t="s">
        <v>412</v>
      </c>
      <c r="L71" s="618" t="s">
        <v>521</v>
      </c>
      <c r="M71" s="633">
        <v>250000</v>
      </c>
      <c r="N71" s="634"/>
      <c r="O71" s="635"/>
      <c r="P71" s="622">
        <f>'[1]Vystup. ukazovatele projektov'!M177</f>
        <v>0</v>
      </c>
      <c r="Q71" s="636">
        <f t="shared" si="2"/>
        <v>0</v>
      </c>
      <c r="R71" s="636"/>
      <c r="S71" s="637"/>
      <c r="T71" s="625">
        <f>'[1]Vystup. ukazovatele projektov'!K177</f>
        <v>51034</v>
      </c>
      <c r="U71" s="623">
        <f t="shared" si="11"/>
        <v>0.20413600000000001</v>
      </c>
      <c r="V71" s="623"/>
      <c r="W71" s="621"/>
      <c r="X71" s="626">
        <f>'[1]Vystup. ukazovatele projektov'!L177</f>
        <v>0</v>
      </c>
      <c r="Y71" s="623">
        <f t="shared" si="3"/>
        <v>0</v>
      </c>
      <c r="Z71" s="636"/>
      <c r="AA71" s="627"/>
      <c r="AB71" s="628">
        <f>'[1]Vystup. ukazovatele projektov'!P177</f>
        <v>0</v>
      </c>
      <c r="AC71" s="638">
        <f t="shared" si="16"/>
        <v>51034</v>
      </c>
      <c r="AD71" s="639">
        <f t="shared" si="4"/>
        <v>0.20413600000000001</v>
      </c>
      <c r="AE71" s="643">
        <f>'[1]Vystup. ukazovatele projektov'!O177</f>
        <v>0</v>
      </c>
      <c r="AF71" s="644">
        <f>'[1]Vystup. ukazovatele projektov'!P177</f>
        <v>0</v>
      </c>
    </row>
    <row r="72" spans="1:32" s="645" customFormat="1" ht="43.5" customHeight="1" x14ac:dyDescent="0.2">
      <c r="A72" s="641"/>
      <c r="B72" s="642"/>
      <c r="C72" s="1140"/>
      <c r="D72" s="1140"/>
      <c r="E72" s="1142"/>
      <c r="F72" s="1145"/>
      <c r="G72" s="1147"/>
      <c r="H72" s="1132"/>
      <c r="I72" s="618" t="s">
        <v>163</v>
      </c>
      <c r="J72" s="618" t="s">
        <v>2132</v>
      </c>
      <c r="K72" s="618" t="s">
        <v>417</v>
      </c>
      <c r="L72" s="618" t="s">
        <v>521</v>
      </c>
      <c r="M72" s="633">
        <v>250000</v>
      </c>
      <c r="N72" s="634"/>
      <c r="O72" s="635"/>
      <c r="P72" s="622">
        <f>'[1]Vystup. ukazovatele projektov'!M180</f>
        <v>0</v>
      </c>
      <c r="Q72" s="636">
        <f t="shared" si="2"/>
        <v>0</v>
      </c>
      <c r="R72" s="636"/>
      <c r="S72" s="637"/>
      <c r="T72" s="625">
        <f>'[1]Vystup. ukazovatele projektov'!K180</f>
        <v>51034</v>
      </c>
      <c r="U72" s="623">
        <f t="shared" si="11"/>
        <v>0.20413600000000001</v>
      </c>
      <c r="V72" s="623"/>
      <c r="W72" s="621"/>
      <c r="X72" s="626">
        <f>'[1]Vystup. ukazovatele projektov'!L180</f>
        <v>0</v>
      </c>
      <c r="Y72" s="623">
        <f t="shared" si="3"/>
        <v>0</v>
      </c>
      <c r="Z72" s="636"/>
      <c r="AA72" s="627"/>
      <c r="AB72" s="628">
        <f>'[1]Vystup. ukazovatele projektov'!P180</f>
        <v>0</v>
      </c>
      <c r="AC72" s="638">
        <f t="shared" si="16"/>
        <v>51034</v>
      </c>
      <c r="AD72" s="639">
        <f t="shared" si="4"/>
        <v>0.20413600000000001</v>
      </c>
      <c r="AE72" s="643">
        <f>'[1]Vystup. ukazovatele projektov'!O180</f>
        <v>0</v>
      </c>
      <c r="AF72" s="644">
        <f>'[1]Vystup. ukazovatele projektov'!P180</f>
        <v>0</v>
      </c>
    </row>
    <row r="73" spans="1:32" s="645" customFormat="1" ht="43.5" customHeight="1" x14ac:dyDescent="0.2">
      <c r="A73" s="641"/>
      <c r="B73" s="642"/>
      <c r="C73" s="1140"/>
      <c r="D73" s="1140"/>
      <c r="E73" s="1142"/>
      <c r="F73" s="1145"/>
      <c r="G73" s="1147"/>
      <c r="H73" s="1132"/>
      <c r="I73" s="618" t="s">
        <v>149</v>
      </c>
      <c r="J73" s="618" t="s">
        <v>150</v>
      </c>
      <c r="K73" s="618" t="s">
        <v>400</v>
      </c>
      <c r="L73" s="618" t="s">
        <v>515</v>
      </c>
      <c r="M73" s="633">
        <v>20</v>
      </c>
      <c r="N73" s="634"/>
      <c r="O73" s="635"/>
      <c r="P73" s="622">
        <f>'[1]Vystup. ukazovatele projektov'!M181</f>
        <v>0</v>
      </c>
      <c r="Q73" s="636">
        <f t="shared" si="2"/>
        <v>0</v>
      </c>
      <c r="R73" s="636"/>
      <c r="S73" s="637"/>
      <c r="T73" s="625">
        <f>'[1]Vystup. ukazovatele projektov'!K181</f>
        <v>4</v>
      </c>
      <c r="U73" s="623">
        <f t="shared" si="11"/>
        <v>0.2</v>
      </c>
      <c r="V73" s="623"/>
      <c r="W73" s="621"/>
      <c r="X73" s="626">
        <f>'[1]Vystup. ukazovatele projektov'!L181</f>
        <v>0</v>
      </c>
      <c r="Y73" s="623">
        <f t="shared" si="3"/>
        <v>0</v>
      </c>
      <c r="Z73" s="636"/>
      <c r="AA73" s="627"/>
      <c r="AB73" s="628">
        <f>'[1]Vystup. ukazovatele projektov'!P181</f>
        <v>0</v>
      </c>
      <c r="AC73" s="638">
        <f t="shared" si="16"/>
        <v>4</v>
      </c>
      <c r="AD73" s="639">
        <f t="shared" si="4"/>
        <v>0.2</v>
      </c>
      <c r="AE73" s="643">
        <f>'[1]Vystup. ukazovatele projektov'!O181</f>
        <v>0</v>
      </c>
      <c r="AF73" s="644">
        <f>'[1]Vystup. ukazovatele projektov'!P181</f>
        <v>0</v>
      </c>
    </row>
    <row r="74" spans="1:32" s="645" customFormat="1" ht="43.5" customHeight="1" thickBot="1" x14ac:dyDescent="0.25">
      <c r="A74" s="641"/>
      <c r="B74" s="642"/>
      <c r="C74" s="1140"/>
      <c r="D74" s="1140"/>
      <c r="E74" s="1143"/>
      <c r="F74" s="1146"/>
      <c r="G74" s="1148"/>
      <c r="H74" s="1149"/>
      <c r="I74" s="646" t="s">
        <v>151</v>
      </c>
      <c r="J74" s="646" t="s">
        <v>152</v>
      </c>
      <c r="K74" s="646" t="s">
        <v>402</v>
      </c>
      <c r="L74" s="646" t="s">
        <v>516</v>
      </c>
      <c r="M74" s="647">
        <v>27</v>
      </c>
      <c r="N74" s="648"/>
      <c r="O74" s="649"/>
      <c r="P74" s="650">
        <f>'[1]Vystup. ukazovatele projektov'!M183</f>
        <v>0</v>
      </c>
      <c r="Q74" s="651">
        <f t="shared" si="2"/>
        <v>0</v>
      </c>
      <c r="R74" s="651"/>
      <c r="S74" s="652"/>
      <c r="T74" s="653">
        <f>'[1]Vystup. ukazovatele projektov'!K183</f>
        <v>6</v>
      </c>
      <c r="U74" s="651">
        <f t="shared" si="11"/>
        <v>0.22222222222222221</v>
      </c>
      <c r="V74" s="651"/>
      <c r="W74" s="649"/>
      <c r="X74" s="654">
        <f>'[1]Vystup. ukazovatele projektov'!L183</f>
        <v>0</v>
      </c>
      <c r="Y74" s="651">
        <f t="shared" si="3"/>
        <v>0</v>
      </c>
      <c r="Z74" s="651"/>
      <c r="AA74" s="655"/>
      <c r="AB74" s="656">
        <f>'[1]Vystup. ukazovatele projektov'!P183</f>
        <v>0</v>
      </c>
      <c r="AC74" s="657">
        <f t="shared" si="16"/>
        <v>6</v>
      </c>
      <c r="AD74" s="658">
        <f t="shared" si="4"/>
        <v>0.22222222222222221</v>
      </c>
      <c r="AE74" s="659">
        <f>'[1]Vystup. ukazovatele projektov'!O183</f>
        <v>0</v>
      </c>
      <c r="AF74" s="660">
        <f>'[1]Vystup. ukazovatele projektov'!P183</f>
        <v>0</v>
      </c>
    </row>
    <row r="75" spans="1:32" s="505" customFormat="1" ht="43.5" customHeight="1" x14ac:dyDescent="0.2">
      <c r="A75" s="483"/>
      <c r="B75" s="484"/>
      <c r="C75" s="1189">
        <v>42798</v>
      </c>
      <c r="D75" s="1132" t="s">
        <v>2133</v>
      </c>
      <c r="E75" s="1190" t="s">
        <v>58</v>
      </c>
      <c r="F75" s="1193" t="s">
        <v>2134</v>
      </c>
      <c r="G75" s="1193" t="s">
        <v>2026</v>
      </c>
      <c r="H75" s="1130" t="s">
        <v>2135</v>
      </c>
      <c r="I75" s="661" t="s">
        <v>143</v>
      </c>
      <c r="J75" s="661" t="s">
        <v>144</v>
      </c>
      <c r="K75" s="661" t="s">
        <v>401</v>
      </c>
      <c r="L75" s="661" t="s">
        <v>491</v>
      </c>
      <c r="M75" s="662">
        <v>2</v>
      </c>
      <c r="N75" s="663"/>
      <c r="O75" s="664"/>
      <c r="P75" s="665">
        <f>'[1]Vystup. ukazovatele projektov'!M199</f>
        <v>0</v>
      </c>
      <c r="Q75" s="666">
        <f t="shared" si="2"/>
        <v>0</v>
      </c>
      <c r="R75" s="666"/>
      <c r="S75" s="667"/>
      <c r="T75" s="668">
        <v>487.75</v>
      </c>
      <c r="U75" s="669">
        <f t="shared" si="11"/>
        <v>243.875</v>
      </c>
      <c r="V75" s="669"/>
      <c r="W75" s="670"/>
      <c r="X75" s="670">
        <f>'[1]Vystup. ukazovatele projektov'!L199</f>
        <v>213.15629999999993</v>
      </c>
      <c r="Y75" s="669">
        <f t="shared" si="3"/>
        <v>106.57814999999997</v>
      </c>
      <c r="Z75" s="666"/>
      <c r="AA75" s="671"/>
      <c r="AB75" s="672">
        <v>635.23</v>
      </c>
      <c r="AC75" s="673">
        <f t="shared" si="16"/>
        <v>1122.98</v>
      </c>
      <c r="AD75" s="674">
        <f t="shared" si="4"/>
        <v>561.49</v>
      </c>
      <c r="AE75" s="675"/>
      <c r="AF75" s="676"/>
    </row>
    <row r="76" spans="1:32" s="326" customFormat="1" ht="43.5" customHeight="1" x14ac:dyDescent="0.2">
      <c r="A76" s="506"/>
      <c r="B76" s="507"/>
      <c r="C76" s="1189"/>
      <c r="D76" s="1132"/>
      <c r="E76" s="1191"/>
      <c r="F76" s="1194"/>
      <c r="G76" s="1194"/>
      <c r="H76" s="1131"/>
      <c r="I76" s="464" t="s">
        <v>165</v>
      </c>
      <c r="J76" s="464" t="s">
        <v>166</v>
      </c>
      <c r="K76" s="464" t="s">
        <v>429</v>
      </c>
      <c r="L76" s="464" t="s">
        <v>526</v>
      </c>
      <c r="M76" s="465">
        <v>278900000</v>
      </c>
      <c r="N76" s="541"/>
      <c r="O76" s="542"/>
      <c r="P76" s="468">
        <f>'[1]Vystup. ukazovatele projektov'!M197</f>
        <v>47.008099999999999</v>
      </c>
      <c r="Q76" s="469">
        <f t="shared" ref="Q76:Q102" si="17">IF(M76=0,0,P76/M76)</f>
        <v>1.6854822517031194E-7</v>
      </c>
      <c r="R76" s="469"/>
      <c r="S76" s="470"/>
      <c r="T76" s="471" t="e">
        <f>75877703.17+[1]!fn4114214312[[#Totals],[Stĺpec78]]</f>
        <v>#REF!</v>
      </c>
      <c r="U76" s="472" t="e">
        <f t="shared" si="11"/>
        <v>#REF!</v>
      </c>
      <c r="V76" s="472"/>
      <c r="W76" s="475"/>
      <c r="X76" s="475">
        <f>'[1]Vystup. ukazovatele projektov'!L197</f>
        <v>18545377.093399998</v>
      </c>
      <c r="Y76" s="472">
        <f t="shared" ref="Y76:Y102" si="18">IF(M76=0,0,X76/M76)</f>
        <v>6.6494718871997122E-2</v>
      </c>
      <c r="Z76" s="469"/>
      <c r="AA76" s="476"/>
      <c r="AB76" s="477">
        <v>58993379.909999996</v>
      </c>
      <c r="AC76" s="478" t="e">
        <f t="shared" si="16"/>
        <v>#REF!</v>
      </c>
      <c r="AD76" s="479" t="e">
        <f t="shared" si="4"/>
        <v>#REF!</v>
      </c>
      <c r="AE76" s="480"/>
      <c r="AF76" s="481"/>
    </row>
    <row r="77" spans="1:32" s="326" customFormat="1" ht="43.5" customHeight="1" x14ac:dyDescent="0.2">
      <c r="A77" s="506"/>
      <c r="B77" s="507"/>
      <c r="C77" s="1132"/>
      <c r="D77" s="1132"/>
      <c r="E77" s="1192"/>
      <c r="F77" s="1147"/>
      <c r="G77" s="1147"/>
      <c r="H77" s="1132"/>
      <c r="I77" s="464" t="s">
        <v>145</v>
      </c>
      <c r="J77" s="464" t="s">
        <v>146</v>
      </c>
      <c r="K77" s="464" t="s">
        <v>396</v>
      </c>
      <c r="L77" s="464" t="s">
        <v>1105</v>
      </c>
      <c r="M77" s="578">
        <v>73500</v>
      </c>
      <c r="N77" s="677"/>
      <c r="O77" s="475"/>
      <c r="P77" s="468">
        <f>'[1]Vystup. ukazovatele projektov'!M186</f>
        <v>0</v>
      </c>
      <c r="Q77" s="472">
        <f t="shared" si="17"/>
        <v>0</v>
      </c>
      <c r="R77" s="472"/>
      <c r="S77" s="474"/>
      <c r="T77" s="471" t="e">
        <f>107748.53+[1]!fn4114214312[[#Totals],[Stĺpec72]]</f>
        <v>#REF!</v>
      </c>
      <c r="U77" s="472" t="e">
        <f t="shared" si="11"/>
        <v>#REF!</v>
      </c>
      <c r="V77" s="472"/>
      <c r="W77" s="475"/>
      <c r="X77" s="475">
        <f>'[1]Vystup. ukazovatele projektov'!L186</f>
        <v>5272.7560999999996</v>
      </c>
      <c r="Y77" s="472">
        <f t="shared" si="18"/>
        <v>7.1738178231292513E-2</v>
      </c>
      <c r="Z77" s="472"/>
      <c r="AA77" s="476"/>
      <c r="AB77" s="477">
        <f>'[1]Vystup. ukazovatele projektov'!O186</f>
        <v>8572.2390999999989</v>
      </c>
      <c r="AC77" s="581" t="e">
        <f t="shared" si="16"/>
        <v>#REF!</v>
      </c>
      <c r="AD77" s="482" t="e">
        <f t="shared" si="4"/>
        <v>#REF!</v>
      </c>
      <c r="AE77" s="480"/>
      <c r="AF77" s="481"/>
    </row>
    <row r="78" spans="1:32" s="326" customFormat="1" ht="43.5" customHeight="1" x14ac:dyDescent="0.2">
      <c r="A78" s="506"/>
      <c r="B78" s="507"/>
      <c r="C78" s="1132"/>
      <c r="D78" s="1132"/>
      <c r="E78" s="1192"/>
      <c r="F78" s="1147"/>
      <c r="G78" s="1147"/>
      <c r="H78" s="1132"/>
      <c r="I78" s="545" t="s">
        <v>167</v>
      </c>
      <c r="J78" s="545" t="s">
        <v>168</v>
      </c>
      <c r="K78" s="545" t="s">
        <v>420</v>
      </c>
      <c r="L78" s="545" t="s">
        <v>464</v>
      </c>
      <c r="M78" s="678">
        <v>550</v>
      </c>
      <c r="N78" s="678"/>
      <c r="O78" s="679"/>
      <c r="P78" s="680">
        <f>'[1]Vystup. ukazovatele projektov'!M188</f>
        <v>0</v>
      </c>
      <c r="Q78" s="681">
        <f t="shared" si="17"/>
        <v>0</v>
      </c>
      <c r="R78" s="681"/>
      <c r="S78" s="682"/>
      <c r="T78" s="683">
        <v>324</v>
      </c>
      <c r="U78" s="473">
        <f t="shared" si="11"/>
        <v>0.58909090909090911</v>
      </c>
      <c r="V78" s="473"/>
      <c r="W78" s="684"/>
      <c r="X78" s="684">
        <f>'[1]Vystup. ukazovatele projektov'!L188</f>
        <v>88</v>
      </c>
      <c r="Y78" s="473">
        <f t="shared" si="18"/>
        <v>0.16</v>
      </c>
      <c r="Z78" s="681"/>
      <c r="AA78" s="685"/>
      <c r="AB78" s="686">
        <v>304</v>
      </c>
      <c r="AC78" s="687">
        <f t="shared" si="16"/>
        <v>628</v>
      </c>
      <c r="AD78" s="688">
        <f t="shared" si="4"/>
        <v>1.1418181818181818</v>
      </c>
      <c r="AE78" s="689"/>
      <c r="AF78" s="690"/>
    </row>
    <row r="79" spans="1:32" s="326" customFormat="1" ht="43.5" customHeight="1" x14ac:dyDescent="0.2">
      <c r="A79" s="506"/>
      <c r="B79" s="507"/>
      <c r="C79" s="1132"/>
      <c r="D79" s="1132"/>
      <c r="E79" s="1192"/>
      <c r="F79" s="1147"/>
      <c r="G79" s="1147"/>
      <c r="H79" s="1132"/>
      <c r="I79" s="464" t="s">
        <v>169</v>
      </c>
      <c r="J79" s="329" t="s">
        <v>170</v>
      </c>
      <c r="K79" s="329" t="s">
        <v>421</v>
      </c>
      <c r="L79" s="329" t="s">
        <v>2136</v>
      </c>
      <c r="M79" s="529">
        <v>1248000</v>
      </c>
      <c r="N79" s="529">
        <v>187200</v>
      </c>
      <c r="O79" s="530"/>
      <c r="P79" s="531">
        <f>'[1]Vystup. ukazovatele projektov'!M189</f>
        <v>553.91</v>
      </c>
      <c r="Q79" s="334">
        <f t="shared" si="17"/>
        <v>4.4383814102564098E-4</v>
      </c>
      <c r="R79" s="334">
        <f>IF(N79=0,0,P79/N79)</f>
        <v>2.9589209401709401E-3</v>
      </c>
      <c r="S79" s="532"/>
      <c r="T79" s="533">
        <f>499693.78</f>
        <v>499693.78</v>
      </c>
      <c r="U79" s="337">
        <f t="shared" si="11"/>
        <v>0.40039565705128205</v>
      </c>
      <c r="V79" s="337">
        <f>IF(N79=0,0,T79/N79)</f>
        <v>2.6693043803418806</v>
      </c>
      <c r="W79" s="691"/>
      <c r="X79" s="534">
        <f>'[1]Vystup. ukazovatele projektov'!L189</f>
        <v>130293.80499999995</v>
      </c>
      <c r="Y79" s="337">
        <f t="shared" si="18"/>
        <v>0.10440208733974354</v>
      </c>
      <c r="Z79" s="334">
        <f>IF(N79=0,0,X79/N79)</f>
        <v>0.69601391559829029</v>
      </c>
      <c r="AA79" s="535"/>
      <c r="AB79" s="536">
        <v>458575.15</v>
      </c>
      <c r="AC79" s="537">
        <f t="shared" si="16"/>
        <v>958268.93</v>
      </c>
      <c r="AD79" s="538">
        <f t="shared" ref="AD79:AD102" si="19">IF(M79=0,0,AC79/M79)</f>
        <v>0.76784369391025642</v>
      </c>
      <c r="AE79" s="539"/>
      <c r="AF79" s="540"/>
    </row>
    <row r="80" spans="1:32" s="326" customFormat="1" ht="43.5" customHeight="1" thickBot="1" x14ac:dyDescent="0.25">
      <c r="A80" s="506"/>
      <c r="B80" s="507"/>
      <c r="C80" s="1132"/>
      <c r="D80" s="1132"/>
      <c r="E80" s="1192"/>
      <c r="F80" s="1147"/>
      <c r="G80" s="1147"/>
      <c r="H80" s="1132"/>
      <c r="I80" s="464" t="s">
        <v>171</v>
      </c>
      <c r="J80" s="464" t="s">
        <v>2137</v>
      </c>
      <c r="K80" s="464" t="s">
        <v>426</v>
      </c>
      <c r="L80" s="464" t="s">
        <v>526</v>
      </c>
      <c r="M80" s="465">
        <v>172000000</v>
      </c>
      <c r="N80" s="541"/>
      <c r="O80" s="542"/>
      <c r="P80" s="468">
        <f>'[1]Vystup. ukazovatele projektov'!M192</f>
        <v>47.008099999999999</v>
      </c>
      <c r="Q80" s="469">
        <f t="shared" si="17"/>
        <v>2.7330290697674418E-7</v>
      </c>
      <c r="R80" s="469"/>
      <c r="S80" s="470"/>
      <c r="T80" s="471" t="e">
        <f>52331786.98+[1]!fn4114214312[[#Totals],[Stĺpec75]]</f>
        <v>#REF!</v>
      </c>
      <c r="U80" s="472" t="e">
        <f t="shared" si="11"/>
        <v>#REF!</v>
      </c>
      <c r="V80" s="472"/>
      <c r="W80" s="475"/>
      <c r="X80" s="475">
        <f>'[1]Vystup. ukazovatele projektov'!L192</f>
        <v>10130447.783199998</v>
      </c>
      <c r="Y80" s="472">
        <f t="shared" si="18"/>
        <v>5.8897952227906961E-2</v>
      </c>
      <c r="Z80" s="469"/>
      <c r="AA80" s="476"/>
      <c r="AB80" s="477">
        <v>44509813.850000001</v>
      </c>
      <c r="AC80" s="478" t="e">
        <f t="shared" si="16"/>
        <v>#REF!</v>
      </c>
      <c r="AD80" s="479" t="e">
        <f t="shared" si="19"/>
        <v>#REF!</v>
      </c>
      <c r="AE80" s="480"/>
      <c r="AF80" s="481"/>
    </row>
    <row r="81" spans="1:32" s="326" customFormat="1" ht="43.5" customHeight="1" x14ac:dyDescent="0.2">
      <c r="A81" s="506"/>
      <c r="B81" s="507"/>
      <c r="C81" s="1162">
        <v>42829</v>
      </c>
      <c r="D81" s="1163" t="s">
        <v>2138</v>
      </c>
      <c r="E81" s="1164" t="s">
        <v>59</v>
      </c>
      <c r="F81" s="1167" t="s">
        <v>2139</v>
      </c>
      <c r="G81" s="692" t="s">
        <v>2026</v>
      </c>
      <c r="H81" s="693" t="s">
        <v>2140</v>
      </c>
      <c r="I81" s="693" t="s">
        <v>179</v>
      </c>
      <c r="J81" s="693" t="s">
        <v>180</v>
      </c>
      <c r="K81" s="693" t="s">
        <v>442</v>
      </c>
      <c r="L81" s="693" t="s">
        <v>464</v>
      </c>
      <c r="M81" s="694">
        <v>50</v>
      </c>
      <c r="N81" s="695"/>
      <c r="O81" s="696"/>
      <c r="P81" s="697"/>
      <c r="Q81" s="698">
        <f t="shared" si="17"/>
        <v>0</v>
      </c>
      <c r="R81" s="698"/>
      <c r="S81" s="699"/>
      <c r="T81" s="700"/>
      <c r="U81" s="701">
        <f t="shared" si="11"/>
        <v>0</v>
      </c>
      <c r="V81" s="701"/>
      <c r="W81" s="702"/>
      <c r="X81" s="702"/>
      <c r="Y81" s="701">
        <f t="shared" si="18"/>
        <v>0</v>
      </c>
      <c r="Z81" s="698"/>
      <c r="AA81" s="703"/>
      <c r="AB81" s="704"/>
      <c r="AC81" s="705">
        <f t="shared" si="16"/>
        <v>0</v>
      </c>
      <c r="AD81" s="706">
        <f t="shared" si="19"/>
        <v>0</v>
      </c>
      <c r="AE81" s="707"/>
      <c r="AF81" s="708"/>
    </row>
    <row r="82" spans="1:32" s="326" customFormat="1" ht="43.5" customHeight="1" x14ac:dyDescent="0.2">
      <c r="A82" s="506"/>
      <c r="B82" s="507"/>
      <c r="C82" s="1163"/>
      <c r="D82" s="1163"/>
      <c r="E82" s="1165"/>
      <c r="F82" s="1168"/>
      <c r="G82" s="709" t="s">
        <v>2028</v>
      </c>
      <c r="H82" s="464" t="s">
        <v>2141</v>
      </c>
      <c r="I82" s="464" t="s">
        <v>177</v>
      </c>
      <c r="J82" s="464" t="s">
        <v>178</v>
      </c>
      <c r="K82" s="464" t="s">
        <v>2142</v>
      </c>
      <c r="L82" s="464" t="s">
        <v>464</v>
      </c>
      <c r="M82" s="710">
        <v>10</v>
      </c>
      <c r="N82" s="541"/>
      <c r="O82" s="542"/>
      <c r="P82" s="468"/>
      <c r="Q82" s="469">
        <f t="shared" si="17"/>
        <v>0</v>
      </c>
      <c r="R82" s="469"/>
      <c r="S82" s="470"/>
      <c r="T82" s="471"/>
      <c r="U82" s="472">
        <f t="shared" si="11"/>
        <v>0</v>
      </c>
      <c r="V82" s="472"/>
      <c r="W82" s="475"/>
      <c r="X82" s="475"/>
      <c r="Y82" s="472">
        <f t="shared" si="18"/>
        <v>0</v>
      </c>
      <c r="Z82" s="469"/>
      <c r="AA82" s="476"/>
      <c r="AB82" s="477"/>
      <c r="AC82" s="478">
        <f t="shared" si="16"/>
        <v>0</v>
      </c>
      <c r="AD82" s="479">
        <f t="shared" si="19"/>
        <v>0</v>
      </c>
      <c r="AE82" s="480"/>
      <c r="AF82" s="481"/>
    </row>
    <row r="83" spans="1:32" s="326" customFormat="1" ht="43.5" customHeight="1" x14ac:dyDescent="0.2">
      <c r="A83" s="506"/>
      <c r="B83" s="507"/>
      <c r="C83" s="1163"/>
      <c r="D83" s="1163"/>
      <c r="E83" s="1165"/>
      <c r="F83" s="1168"/>
      <c r="G83" s="709" t="s">
        <v>2047</v>
      </c>
      <c r="H83" s="464" t="s">
        <v>2143</v>
      </c>
      <c r="I83" s="464" t="s">
        <v>175</v>
      </c>
      <c r="J83" s="464" t="s">
        <v>176</v>
      </c>
      <c r="K83" s="464" t="s">
        <v>408</v>
      </c>
      <c r="L83" s="464" t="s">
        <v>464</v>
      </c>
      <c r="M83" s="710">
        <v>80</v>
      </c>
      <c r="N83" s="541"/>
      <c r="O83" s="542"/>
      <c r="P83" s="468"/>
      <c r="Q83" s="469">
        <f t="shared" si="17"/>
        <v>0</v>
      </c>
      <c r="R83" s="469"/>
      <c r="S83" s="470"/>
      <c r="T83" s="471"/>
      <c r="U83" s="472">
        <f t="shared" si="11"/>
        <v>0</v>
      </c>
      <c r="V83" s="472"/>
      <c r="W83" s="475"/>
      <c r="X83" s="475"/>
      <c r="Y83" s="472">
        <f t="shared" si="18"/>
        <v>0</v>
      </c>
      <c r="Z83" s="469"/>
      <c r="AA83" s="476"/>
      <c r="AB83" s="477"/>
      <c r="AC83" s="478">
        <f t="shared" si="16"/>
        <v>0</v>
      </c>
      <c r="AD83" s="479">
        <f t="shared" si="19"/>
        <v>0</v>
      </c>
      <c r="AE83" s="480"/>
      <c r="AF83" s="481"/>
    </row>
    <row r="84" spans="1:32" s="326" customFormat="1" ht="43.5" customHeight="1" x14ac:dyDescent="0.2">
      <c r="A84" s="506"/>
      <c r="B84" s="507"/>
      <c r="C84" s="1163"/>
      <c r="D84" s="1163"/>
      <c r="E84" s="1165"/>
      <c r="F84" s="1168"/>
      <c r="G84" s="709" t="s">
        <v>2195</v>
      </c>
      <c r="H84" s="464" t="s">
        <v>2144</v>
      </c>
      <c r="I84" s="464" t="s">
        <v>155</v>
      </c>
      <c r="J84" s="464" t="s">
        <v>156</v>
      </c>
      <c r="K84" s="464" t="s">
        <v>403</v>
      </c>
      <c r="L84" s="464" t="s">
        <v>464</v>
      </c>
      <c r="M84" s="710">
        <v>80</v>
      </c>
      <c r="N84" s="541"/>
      <c r="O84" s="542"/>
      <c r="P84" s="468"/>
      <c r="Q84" s="469">
        <f t="shared" si="17"/>
        <v>0</v>
      </c>
      <c r="R84" s="469"/>
      <c r="S84" s="470"/>
      <c r="T84" s="471"/>
      <c r="U84" s="472">
        <f t="shared" si="11"/>
        <v>0</v>
      </c>
      <c r="V84" s="472"/>
      <c r="W84" s="475"/>
      <c r="X84" s="475"/>
      <c r="Y84" s="472">
        <f t="shared" si="18"/>
        <v>0</v>
      </c>
      <c r="Z84" s="469"/>
      <c r="AA84" s="476"/>
      <c r="AB84" s="477"/>
      <c r="AC84" s="478">
        <f t="shared" si="16"/>
        <v>0</v>
      </c>
      <c r="AD84" s="479">
        <f t="shared" si="19"/>
        <v>0</v>
      </c>
      <c r="AE84" s="480"/>
      <c r="AF84" s="481"/>
    </row>
    <row r="85" spans="1:32" s="326" customFormat="1" ht="43.5" customHeight="1" x14ac:dyDescent="0.2">
      <c r="A85" s="506"/>
      <c r="B85" s="507"/>
      <c r="C85" s="1163"/>
      <c r="D85" s="1163"/>
      <c r="E85" s="1165"/>
      <c r="F85" s="1168"/>
      <c r="G85" s="709" t="s">
        <v>2074</v>
      </c>
      <c r="H85" s="464" t="s">
        <v>2145</v>
      </c>
      <c r="I85" s="464" t="s">
        <v>84</v>
      </c>
      <c r="J85" s="464" t="s">
        <v>216</v>
      </c>
      <c r="K85" s="464" t="s">
        <v>215</v>
      </c>
      <c r="L85" s="464" t="s">
        <v>464</v>
      </c>
      <c r="M85" s="710">
        <v>2500</v>
      </c>
      <c r="N85" s="541"/>
      <c r="O85" s="542"/>
      <c r="P85" s="468"/>
      <c r="Q85" s="469">
        <f t="shared" si="17"/>
        <v>0</v>
      </c>
      <c r="R85" s="469"/>
      <c r="S85" s="470"/>
      <c r="T85" s="471"/>
      <c r="U85" s="472">
        <f t="shared" si="11"/>
        <v>0</v>
      </c>
      <c r="V85" s="472"/>
      <c r="W85" s="475"/>
      <c r="X85" s="475"/>
      <c r="Y85" s="472">
        <f t="shared" si="18"/>
        <v>0</v>
      </c>
      <c r="Z85" s="469"/>
      <c r="AA85" s="476"/>
      <c r="AB85" s="477"/>
      <c r="AC85" s="478">
        <f t="shared" si="16"/>
        <v>0</v>
      </c>
      <c r="AD85" s="479">
        <f t="shared" si="19"/>
        <v>0</v>
      </c>
      <c r="AE85" s="480"/>
      <c r="AF85" s="481"/>
    </row>
    <row r="86" spans="1:32" s="326" customFormat="1" ht="43.5" customHeight="1" thickBot="1" x14ac:dyDescent="0.25">
      <c r="A86" s="506"/>
      <c r="B86" s="507"/>
      <c r="C86" s="1163"/>
      <c r="D86" s="1163"/>
      <c r="E86" s="1166"/>
      <c r="F86" s="1169"/>
      <c r="G86" s="543" t="s">
        <v>2076</v>
      </c>
      <c r="H86" s="544" t="s">
        <v>2146</v>
      </c>
      <c r="I86" s="544" t="s">
        <v>173</v>
      </c>
      <c r="J86" s="544" t="s">
        <v>174</v>
      </c>
      <c r="K86" s="544" t="s">
        <v>445</v>
      </c>
      <c r="L86" s="544" t="s">
        <v>464</v>
      </c>
      <c r="M86" s="711">
        <v>10</v>
      </c>
      <c r="N86" s="712"/>
      <c r="O86" s="713"/>
      <c r="P86" s="587"/>
      <c r="Q86" s="714">
        <f t="shared" si="17"/>
        <v>0</v>
      </c>
      <c r="R86" s="714"/>
      <c r="S86" s="715"/>
      <c r="T86" s="590"/>
      <c r="U86" s="588">
        <f t="shared" si="11"/>
        <v>0</v>
      </c>
      <c r="V86" s="588"/>
      <c r="W86" s="591"/>
      <c r="X86" s="591"/>
      <c r="Y86" s="588">
        <f t="shared" si="18"/>
        <v>0</v>
      </c>
      <c r="Z86" s="714"/>
      <c r="AA86" s="592"/>
      <c r="AB86" s="593"/>
      <c r="AC86" s="716">
        <f>T86+AB86</f>
        <v>0</v>
      </c>
      <c r="AD86" s="717">
        <f t="shared" si="19"/>
        <v>0</v>
      </c>
      <c r="AE86" s="596"/>
      <c r="AF86" s="597"/>
    </row>
    <row r="87" spans="1:32" s="326" customFormat="1" ht="43.5" customHeight="1" x14ac:dyDescent="0.2">
      <c r="A87" s="506"/>
      <c r="B87" s="507"/>
      <c r="C87" s="1170">
        <v>42859</v>
      </c>
      <c r="D87" s="1163" t="s">
        <v>2147</v>
      </c>
      <c r="E87" s="1173" t="s">
        <v>60</v>
      </c>
      <c r="F87" s="1174" t="s">
        <v>2148</v>
      </c>
      <c r="G87" s="1134" t="s">
        <v>2026</v>
      </c>
      <c r="H87" s="1179" t="s">
        <v>2149</v>
      </c>
      <c r="I87" s="545" t="s">
        <v>181</v>
      </c>
      <c r="J87" s="545" t="s">
        <v>182</v>
      </c>
      <c r="K87" s="545" t="s">
        <v>449</v>
      </c>
      <c r="L87" s="545" t="s">
        <v>464</v>
      </c>
      <c r="M87" s="718">
        <v>25</v>
      </c>
      <c r="N87" s="678"/>
      <c r="O87" s="679"/>
      <c r="P87" s="680"/>
      <c r="Q87" s="681">
        <f t="shared" si="17"/>
        <v>0</v>
      </c>
      <c r="R87" s="681"/>
      <c r="S87" s="682"/>
      <c r="T87" s="683"/>
      <c r="U87" s="473">
        <f t="shared" si="11"/>
        <v>0</v>
      </c>
      <c r="V87" s="473"/>
      <c r="W87" s="684"/>
      <c r="X87" s="684"/>
      <c r="Y87" s="473">
        <f t="shared" si="18"/>
        <v>0</v>
      </c>
      <c r="Z87" s="681"/>
      <c r="AA87" s="685"/>
      <c r="AB87" s="686"/>
      <c r="AC87" s="687">
        <f>T87+AB87</f>
        <v>0</v>
      </c>
      <c r="AD87" s="688">
        <f t="shared" si="19"/>
        <v>0</v>
      </c>
      <c r="AE87" s="689"/>
      <c r="AF87" s="690"/>
    </row>
    <row r="88" spans="1:32" s="326" customFormat="1" ht="43.5" customHeight="1" x14ac:dyDescent="0.2">
      <c r="A88" s="506"/>
      <c r="B88" s="507"/>
      <c r="C88" s="1171"/>
      <c r="D88" s="1163"/>
      <c r="E88" s="1173"/>
      <c r="F88" s="1168"/>
      <c r="G88" s="1174"/>
      <c r="H88" s="1163"/>
      <c r="I88" s="464" t="s">
        <v>183</v>
      </c>
      <c r="J88" s="464" t="s">
        <v>184</v>
      </c>
      <c r="K88" s="464" t="s">
        <v>450</v>
      </c>
      <c r="L88" s="464" t="s">
        <v>521</v>
      </c>
      <c r="M88" s="465">
        <v>1000000</v>
      </c>
      <c r="N88" s="541"/>
      <c r="O88" s="542"/>
      <c r="P88" s="468"/>
      <c r="Q88" s="469">
        <f t="shared" si="17"/>
        <v>0</v>
      </c>
      <c r="R88" s="469"/>
      <c r="S88" s="470"/>
      <c r="T88" s="471"/>
      <c r="U88" s="472">
        <f t="shared" si="11"/>
        <v>0</v>
      </c>
      <c r="V88" s="472"/>
      <c r="W88" s="475"/>
      <c r="X88" s="475"/>
      <c r="Y88" s="472">
        <f t="shared" si="18"/>
        <v>0</v>
      </c>
      <c r="Z88" s="469"/>
      <c r="AA88" s="476"/>
      <c r="AB88" s="477"/>
      <c r="AC88" s="478">
        <f>T88+AB88</f>
        <v>0</v>
      </c>
      <c r="AD88" s="479">
        <f t="shared" si="19"/>
        <v>0</v>
      </c>
      <c r="AE88" s="480"/>
      <c r="AF88" s="481"/>
    </row>
    <row r="89" spans="1:32" s="326" customFormat="1" ht="43.5" customHeight="1" x14ac:dyDescent="0.2">
      <c r="A89" s="506"/>
      <c r="B89" s="507"/>
      <c r="C89" s="1171"/>
      <c r="D89" s="1163"/>
      <c r="E89" s="1173"/>
      <c r="F89" s="1168"/>
      <c r="G89" s="1175" t="s">
        <v>2028</v>
      </c>
      <c r="H89" s="1163" t="s">
        <v>2150</v>
      </c>
      <c r="I89" s="464" t="s">
        <v>145</v>
      </c>
      <c r="J89" s="464" t="s">
        <v>146</v>
      </c>
      <c r="K89" s="464" t="s">
        <v>396</v>
      </c>
      <c r="L89" s="464" t="s">
        <v>1105</v>
      </c>
      <c r="M89" s="465">
        <v>280000</v>
      </c>
      <c r="N89" s="541"/>
      <c r="O89" s="542"/>
      <c r="P89" s="468"/>
      <c r="Q89" s="469">
        <f t="shared" si="17"/>
        <v>0</v>
      </c>
      <c r="R89" s="469"/>
      <c r="S89" s="470"/>
      <c r="T89" s="471"/>
      <c r="U89" s="472">
        <f t="shared" si="11"/>
        <v>0</v>
      </c>
      <c r="V89" s="472"/>
      <c r="W89" s="475"/>
      <c r="X89" s="475"/>
      <c r="Y89" s="472">
        <f t="shared" si="18"/>
        <v>0</v>
      </c>
      <c r="Z89" s="469"/>
      <c r="AA89" s="476"/>
      <c r="AB89" s="477"/>
      <c r="AC89" s="478">
        <f t="shared" ref="AC89:AC90" si="20">T89+AB89</f>
        <v>0</v>
      </c>
      <c r="AD89" s="479">
        <f t="shared" si="19"/>
        <v>0</v>
      </c>
      <c r="AE89" s="480"/>
      <c r="AF89" s="481"/>
    </row>
    <row r="90" spans="1:32" s="326" customFormat="1" ht="43.5" customHeight="1" x14ac:dyDescent="0.2">
      <c r="A90" s="506"/>
      <c r="B90" s="507"/>
      <c r="C90" s="1171"/>
      <c r="D90" s="1163"/>
      <c r="E90" s="1173"/>
      <c r="F90" s="1168"/>
      <c r="G90" s="1134"/>
      <c r="H90" s="1163"/>
      <c r="I90" s="464" t="s">
        <v>187</v>
      </c>
      <c r="J90" s="464" t="s">
        <v>188</v>
      </c>
      <c r="K90" s="464" t="s">
        <v>453</v>
      </c>
      <c r="L90" s="464" t="s">
        <v>491</v>
      </c>
      <c r="M90" s="465">
        <v>45</v>
      </c>
      <c r="N90" s="541"/>
      <c r="O90" s="542"/>
      <c r="P90" s="468"/>
      <c r="Q90" s="469">
        <f t="shared" si="17"/>
        <v>0</v>
      </c>
      <c r="R90" s="469"/>
      <c r="S90" s="470"/>
      <c r="T90" s="471"/>
      <c r="U90" s="472">
        <f t="shared" si="11"/>
        <v>0</v>
      </c>
      <c r="V90" s="472"/>
      <c r="W90" s="475"/>
      <c r="X90" s="475"/>
      <c r="Y90" s="472">
        <f t="shared" si="18"/>
        <v>0</v>
      </c>
      <c r="Z90" s="469"/>
      <c r="AA90" s="476"/>
      <c r="AB90" s="477"/>
      <c r="AC90" s="478">
        <f t="shared" si="20"/>
        <v>0</v>
      </c>
      <c r="AD90" s="479">
        <f t="shared" si="19"/>
        <v>0</v>
      </c>
      <c r="AE90" s="480"/>
      <c r="AF90" s="481"/>
    </row>
    <row r="91" spans="1:32" s="326" customFormat="1" ht="43.5" customHeight="1" thickBot="1" x14ac:dyDescent="0.25">
      <c r="A91" s="506"/>
      <c r="B91" s="507"/>
      <c r="C91" s="1171"/>
      <c r="D91" s="1172"/>
      <c r="E91" s="1173"/>
      <c r="F91" s="1175"/>
      <c r="G91" s="1134"/>
      <c r="H91" s="1172"/>
      <c r="I91" s="509" t="s">
        <v>185</v>
      </c>
      <c r="J91" s="509" t="s">
        <v>186</v>
      </c>
      <c r="K91" s="509" t="s">
        <v>448</v>
      </c>
      <c r="L91" s="509" t="s">
        <v>521</v>
      </c>
      <c r="M91" s="719">
        <v>400000</v>
      </c>
      <c r="N91" s="720"/>
      <c r="O91" s="721"/>
      <c r="P91" s="513"/>
      <c r="Q91" s="722">
        <f>IF(M91=0,0,P91/M91)</f>
        <v>0</v>
      </c>
      <c r="R91" s="722"/>
      <c r="S91" s="723"/>
      <c r="T91" s="516"/>
      <c r="U91" s="514">
        <f t="shared" si="11"/>
        <v>0</v>
      </c>
      <c r="V91" s="514"/>
      <c r="W91" s="518"/>
      <c r="X91" s="518"/>
      <c r="Y91" s="514">
        <f t="shared" si="18"/>
        <v>0</v>
      </c>
      <c r="Z91" s="722"/>
      <c r="AA91" s="519"/>
      <c r="AB91" s="520"/>
      <c r="AC91" s="724">
        <f>T91+AB91</f>
        <v>0</v>
      </c>
      <c r="AD91" s="725">
        <f t="shared" si="19"/>
        <v>0</v>
      </c>
      <c r="AE91" s="523"/>
      <c r="AF91" s="524"/>
    </row>
    <row r="92" spans="1:32" ht="43.5" customHeight="1" x14ac:dyDescent="0.2">
      <c r="A92" s="726"/>
      <c r="B92" s="727"/>
      <c r="C92" s="728"/>
      <c r="D92" s="728"/>
      <c r="E92" s="728"/>
      <c r="F92" s="728"/>
      <c r="G92" s="728"/>
      <c r="H92" s="729"/>
      <c r="I92" s="730" t="s">
        <v>495</v>
      </c>
      <c r="J92" s="730" t="s">
        <v>2151</v>
      </c>
      <c r="K92" s="730"/>
      <c r="L92" s="731" t="s">
        <v>497</v>
      </c>
      <c r="M92" s="564">
        <v>1612472049</v>
      </c>
      <c r="N92" s="732">
        <v>499866335</v>
      </c>
      <c r="O92" s="733"/>
      <c r="P92" s="734">
        <v>19589450.98</v>
      </c>
      <c r="Q92" s="735">
        <f t="shared" si="17"/>
        <v>1.2148707316910522E-2</v>
      </c>
      <c r="R92" s="736">
        <f>IF(N92=0,0,P92/N92)</f>
        <v>3.9189378456542787E-2</v>
      </c>
      <c r="S92" s="737"/>
      <c r="T92" s="738">
        <f>'[1]Vystup. ukazovatele projektov'!K253+'[1]Vystup. ukazovatele projektov'!K255+'[1]Vystup. ukazovatele projektov'!K256+'[1]Vystup. ukazovatele projektov'!K257+'[1]Vystup. ukazovatele projektov'!K258</f>
        <v>88618360.679999992</v>
      </c>
      <c r="U92" s="739">
        <f t="shared" si="11"/>
        <v>5.4958075543050849E-2</v>
      </c>
      <c r="V92" s="740">
        <f t="shared" ref="V92:V93" si="21">IF(N92=0,0,T92/N92)</f>
        <v>0.17728411472238872</v>
      </c>
      <c r="W92" s="741"/>
      <c r="X92" s="741">
        <f>'[1]Vystup. ukazovatele projektov'!L253+'[1]Vystup. ukazovatele projektov'!L255+'[1]Vystup. ukazovatele projektov'!L256+'[1]Vystup. ukazovatele projektov'!L257+'[1]Vystup. ukazovatele projektov'!L258</f>
        <v>79837466.879999995</v>
      </c>
      <c r="Y92" s="739">
        <f t="shared" si="18"/>
        <v>4.9512465614217911E-2</v>
      </c>
      <c r="Z92" s="742">
        <f t="shared" si="15"/>
        <v>0.15971763107431508</v>
      </c>
      <c r="AA92" s="743"/>
      <c r="AB92" s="744">
        <f>'[1]Vystup. ukazovatele projektov'!O253+'[1]Vystup. ukazovatele projektov'!O255+'[1]Vystup. ukazovatele projektov'!O256+'[1]Vystup. ukazovatele projektov'!O257+'[1]Vystup. ukazovatele projektov'!O258</f>
        <v>73678288.830000013</v>
      </c>
      <c r="AC92" s="745">
        <f t="shared" ref="AC92:AC101" si="22">T92+AB92</f>
        <v>162296649.50999999</v>
      </c>
      <c r="AD92" s="746">
        <f t="shared" si="19"/>
        <v>0.10065082964424148</v>
      </c>
      <c r="AE92" s="747">
        <f>'[1]Vystup. ukazovatele projektov'!N253+'[1]Vystup. ukazovatele projektov'!N255+'[1]Vystup. ukazovatele projektov'!N256+'[1]Vystup. ukazovatele projektov'!N257+'[1]Vystup. ukazovatele projektov'!N258</f>
        <v>0</v>
      </c>
      <c r="AF92" s="748">
        <f>'[1]Vystup. ukazovatele projektov'!P253+'[1]Vystup. ukazovatele projektov'!P255+'[1]Vystup. ukazovatele projektov'!P256+'[1]Vystup. ukazovatele projektov'!P257+'[1]Vystup. ukazovatele projektov'!P258</f>
        <v>0</v>
      </c>
    </row>
    <row r="93" spans="1:32" s="326" customFormat="1" ht="43.5" customHeight="1" thickBot="1" x14ac:dyDescent="0.25">
      <c r="A93" s="749"/>
      <c r="B93" s="750"/>
      <c r="C93" s="751"/>
      <c r="D93" s="751"/>
      <c r="E93" s="751"/>
      <c r="F93" s="751"/>
      <c r="G93" s="751"/>
      <c r="H93" s="752"/>
      <c r="I93" s="753" t="s">
        <v>495</v>
      </c>
      <c r="J93" s="753" t="s">
        <v>2152</v>
      </c>
      <c r="K93" s="753"/>
      <c r="L93" s="754" t="s">
        <v>497</v>
      </c>
      <c r="M93" s="755">
        <v>2656424</v>
      </c>
      <c r="N93" s="756">
        <v>823491</v>
      </c>
      <c r="O93" s="757"/>
      <c r="P93" s="758">
        <v>555160.27</v>
      </c>
      <c r="Q93" s="759">
        <f t="shared" si="17"/>
        <v>0.20898782347998662</v>
      </c>
      <c r="R93" s="759">
        <f t="shared" si="13"/>
        <v>0.67415462949807592</v>
      </c>
      <c r="S93" s="760"/>
      <c r="T93" s="761">
        <f>P93</f>
        <v>555160.27</v>
      </c>
      <c r="U93" s="762">
        <f t="shared" si="11"/>
        <v>0.20898782347998662</v>
      </c>
      <c r="V93" s="762">
        <f t="shared" si="21"/>
        <v>0.67415462949807592</v>
      </c>
      <c r="W93" s="763"/>
      <c r="X93" s="763">
        <f>P93</f>
        <v>555160.27</v>
      </c>
      <c r="Y93" s="762">
        <f t="shared" si="18"/>
        <v>0.20898782347998662</v>
      </c>
      <c r="Z93" s="764">
        <f t="shared" si="15"/>
        <v>0.67415462949807592</v>
      </c>
      <c r="AA93" s="765"/>
      <c r="AB93" s="766">
        <f>'[1]Vystup. ukazovatele projektov'!O254</f>
        <v>0</v>
      </c>
      <c r="AC93" s="767">
        <f t="shared" si="22"/>
        <v>555160.27</v>
      </c>
      <c r="AD93" s="768">
        <f t="shared" si="19"/>
        <v>0.20898782347998662</v>
      </c>
      <c r="AE93" s="769">
        <f>'[1]Vystup. ukazovatele projektov'!N254</f>
        <v>0</v>
      </c>
      <c r="AF93" s="770">
        <f>'[1]Vystup. ukazovatele projektov'!P254</f>
        <v>0</v>
      </c>
    </row>
    <row r="94" spans="1:32" ht="43.5" customHeight="1" thickTop="1" x14ac:dyDescent="0.2">
      <c r="A94" s="1150">
        <v>5</v>
      </c>
      <c r="B94" s="1153" t="s">
        <v>2153</v>
      </c>
      <c r="C94" s="1156">
        <v>42740</v>
      </c>
      <c r="D94" s="1158"/>
      <c r="E94" s="1160" t="s">
        <v>47</v>
      </c>
      <c r="F94" s="1158" t="s">
        <v>2154</v>
      </c>
      <c r="G94" s="771" t="s">
        <v>2026</v>
      </c>
      <c r="H94" s="772" t="s">
        <v>2155</v>
      </c>
      <c r="I94" s="773" t="s">
        <v>191</v>
      </c>
      <c r="J94" s="774" t="s">
        <v>192</v>
      </c>
      <c r="K94" s="775" t="s">
        <v>461</v>
      </c>
      <c r="L94" s="776" t="s">
        <v>464</v>
      </c>
      <c r="M94" s="777">
        <v>60</v>
      </c>
      <c r="N94" s="778"/>
      <c r="O94" s="779"/>
      <c r="P94" s="780">
        <f>'[1]Vystup. ukazovatele projektov'!M224</f>
        <v>0</v>
      </c>
      <c r="Q94" s="781">
        <f t="shared" si="17"/>
        <v>0</v>
      </c>
      <c r="R94" s="781"/>
      <c r="S94" s="782"/>
      <c r="T94" s="783">
        <f>'[1]Vystup. ukazovatele projektov'!K224</f>
        <v>0</v>
      </c>
      <c r="U94" s="784">
        <f t="shared" si="11"/>
        <v>0</v>
      </c>
      <c r="V94" s="784"/>
      <c r="W94" s="785"/>
      <c r="X94" s="785">
        <f>'[1]Vystup. ukazovatele projektov'!L224</f>
        <v>0</v>
      </c>
      <c r="Y94" s="784">
        <f t="shared" si="18"/>
        <v>0</v>
      </c>
      <c r="Z94" s="781"/>
      <c r="AA94" s="786"/>
      <c r="AB94" s="787">
        <f>'[1]Vystup. ukazovatele projektov'!O224</f>
        <v>0</v>
      </c>
      <c r="AC94" s="788">
        <f t="shared" si="22"/>
        <v>0</v>
      </c>
      <c r="AD94" s="789">
        <f t="shared" si="19"/>
        <v>0</v>
      </c>
      <c r="AE94" s="790"/>
      <c r="AF94" s="791"/>
    </row>
    <row r="95" spans="1:32" ht="43.5" customHeight="1" x14ac:dyDescent="0.2">
      <c r="A95" s="1151"/>
      <c r="B95" s="1154"/>
      <c r="C95" s="1157"/>
      <c r="D95" s="1159"/>
      <c r="E95" s="1161"/>
      <c r="F95" s="1159"/>
      <c r="G95" s="792" t="s">
        <v>2028</v>
      </c>
      <c r="H95" s="793" t="s">
        <v>2156</v>
      </c>
      <c r="I95" s="794" t="s">
        <v>193</v>
      </c>
      <c r="J95" s="794" t="s">
        <v>2157</v>
      </c>
      <c r="K95" s="795" t="s">
        <v>454</v>
      </c>
      <c r="L95" s="796" t="s">
        <v>464</v>
      </c>
      <c r="M95" s="797">
        <v>310</v>
      </c>
      <c r="N95" s="798"/>
      <c r="O95" s="799"/>
      <c r="P95" s="800">
        <f>'[1]Vystup. ukazovatele projektov'!M225</f>
        <v>313.2099</v>
      </c>
      <c r="Q95" s="801">
        <f t="shared" si="17"/>
        <v>1.0103545161290324</v>
      </c>
      <c r="R95" s="801"/>
      <c r="S95" s="802"/>
      <c r="T95" s="803">
        <f>'[1]Vystup. ukazovatele projektov'!K225</f>
        <v>350</v>
      </c>
      <c r="U95" s="804">
        <f t="shared" si="11"/>
        <v>1.1290322580645162</v>
      </c>
      <c r="V95" s="804"/>
      <c r="W95" s="805"/>
      <c r="X95" s="805">
        <f>'[1]Vystup. ukazovatele projektov'!L225</f>
        <v>313.2099</v>
      </c>
      <c r="Y95" s="804">
        <f t="shared" si="18"/>
        <v>1.0103545161290324</v>
      </c>
      <c r="Z95" s="801"/>
      <c r="AA95" s="806"/>
      <c r="AB95" s="807">
        <f>'[1]Vystup. ukazovatele projektov'!O225</f>
        <v>83</v>
      </c>
      <c r="AC95" s="808">
        <f t="shared" si="22"/>
        <v>433</v>
      </c>
      <c r="AD95" s="809">
        <f t="shared" si="19"/>
        <v>1.3967741935483871</v>
      </c>
      <c r="AE95" s="810"/>
      <c r="AF95" s="811"/>
    </row>
    <row r="96" spans="1:32" ht="43.5" customHeight="1" x14ac:dyDescent="0.2">
      <c r="A96" s="1151"/>
      <c r="B96" s="1154"/>
      <c r="C96" s="1157"/>
      <c r="D96" s="1159"/>
      <c r="E96" s="1161"/>
      <c r="F96" s="1159"/>
      <c r="G96" s="1188" t="s">
        <v>2047</v>
      </c>
      <c r="H96" s="1176" t="s">
        <v>2158</v>
      </c>
      <c r="I96" s="794" t="s">
        <v>197</v>
      </c>
      <c r="J96" s="794" t="s">
        <v>2159</v>
      </c>
      <c r="K96" s="795" t="s">
        <v>456</v>
      </c>
      <c r="L96" s="796" t="s">
        <v>463</v>
      </c>
      <c r="M96" s="801">
        <v>1</v>
      </c>
      <c r="N96" s="798"/>
      <c r="O96" s="799"/>
      <c r="P96" s="812">
        <f>'[1]Vystup. ukazovatele projektov'!M226/P95</f>
        <v>0.36940083950092256</v>
      </c>
      <c r="Q96" s="801">
        <f t="shared" si="17"/>
        <v>0.36940083950092256</v>
      </c>
      <c r="R96" s="801"/>
      <c r="S96" s="802"/>
      <c r="T96" s="813">
        <f>'[1]Vystup. ukazovatele projektov'!K226/T95</f>
        <v>0.34285714285714286</v>
      </c>
      <c r="U96" s="804">
        <f t="shared" si="11"/>
        <v>0.34285714285714286</v>
      </c>
      <c r="V96" s="804"/>
      <c r="W96" s="805"/>
      <c r="X96" s="804">
        <f>'[1]Vystup. ukazovatele projektov'!L226/X95</f>
        <v>0.36940083950092256</v>
      </c>
      <c r="Y96" s="804">
        <f t="shared" si="18"/>
        <v>0.36940083950092256</v>
      </c>
      <c r="Z96" s="801"/>
      <c r="AA96" s="806"/>
      <c r="AB96" s="807">
        <f>'[1]Vystup. ukazovatele projektov'!O226/AB95</f>
        <v>0</v>
      </c>
      <c r="AC96" s="814">
        <f t="shared" si="22"/>
        <v>0.34285714285714286</v>
      </c>
      <c r="AD96" s="809">
        <f>IF(M96=0,0,AC96/M96)</f>
        <v>0.34285714285714286</v>
      </c>
      <c r="AE96" s="810"/>
      <c r="AF96" s="811"/>
    </row>
    <row r="97" spans="1:32" s="640" customFormat="1" ht="43.5" customHeight="1" x14ac:dyDescent="0.2">
      <c r="A97" s="1151"/>
      <c r="B97" s="1154"/>
      <c r="C97" s="1157"/>
      <c r="D97" s="1159"/>
      <c r="E97" s="1161"/>
      <c r="F97" s="1159"/>
      <c r="G97" s="1188"/>
      <c r="H97" s="1176"/>
      <c r="I97" s="815"/>
      <c r="J97" s="816" t="s">
        <v>460</v>
      </c>
      <c r="K97" s="817" t="s">
        <v>459</v>
      </c>
      <c r="L97" s="818" t="s">
        <v>464</v>
      </c>
      <c r="M97" s="819"/>
      <c r="N97" s="820"/>
      <c r="O97" s="821"/>
      <c r="P97" s="822">
        <f>'[1]Vystup. ukazovatele projektov'!M227</f>
        <v>0</v>
      </c>
      <c r="Q97" s="823">
        <f t="shared" si="17"/>
        <v>0</v>
      </c>
      <c r="R97" s="823"/>
      <c r="S97" s="824"/>
      <c r="T97" s="825">
        <f>'[1]Vystup. ukazovatele projektov'!K227</f>
        <v>0</v>
      </c>
      <c r="U97" s="826">
        <f t="shared" si="11"/>
        <v>0</v>
      </c>
      <c r="V97" s="826"/>
      <c r="W97" s="827"/>
      <c r="X97" s="827">
        <f>'[1]Vystup. ukazovatele projektov'!L227</f>
        <v>0</v>
      </c>
      <c r="Y97" s="826">
        <f t="shared" si="18"/>
        <v>0</v>
      </c>
      <c r="Z97" s="823"/>
      <c r="AA97" s="828"/>
      <c r="AB97" s="829">
        <f>'[1]Vystup. ukazovatele projektov'!O227</f>
        <v>0</v>
      </c>
      <c r="AC97" s="830">
        <f t="shared" si="22"/>
        <v>0</v>
      </c>
      <c r="AD97" s="831">
        <f t="shared" si="19"/>
        <v>0</v>
      </c>
      <c r="AE97" s="832"/>
      <c r="AF97" s="833"/>
    </row>
    <row r="98" spans="1:32" s="640" customFormat="1" ht="43.5" customHeight="1" x14ac:dyDescent="0.2">
      <c r="A98" s="1151"/>
      <c r="B98" s="1154"/>
      <c r="C98" s="1157"/>
      <c r="D98" s="1159"/>
      <c r="E98" s="1161"/>
      <c r="F98" s="1159"/>
      <c r="G98" s="1188"/>
      <c r="H98" s="1176"/>
      <c r="I98" s="815"/>
      <c r="J98" s="816" t="s">
        <v>1441</v>
      </c>
      <c r="K98" s="817" t="s">
        <v>1440</v>
      </c>
      <c r="L98" s="818" t="s">
        <v>464</v>
      </c>
      <c r="M98" s="819"/>
      <c r="N98" s="820"/>
      <c r="O98" s="821"/>
      <c r="P98" s="822">
        <f>'[1]Vystup. ukazovatele projektov'!M228</f>
        <v>0</v>
      </c>
      <c r="Q98" s="823">
        <f t="shared" si="17"/>
        <v>0</v>
      </c>
      <c r="R98" s="823"/>
      <c r="S98" s="824"/>
      <c r="T98" s="825">
        <f>'[1]Vystup. ukazovatele projektov'!K228</f>
        <v>0</v>
      </c>
      <c r="U98" s="826">
        <f t="shared" si="11"/>
        <v>0</v>
      </c>
      <c r="V98" s="826"/>
      <c r="W98" s="827"/>
      <c r="X98" s="827">
        <f>'[1]Vystup. ukazovatele projektov'!L228</f>
        <v>0</v>
      </c>
      <c r="Y98" s="826">
        <f t="shared" si="18"/>
        <v>0</v>
      </c>
      <c r="Z98" s="823"/>
      <c r="AA98" s="828"/>
      <c r="AB98" s="829">
        <f>'[1]Vystup. ukazovatele projektov'!O228</f>
        <v>0</v>
      </c>
      <c r="AC98" s="830">
        <f t="shared" si="22"/>
        <v>0</v>
      </c>
      <c r="AD98" s="831">
        <f t="shared" si="19"/>
        <v>0</v>
      </c>
      <c r="AE98" s="832"/>
      <c r="AF98" s="833"/>
    </row>
    <row r="99" spans="1:32" ht="43.5" customHeight="1" x14ac:dyDescent="0.2">
      <c r="A99" s="1151"/>
      <c r="B99" s="1154"/>
      <c r="C99" s="1157"/>
      <c r="D99" s="1159"/>
      <c r="E99" s="1161"/>
      <c r="F99" s="1159"/>
      <c r="G99" s="792" t="s">
        <v>2033</v>
      </c>
      <c r="H99" s="793" t="s">
        <v>2160</v>
      </c>
      <c r="I99" s="794" t="s">
        <v>195</v>
      </c>
      <c r="J99" s="794" t="s">
        <v>196</v>
      </c>
      <c r="K99" s="834" t="s">
        <v>458</v>
      </c>
      <c r="L99" s="835" t="s">
        <v>464</v>
      </c>
      <c r="M99" s="797">
        <v>30</v>
      </c>
      <c r="N99" s="798"/>
      <c r="O99" s="799"/>
      <c r="P99" s="800">
        <f>'[1]Vystup. ukazovatele projektov'!M229</f>
        <v>1</v>
      </c>
      <c r="Q99" s="801">
        <f t="shared" si="17"/>
        <v>3.3333333333333333E-2</v>
      </c>
      <c r="R99" s="801"/>
      <c r="S99" s="802"/>
      <c r="T99" s="803">
        <f>'[1]Vystup. ukazovatele projektov'!K229</f>
        <v>1</v>
      </c>
      <c r="U99" s="804">
        <f t="shared" si="11"/>
        <v>3.3333333333333333E-2</v>
      </c>
      <c r="V99" s="804"/>
      <c r="W99" s="805"/>
      <c r="X99" s="805">
        <f>'[1]Vystup. ukazovatele projektov'!L229</f>
        <v>1</v>
      </c>
      <c r="Y99" s="804">
        <f t="shared" si="18"/>
        <v>3.3333333333333333E-2</v>
      </c>
      <c r="Z99" s="801"/>
      <c r="AA99" s="806"/>
      <c r="AB99" s="807">
        <f>'[1]Vystup. ukazovatele projektov'!O229</f>
        <v>0</v>
      </c>
      <c r="AC99" s="808">
        <f t="shared" si="22"/>
        <v>1</v>
      </c>
      <c r="AD99" s="809">
        <f t="shared" si="19"/>
        <v>3.3333333333333333E-2</v>
      </c>
      <c r="AE99" s="810"/>
      <c r="AF99" s="811"/>
    </row>
    <row r="100" spans="1:32" ht="43.5" customHeight="1" x14ac:dyDescent="0.2">
      <c r="A100" s="1151"/>
      <c r="B100" s="1154"/>
      <c r="C100" s="1157"/>
      <c r="D100" s="1159"/>
      <c r="E100" s="1161" t="s">
        <v>75</v>
      </c>
      <c r="F100" s="1176" t="s">
        <v>2161</v>
      </c>
      <c r="G100" s="792" t="s">
        <v>2026</v>
      </c>
      <c r="H100" s="793" t="s">
        <v>2162</v>
      </c>
      <c r="I100" s="794" t="s">
        <v>84</v>
      </c>
      <c r="J100" s="794" t="s">
        <v>216</v>
      </c>
      <c r="K100" s="834" t="s">
        <v>215</v>
      </c>
      <c r="L100" s="835" t="s">
        <v>464</v>
      </c>
      <c r="M100" s="1177">
        <v>600</v>
      </c>
      <c r="N100" s="798"/>
      <c r="O100" s="799"/>
      <c r="P100" s="800">
        <f>'[1]Vystup. ukazovatele projektov'!M230</f>
        <v>0</v>
      </c>
      <c r="Q100" s="801">
        <f t="shared" si="17"/>
        <v>0</v>
      </c>
      <c r="R100" s="801"/>
      <c r="S100" s="802"/>
      <c r="T100" s="803">
        <f>'[1]Vystup. ukazovatele projektov'!K230</f>
        <v>0</v>
      </c>
      <c r="U100" s="804">
        <f t="shared" si="11"/>
        <v>0</v>
      </c>
      <c r="V100" s="804"/>
      <c r="W100" s="805"/>
      <c r="X100" s="805">
        <f>'[1]Vystup. ukazovatele projektov'!L230</f>
        <v>0</v>
      </c>
      <c r="Y100" s="804">
        <f t="shared" si="18"/>
        <v>0</v>
      </c>
      <c r="Z100" s="801"/>
      <c r="AA100" s="806"/>
      <c r="AB100" s="807">
        <f>'[1]Vystup. ukazovatele projektov'!O230</f>
        <v>0</v>
      </c>
      <c r="AC100" s="808">
        <f t="shared" si="22"/>
        <v>0</v>
      </c>
      <c r="AD100" s="809">
        <f t="shared" si="19"/>
        <v>0</v>
      </c>
      <c r="AE100" s="810"/>
      <c r="AF100" s="811"/>
    </row>
    <row r="101" spans="1:32" ht="43.5" customHeight="1" x14ac:dyDescent="0.2">
      <c r="A101" s="1151"/>
      <c r="B101" s="1154"/>
      <c r="C101" s="1157"/>
      <c r="D101" s="1159"/>
      <c r="E101" s="1161"/>
      <c r="F101" s="1176"/>
      <c r="G101" s="795" t="s">
        <v>2028</v>
      </c>
      <c r="H101" s="795" t="s">
        <v>2163</v>
      </c>
      <c r="I101" s="795" t="s">
        <v>84</v>
      </c>
      <c r="J101" s="836" t="s">
        <v>216</v>
      </c>
      <c r="K101" s="795" t="s">
        <v>215</v>
      </c>
      <c r="L101" s="835" t="s">
        <v>464</v>
      </c>
      <c r="M101" s="1178"/>
      <c r="N101" s="798"/>
      <c r="O101" s="799"/>
      <c r="P101" s="800">
        <f>'[1]Vystup. ukazovatele projektov'!M231</f>
        <v>0</v>
      </c>
      <c r="Q101" s="801">
        <f t="shared" si="17"/>
        <v>0</v>
      </c>
      <c r="R101" s="801"/>
      <c r="S101" s="802"/>
      <c r="T101" s="803">
        <f>'[1]Vystup. ukazovatele projektov'!K231</f>
        <v>0</v>
      </c>
      <c r="U101" s="804">
        <f t="shared" si="11"/>
        <v>0</v>
      </c>
      <c r="V101" s="804"/>
      <c r="W101" s="805"/>
      <c r="X101" s="805">
        <f>'[1]Vystup. ukazovatele projektov'!L231</f>
        <v>0</v>
      </c>
      <c r="Y101" s="804">
        <f t="shared" si="18"/>
        <v>0</v>
      </c>
      <c r="Z101" s="801"/>
      <c r="AA101" s="806"/>
      <c r="AB101" s="807">
        <f>'[1]Vystup. ukazovatele projektov'!O231</f>
        <v>0</v>
      </c>
      <c r="AC101" s="808">
        <f t="shared" si="22"/>
        <v>0</v>
      </c>
      <c r="AD101" s="809">
        <f t="shared" si="19"/>
        <v>0</v>
      </c>
      <c r="AE101" s="810"/>
      <c r="AF101" s="811"/>
    </row>
    <row r="102" spans="1:32" s="192" customFormat="1" ht="43.5" customHeight="1" thickBot="1" x14ac:dyDescent="0.3">
      <c r="A102" s="1152"/>
      <c r="B102" s="1155"/>
      <c r="C102" s="837"/>
      <c r="D102" s="837"/>
      <c r="E102" s="837"/>
      <c r="F102" s="837"/>
      <c r="G102" s="837"/>
      <c r="H102" s="837"/>
      <c r="I102" s="838" t="s">
        <v>189</v>
      </c>
      <c r="J102" s="839" t="s">
        <v>190</v>
      </c>
      <c r="K102" s="837"/>
      <c r="L102" s="838" t="s">
        <v>464</v>
      </c>
      <c r="M102" s="840">
        <v>20</v>
      </c>
      <c r="N102" s="840"/>
      <c r="O102" s="841"/>
      <c r="P102" s="842">
        <v>13</v>
      </c>
      <c r="Q102" s="843">
        <f t="shared" si="17"/>
        <v>0.65</v>
      </c>
      <c r="R102" s="843"/>
      <c r="S102" s="841"/>
      <c r="T102" s="844">
        <v>13</v>
      </c>
      <c r="U102" s="845">
        <f t="shared" si="11"/>
        <v>0.65</v>
      </c>
      <c r="V102" s="837"/>
      <c r="W102" s="837"/>
      <c r="X102" s="846">
        <v>13</v>
      </c>
      <c r="Y102" s="845">
        <f t="shared" si="18"/>
        <v>0.65</v>
      </c>
      <c r="Z102" s="847"/>
      <c r="AA102" s="848"/>
      <c r="AB102" s="849"/>
      <c r="AC102" s="850">
        <f>T102+AB102</f>
        <v>13</v>
      </c>
      <c r="AD102" s="851">
        <f t="shared" si="19"/>
        <v>0.65</v>
      </c>
      <c r="AE102" s="852"/>
      <c r="AF102" s="853"/>
    </row>
    <row r="103" spans="1:32" ht="13.5" thickTop="1" x14ac:dyDescent="0.2">
      <c r="K103" s="854"/>
      <c r="L103" s="855"/>
      <c r="M103" s="856"/>
      <c r="N103" s="856"/>
      <c r="O103" s="857"/>
      <c r="P103" s="854"/>
      <c r="Q103" s="857"/>
      <c r="R103" s="857"/>
      <c r="S103" s="857"/>
      <c r="T103" s="854"/>
      <c r="U103" s="854"/>
      <c r="V103" s="854"/>
      <c r="W103" s="854"/>
      <c r="X103" s="854"/>
      <c r="Y103" s="854"/>
      <c r="Z103" s="854"/>
      <c r="AA103" s="854"/>
      <c r="AB103" s="854"/>
      <c r="AC103" s="857"/>
      <c r="AD103" s="858"/>
      <c r="AE103" s="854"/>
      <c r="AF103" s="854"/>
    </row>
    <row r="104" spans="1:32" x14ac:dyDescent="0.2">
      <c r="K104" s="854"/>
      <c r="L104" s="855"/>
      <c r="M104" s="856"/>
      <c r="N104" s="856"/>
      <c r="O104" s="857"/>
      <c r="P104" s="854"/>
      <c r="Q104" s="857"/>
      <c r="R104" s="857"/>
      <c r="S104" s="857"/>
      <c r="T104" s="854"/>
      <c r="U104" s="854"/>
      <c r="V104" s="854"/>
      <c r="W104" s="854"/>
      <c r="X104" s="854"/>
      <c r="Y104" s="854"/>
      <c r="Z104" s="854"/>
      <c r="AA104" s="854"/>
      <c r="AB104" s="854"/>
      <c r="AC104" s="857"/>
      <c r="AD104" s="858"/>
      <c r="AE104" s="854"/>
      <c r="AF104" s="854"/>
    </row>
  </sheetData>
  <mergeCells count="112">
    <mergeCell ref="H29:H30"/>
    <mergeCell ref="G31:G32"/>
    <mergeCell ref="H31:H32"/>
    <mergeCell ref="E33:E35"/>
    <mergeCell ref="M100:M101"/>
    <mergeCell ref="G87:G88"/>
    <mergeCell ref="H87:H88"/>
    <mergeCell ref="G89:G91"/>
    <mergeCell ref="H89:H91"/>
    <mergeCell ref="G47:G48"/>
    <mergeCell ref="H47:H48"/>
    <mergeCell ref="E50:E51"/>
    <mergeCell ref="F50:F51"/>
    <mergeCell ref="B52:H52"/>
    <mergeCell ref="G54:G57"/>
    <mergeCell ref="H54:H57"/>
    <mergeCell ref="F53:F54"/>
    <mergeCell ref="G96:G98"/>
    <mergeCell ref="H96:H98"/>
    <mergeCell ref="C75:C80"/>
    <mergeCell ref="D75:D80"/>
    <mergeCell ref="E75:E80"/>
    <mergeCell ref="F75:F80"/>
    <mergeCell ref="G75:G80"/>
    <mergeCell ref="A94:A102"/>
    <mergeCell ref="B94:B102"/>
    <mergeCell ref="C94:C101"/>
    <mergeCell ref="D94:D101"/>
    <mergeCell ref="E94:E99"/>
    <mergeCell ref="F94:F99"/>
    <mergeCell ref="C81:C86"/>
    <mergeCell ref="D81:D86"/>
    <mergeCell ref="E81:E86"/>
    <mergeCell ref="F81:F86"/>
    <mergeCell ref="C87:C91"/>
    <mergeCell ref="D87:D91"/>
    <mergeCell ref="E87:E91"/>
    <mergeCell ref="F87:F91"/>
    <mergeCell ref="E100:E101"/>
    <mergeCell ref="F100:F101"/>
    <mergeCell ref="H75:H80"/>
    <mergeCell ref="F59:F63"/>
    <mergeCell ref="H59:H63"/>
    <mergeCell ref="C64:C74"/>
    <mergeCell ref="D64:D74"/>
    <mergeCell ref="E64:E74"/>
    <mergeCell ref="F64:F74"/>
    <mergeCell ref="G65:G74"/>
    <mergeCell ref="H65:H74"/>
    <mergeCell ref="F24:F28"/>
    <mergeCell ref="G26:G27"/>
    <mergeCell ref="H26:H27"/>
    <mergeCell ref="C29:C36"/>
    <mergeCell ref="D29:D36"/>
    <mergeCell ref="E29:E32"/>
    <mergeCell ref="F29:F32"/>
    <mergeCell ref="G29:G30"/>
    <mergeCell ref="A45:A52"/>
    <mergeCell ref="B45:B51"/>
    <mergeCell ref="C45:C51"/>
    <mergeCell ref="D45:D51"/>
    <mergeCell ref="E45:E46"/>
    <mergeCell ref="F45:F46"/>
    <mergeCell ref="E47:E49"/>
    <mergeCell ref="F47:F49"/>
    <mergeCell ref="B37:H37"/>
    <mergeCell ref="A38:A44"/>
    <mergeCell ref="B38:B43"/>
    <mergeCell ref="C38:C43"/>
    <mergeCell ref="D38:D43"/>
    <mergeCell ref="E38:E42"/>
    <mergeCell ref="F38:F42"/>
    <mergeCell ref="B44:H44"/>
    <mergeCell ref="A11:A37"/>
    <mergeCell ref="B11:B36"/>
    <mergeCell ref="C11:C15"/>
    <mergeCell ref="D11:D15"/>
    <mergeCell ref="E11:E15"/>
    <mergeCell ref="L9:L10"/>
    <mergeCell ref="M9:M10"/>
    <mergeCell ref="N9:N10"/>
    <mergeCell ref="O9:O10"/>
    <mergeCell ref="F11:F15"/>
    <mergeCell ref="G13:G14"/>
    <mergeCell ref="H13:H14"/>
    <mergeCell ref="D16:D23"/>
    <mergeCell ref="E18:E23"/>
    <mergeCell ref="F18:F23"/>
    <mergeCell ref="G18:G20"/>
    <mergeCell ref="H18:H20"/>
    <mergeCell ref="G22:G23"/>
    <mergeCell ref="H22:H23"/>
    <mergeCell ref="F33:F35"/>
    <mergeCell ref="G33:G35"/>
    <mergeCell ref="H33:H35"/>
    <mergeCell ref="C24:C28"/>
    <mergeCell ref="D24:D28"/>
    <mergeCell ref="B4:E4"/>
    <mergeCell ref="P7:S7"/>
    <mergeCell ref="P8:AF8"/>
    <mergeCell ref="A9:B10"/>
    <mergeCell ref="C9:D10"/>
    <mergeCell ref="E9:F10"/>
    <mergeCell ref="G9:H10"/>
    <mergeCell ref="I9:J10"/>
    <mergeCell ref="K9:K10"/>
    <mergeCell ref="AB9:AB10"/>
    <mergeCell ref="AC9:AD9"/>
    <mergeCell ref="AE9:AE10"/>
    <mergeCell ref="AF9:AF10"/>
    <mergeCell ref="P9:S9"/>
    <mergeCell ref="T9:AA9"/>
  </mergeCells>
  <conditionalFormatting sqref="I1:I1048576">
    <cfRule type="duplicateValues" dxfId="20" priority="1"/>
  </conditionalFormatting>
  <pageMargins left="0.25" right="0.25" top="0.75" bottom="0.75" header="0.3" footer="0.3"/>
  <pageSetup paperSize="8" scale="45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17"/>
  <sheetViews>
    <sheetView zoomScaleNormal="100" workbookViewId="0">
      <pane xSplit="1" ySplit="4" topLeftCell="B176" activePane="bottomRight" state="frozen"/>
      <selection pane="topRight" activeCell="B1" sqref="B1"/>
      <selection pane="bottomLeft" activeCell="A5" sqref="A5"/>
      <selection pane="bottomRight" activeCell="H190" sqref="H190"/>
    </sheetView>
  </sheetViews>
  <sheetFormatPr defaultRowHeight="15" x14ac:dyDescent="0.25"/>
  <cols>
    <col min="1" max="1" width="10.85546875" style="55" bestFit="1" customWidth="1"/>
    <col min="2" max="2" width="22.140625" bestFit="1" customWidth="1"/>
    <col min="3" max="3" width="22" bestFit="1" customWidth="1"/>
    <col min="4" max="4" width="36.42578125" bestFit="1" customWidth="1"/>
    <col min="5" max="5" width="9" bestFit="1" customWidth="1"/>
    <col min="6" max="6" width="11.7109375" bestFit="1" customWidth="1"/>
    <col min="7" max="7" width="12.85546875" bestFit="1" customWidth="1"/>
    <col min="8" max="8" width="11.42578125" customWidth="1"/>
    <col min="9" max="69" width="11.42578125" style="17" customWidth="1"/>
  </cols>
  <sheetData>
    <row r="1" spans="1:70" ht="57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199" t="s">
        <v>200</v>
      </c>
      <c r="I1" s="1200"/>
      <c r="J1" s="102"/>
      <c r="K1" s="1199" t="s">
        <v>200</v>
      </c>
      <c r="L1" s="1200"/>
      <c r="M1" s="102"/>
      <c r="N1" s="1199" t="s">
        <v>202</v>
      </c>
      <c r="O1" s="1200"/>
      <c r="P1" s="102"/>
      <c r="Q1" s="1199" t="s">
        <v>204</v>
      </c>
      <c r="R1" s="1200"/>
      <c r="S1" s="102"/>
      <c r="T1" s="1199" t="s">
        <v>206</v>
      </c>
      <c r="U1" s="1200"/>
      <c r="V1" s="102"/>
      <c r="W1" s="1199" t="s">
        <v>208</v>
      </c>
      <c r="X1" s="1200"/>
      <c r="Y1" s="102"/>
      <c r="Z1" s="1199" t="s">
        <v>210</v>
      </c>
      <c r="AA1" s="1200"/>
      <c r="AB1" s="102"/>
      <c r="AC1" s="1199" t="s">
        <v>210</v>
      </c>
      <c r="AD1" s="1200"/>
      <c r="AE1" s="102"/>
      <c r="AF1" s="1199" t="s">
        <v>210</v>
      </c>
      <c r="AG1" s="1200"/>
      <c r="AH1" s="102"/>
      <c r="AI1" s="1199" t="s">
        <v>212</v>
      </c>
      <c r="AJ1" s="1200"/>
      <c r="AK1" s="102"/>
      <c r="AL1" s="1199" t="s">
        <v>214</v>
      </c>
      <c r="AM1" s="1200"/>
      <c r="AN1" s="102"/>
      <c r="AO1" s="1199" t="s">
        <v>216</v>
      </c>
      <c r="AP1" s="1200"/>
      <c r="AQ1" s="102"/>
      <c r="AR1" s="1199" t="s">
        <v>216</v>
      </c>
      <c r="AS1" s="1200"/>
      <c r="AT1" s="102"/>
      <c r="AU1" s="1199" t="s">
        <v>216</v>
      </c>
      <c r="AV1" s="1200"/>
      <c r="AW1" s="102"/>
      <c r="AX1" s="1199" t="s">
        <v>83</v>
      </c>
      <c r="AY1" s="1200"/>
      <c r="AZ1" s="102"/>
      <c r="BA1" s="1199" t="s">
        <v>79</v>
      </c>
      <c r="BB1" s="1200"/>
      <c r="BC1" s="102"/>
      <c r="BD1" s="1199" t="s">
        <v>81</v>
      </c>
      <c r="BE1" s="1200"/>
      <c r="BF1" s="102"/>
      <c r="BG1" s="1199" t="s">
        <v>81</v>
      </c>
      <c r="BH1" s="1200"/>
      <c r="BI1" s="102"/>
      <c r="BJ1" s="1199" t="s">
        <v>77</v>
      </c>
      <c r="BK1" s="1200"/>
      <c r="BL1" s="102"/>
      <c r="BM1" s="1199" t="s">
        <v>77</v>
      </c>
      <c r="BN1" s="1200"/>
      <c r="BO1" s="102"/>
      <c r="BP1" s="1199" t="s">
        <v>222</v>
      </c>
      <c r="BQ1" s="1200"/>
    </row>
    <row r="2" spans="1:70" x14ac:dyDescent="0.25">
      <c r="A2" s="1203"/>
      <c r="B2" s="1203"/>
      <c r="C2" s="1203"/>
      <c r="D2" s="1203"/>
      <c r="E2" s="1203"/>
      <c r="F2" s="1203"/>
      <c r="G2" s="1201"/>
      <c r="H2" s="1195" t="s">
        <v>199</v>
      </c>
      <c r="I2" s="1196"/>
      <c r="J2" s="133"/>
      <c r="K2" s="1195" t="s">
        <v>199</v>
      </c>
      <c r="L2" s="1196"/>
      <c r="M2" s="133"/>
      <c r="N2" s="1197" t="s">
        <v>201</v>
      </c>
      <c r="O2" s="1198"/>
      <c r="P2" s="103"/>
      <c r="Q2" s="1197" t="s">
        <v>203</v>
      </c>
      <c r="R2" s="1198"/>
      <c r="S2" s="103"/>
      <c r="T2" s="1197" t="s">
        <v>205</v>
      </c>
      <c r="U2" s="1198"/>
      <c r="V2" s="103"/>
      <c r="W2" s="1197" t="s">
        <v>207</v>
      </c>
      <c r="X2" s="1198"/>
      <c r="Y2" s="103"/>
      <c r="Z2" s="1195" t="s">
        <v>209</v>
      </c>
      <c r="AA2" s="1196"/>
      <c r="AB2" s="133"/>
      <c r="AC2" s="1195" t="s">
        <v>209</v>
      </c>
      <c r="AD2" s="1196"/>
      <c r="AE2" s="133"/>
      <c r="AF2" s="1195" t="s">
        <v>209</v>
      </c>
      <c r="AG2" s="1196"/>
      <c r="AH2" s="133"/>
      <c r="AI2" s="1197" t="s">
        <v>211</v>
      </c>
      <c r="AJ2" s="1198"/>
      <c r="AK2" s="103"/>
      <c r="AL2" s="1197" t="s">
        <v>213</v>
      </c>
      <c r="AM2" s="1198"/>
      <c r="AN2" s="103"/>
      <c r="AO2" s="1195" t="s">
        <v>215</v>
      </c>
      <c r="AP2" s="1196"/>
      <c r="AQ2" s="133"/>
      <c r="AR2" s="1195" t="s">
        <v>215</v>
      </c>
      <c r="AS2" s="1196"/>
      <c r="AT2" s="133"/>
      <c r="AU2" s="1195" t="s">
        <v>215</v>
      </c>
      <c r="AV2" s="1196"/>
      <c r="AW2" s="133"/>
      <c r="AX2" s="1197" t="s">
        <v>217</v>
      </c>
      <c r="AY2" s="1198"/>
      <c r="AZ2" s="103"/>
      <c r="BA2" s="1197" t="s">
        <v>218</v>
      </c>
      <c r="BB2" s="1198"/>
      <c r="BC2" s="103"/>
      <c r="BD2" s="1195" t="s">
        <v>219</v>
      </c>
      <c r="BE2" s="1196"/>
      <c r="BF2" s="133"/>
      <c r="BG2" s="1195" t="s">
        <v>219</v>
      </c>
      <c r="BH2" s="1196"/>
      <c r="BI2" s="133"/>
      <c r="BJ2" s="1195" t="s">
        <v>220</v>
      </c>
      <c r="BK2" s="1196"/>
      <c r="BL2" s="133"/>
      <c r="BM2" s="1195" t="s">
        <v>220</v>
      </c>
      <c r="BN2" s="1196"/>
      <c r="BO2" s="133"/>
      <c r="BP2" s="1197" t="s">
        <v>221</v>
      </c>
      <c r="BQ2" s="1198"/>
    </row>
    <row r="3" spans="1:70" x14ac:dyDescent="0.25">
      <c r="A3" s="1203"/>
      <c r="B3" s="1203"/>
      <c r="C3" s="1203"/>
      <c r="D3" s="1203"/>
      <c r="E3" s="1203"/>
      <c r="F3" s="1203"/>
      <c r="G3" s="1201"/>
      <c r="H3" s="1197" t="s">
        <v>539</v>
      </c>
      <c r="I3" s="1198"/>
      <c r="J3" s="103"/>
      <c r="K3" s="1197" t="s">
        <v>537</v>
      </c>
      <c r="L3" s="1198"/>
      <c r="M3" s="103"/>
      <c r="N3" s="1197" t="s">
        <v>537</v>
      </c>
      <c r="O3" s="1198"/>
      <c r="P3" s="103"/>
      <c r="Q3" s="1197" t="s">
        <v>539</v>
      </c>
      <c r="R3" s="1198"/>
      <c r="S3" s="103"/>
      <c r="T3" s="1197" t="s">
        <v>539</v>
      </c>
      <c r="U3" s="1198"/>
      <c r="V3" s="103"/>
      <c r="W3" s="1197" t="s">
        <v>539</v>
      </c>
      <c r="X3" s="1198"/>
      <c r="Y3" s="103"/>
      <c r="Z3" s="1197" t="s">
        <v>536</v>
      </c>
      <c r="AA3" s="1198"/>
      <c r="AB3" s="103"/>
      <c r="AC3" s="1197" t="s">
        <v>539</v>
      </c>
      <c r="AD3" s="1198"/>
      <c r="AE3" s="103"/>
      <c r="AF3" s="1197" t="s">
        <v>537</v>
      </c>
      <c r="AG3" s="1198"/>
      <c r="AH3" s="103"/>
      <c r="AI3" s="1197" t="s">
        <v>536</v>
      </c>
      <c r="AJ3" s="1198"/>
      <c r="AK3" s="103"/>
      <c r="AL3" s="1197" t="s">
        <v>539</v>
      </c>
      <c r="AM3" s="1198"/>
      <c r="AN3" s="103"/>
      <c r="AO3" s="1197" t="s">
        <v>536</v>
      </c>
      <c r="AP3" s="1198"/>
      <c r="AQ3" s="103"/>
      <c r="AR3" s="1197" t="s">
        <v>539</v>
      </c>
      <c r="AS3" s="1198"/>
      <c r="AT3" s="103"/>
      <c r="AU3" s="1197" t="s">
        <v>537</v>
      </c>
      <c r="AV3" s="1198"/>
      <c r="AW3" s="103"/>
      <c r="AX3" s="1197" t="s">
        <v>556</v>
      </c>
      <c r="AY3" s="1198"/>
      <c r="AZ3" s="103"/>
      <c r="BA3" s="1197" t="s">
        <v>539</v>
      </c>
      <c r="BB3" s="1198"/>
      <c r="BC3" s="103"/>
      <c r="BD3" s="1197" t="s">
        <v>539</v>
      </c>
      <c r="BE3" s="1198"/>
      <c r="BF3" s="103"/>
      <c r="BG3" s="1197" t="s">
        <v>537</v>
      </c>
      <c r="BH3" s="1198"/>
      <c r="BI3" s="103"/>
      <c r="BJ3" s="1197" t="s">
        <v>539</v>
      </c>
      <c r="BK3" s="1198"/>
      <c r="BL3" s="103"/>
      <c r="BM3" s="1197" t="s">
        <v>537</v>
      </c>
      <c r="BN3" s="1198"/>
      <c r="BO3" s="103"/>
      <c r="BP3" s="1197" t="s">
        <v>539</v>
      </c>
      <c r="BQ3" s="1198"/>
    </row>
    <row r="4" spans="1:70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  <c r="BG4" s="16" t="s">
        <v>603</v>
      </c>
      <c r="BH4" s="16" t="s">
        <v>604</v>
      </c>
      <c r="BI4" s="104">
        <v>43465</v>
      </c>
      <c r="BJ4" s="16" t="s">
        <v>603</v>
      </c>
      <c r="BK4" s="16" t="s">
        <v>604</v>
      </c>
      <c r="BL4" s="104">
        <v>43465</v>
      </c>
      <c r="BM4" s="16" t="s">
        <v>603</v>
      </c>
      <c r="BN4" s="16" t="s">
        <v>604</v>
      </c>
      <c r="BO4" s="104">
        <v>43465</v>
      </c>
      <c r="BP4" s="16" t="s">
        <v>603</v>
      </c>
      <c r="BQ4" s="16" t="s">
        <v>604</v>
      </c>
      <c r="BR4" s="104">
        <v>43465</v>
      </c>
    </row>
    <row r="5" spans="1:70" ht="25.5" x14ac:dyDescent="0.25">
      <c r="A5" s="15" t="s">
        <v>599</v>
      </c>
      <c r="B5" s="2" t="str">
        <f>VLOOKUP($A5,[2]Projekty!$A$2:$AR$1147,4,0)</f>
        <v>OPKZP-PO1-SC111-2016-FN</v>
      </c>
      <c r="C5" s="2" t="str">
        <f>VLOOKUP($A5,[2]Projekty!$A$2:$AR$1147,6,0)</f>
        <v>SZRB Asset Management, a.s.</v>
      </c>
      <c r="D5" s="2" t="str">
        <f>VLOOKUP($A5,[2]Projekty!$A$2:$AR$1147,7,0)</f>
        <v>Investovanie do sektora odpadového hospodárstva</v>
      </c>
      <c r="E5" s="2" t="str">
        <f>VLOOKUP($A5,[2]Projekty!$A$2:$AR$1147,9,0)</f>
        <v>všetky kraje</v>
      </c>
      <c r="F5" s="2" t="str">
        <f>VLOOKUP($A5,[2]Projekty!$A$2:$AR$1147,14,0)</f>
        <v>Aktivity nezačaté</v>
      </c>
      <c r="G5" s="61">
        <f>VLOOKUP($A5,'[2]Dĺžka realizácie'!$A$2:$AR$1148,8,0)</f>
        <v>45291</v>
      </c>
      <c r="H5" s="60"/>
      <c r="I5" s="18"/>
      <c r="J5" s="18" t="str">
        <f>IF(H5="","",IF($F5="riadne ukončený",I5,IF($G5&lt;=J$4,H5,0)))</f>
        <v/>
      </c>
      <c r="K5" s="18"/>
      <c r="L5" s="18"/>
      <c r="M5" s="18" t="str">
        <f>IF(K5="","",IF($F5="riadne ukončený",L5,IF($G5&lt;=M$4,K5,0)))</f>
        <v/>
      </c>
      <c r="N5" s="18"/>
      <c r="O5" s="18"/>
      <c r="P5" s="18" t="str">
        <f>IF(N5="","",IF($F5="riadne ukončený",O5,IF($G5&lt;=P$4,N5,0)))</f>
        <v/>
      </c>
      <c r="Q5" s="18"/>
      <c r="R5" s="18"/>
      <c r="S5" s="18" t="str">
        <f>IF(Q5="","",IF($F5="riadne ukončený",R5,IF($G5&lt;=S$4,Q5,0)))</f>
        <v/>
      </c>
      <c r="T5" s="18"/>
      <c r="U5" s="18"/>
      <c r="V5" s="18" t="str">
        <f>IF(T5="","",IF($F5="riadne ukončený",U5,IF($G5&lt;=V$4,T5,0)))</f>
        <v/>
      </c>
      <c r="W5" s="18"/>
      <c r="X5" s="18"/>
      <c r="Y5" s="18" t="str">
        <f>IF(W5="","",IF($F5="riadne ukončený",X5,IF($G5&lt;=Y$4,W5,0)))</f>
        <v/>
      </c>
      <c r="Z5" s="18"/>
      <c r="AA5" s="18"/>
      <c r="AB5" s="18" t="str">
        <f>IF(Z5="","",IF($F5="riadne ukončený",AA5,IF($G5&lt;=AB$4,Z5,0)))</f>
        <v/>
      </c>
      <c r="AC5" s="18"/>
      <c r="AD5" s="18"/>
      <c r="AE5" s="18" t="str">
        <f>IF(AC5="","",IF($F5="riadne ukončený",AD5,IF($G5&lt;=AE$4,AC5,0)))</f>
        <v/>
      </c>
      <c r="AF5" s="18"/>
      <c r="AG5" s="18"/>
      <c r="AH5" s="18" t="str">
        <f>IF(AF5="","",IF($F5="riadne ukončený",AG5,IF($G5&lt;=AH$4,AF5,0)))</f>
        <v/>
      </c>
      <c r="AI5" s="18"/>
      <c r="AJ5" s="18"/>
      <c r="AK5" s="18" t="str">
        <f>IF(AI5="","",IF($F5="riadne ukončený",AJ5,IF($G5&lt;=AK$4,AI5,0)))</f>
        <v/>
      </c>
      <c r="AL5" s="18"/>
      <c r="AM5" s="18"/>
      <c r="AN5" s="18" t="str">
        <f>IF(AL5="","",IF($F5="riadne ukončený",AM5,IF($G5&lt;=AN$4,AL5,0)))</f>
        <v/>
      </c>
      <c r="AO5" s="18"/>
      <c r="AP5" s="18"/>
      <c r="AQ5" s="18" t="str">
        <f>IF(AO5="","",IF($F5="riadne ukončený",AP5,IF($G5&lt;=AQ$4,AO5,0)))</f>
        <v/>
      </c>
      <c r="AR5" s="18"/>
      <c r="AS5" s="18"/>
      <c r="AT5" s="18" t="str">
        <f>IF(AR5="","",IF($F5="riadne ukončený",AS5,IF($G5&lt;=AT$4,AR5,0)))</f>
        <v/>
      </c>
      <c r="AU5" s="18"/>
      <c r="AV5" s="18"/>
      <c r="AW5" s="18" t="str">
        <f>IF(AU5="","",IF($F5="riadne ukončený",AV5,IF($G5&lt;=AW$4,AU5,0)))</f>
        <v/>
      </c>
      <c r="AX5" s="18"/>
      <c r="AY5" s="18"/>
      <c r="AZ5" s="18" t="str">
        <f>IF(AX5="","",IF($F5="riadne ukončený",AY5,IF($G5&lt;=AZ$4,AX5,0)))</f>
        <v/>
      </c>
      <c r="BA5" s="18">
        <v>3571</v>
      </c>
      <c r="BB5" s="18">
        <v>0</v>
      </c>
      <c r="BC5" s="18">
        <f>IF(BA5="","",IF($F5="riadne ukončený",BB5,IF($G5&lt;=BC$4,BA5,0)))</f>
        <v>0</v>
      </c>
      <c r="BD5" s="18">
        <v>26852</v>
      </c>
      <c r="BE5" s="18">
        <v>0</v>
      </c>
      <c r="BF5" s="18">
        <f>IF(BD5="","",IF($F5="riadne ukončený",BE5,IF($G5&lt;=BF$4,BD5,0)))</f>
        <v>0</v>
      </c>
      <c r="BG5" s="18">
        <v>26852</v>
      </c>
      <c r="BH5" s="18">
        <v>0</v>
      </c>
      <c r="BI5" s="18">
        <f>IF(BG5="","",IF($F5="riadne ukončený",BH5,IF($G5&lt;=BI$4,BG5,0)))</f>
        <v>0</v>
      </c>
      <c r="BJ5" s="18">
        <v>16085</v>
      </c>
      <c r="BK5" s="18">
        <v>0</v>
      </c>
      <c r="BL5" s="18">
        <f>IF(BJ5="","",IF($F5="riadne ukončený",BK5,IF($G5&lt;=BL$4,BJ5,0)))</f>
        <v>0</v>
      </c>
      <c r="BM5" s="18">
        <v>16085</v>
      </c>
      <c r="BN5" s="18">
        <v>0</v>
      </c>
      <c r="BO5" s="18">
        <f>IF(BM5="","",IF($F5="riadne ukončený",BN5,IF($G5&lt;=BO$4,BM5,0)))</f>
        <v>0</v>
      </c>
      <c r="BP5" s="18"/>
      <c r="BQ5" s="18"/>
      <c r="BR5" s="18" t="str">
        <f>IF(BP5="","",IF($F5="riadne ukončený",BQ5,IF($G5&lt;=BR$4,BP5,0)))</f>
        <v/>
      </c>
    </row>
    <row r="6" spans="1:70" x14ac:dyDescent="0.25">
      <c r="A6" s="15" t="s">
        <v>831</v>
      </c>
      <c r="B6" s="2" t="str">
        <f>VLOOKUP($A6,[2]Projekty!$A$2:$AR$1147,4,0)</f>
        <v>OPKZP-PO1-SC111-2016-10</v>
      </c>
      <c r="C6" s="2" t="str">
        <f>VLOOKUP($A6,[2]Projekty!$A$2:$AR$1147,6,0)</f>
        <v>Obec Veľké Ludince</v>
      </c>
      <c r="D6" s="2" t="str">
        <f>VLOOKUP($A6,[2]Projekty!$A$2:$AR$1147,7,0)</f>
        <v>Zberný dvor odpadu Veľké Ludince</v>
      </c>
      <c r="E6" s="2" t="str">
        <f>VLOOKUP($A6,[2]Projekty!$A$2:$AR$1147,9,0)</f>
        <v>NR</v>
      </c>
      <c r="F6" s="2" t="str">
        <f>VLOOKUP($A6,[2]Projekty!$A$2:$AR$1147,14,0)</f>
        <v>Realizácia</v>
      </c>
      <c r="G6" s="61">
        <f>VLOOKUP($A6,'[2]Dĺžka realizácie'!$A$2:$AR$1148,8,0)</f>
        <v>43131</v>
      </c>
      <c r="H6" s="18"/>
      <c r="I6" s="18"/>
      <c r="J6" s="18" t="str">
        <f t="shared" ref="J6:J69" si="0">IF(H6="","",IF($F6="riadne ukončený",I6,IF($G6&lt;=J$4,H6,0)))</f>
        <v/>
      </c>
      <c r="K6" s="18"/>
      <c r="L6" s="18"/>
      <c r="M6" s="18" t="str">
        <f t="shared" ref="M6:M69" si="1">IF(K6="","",IF($F6="riadne ukončený",L6,IF($G6&lt;=M$4,K6,0)))</f>
        <v/>
      </c>
      <c r="N6" s="18"/>
      <c r="O6" s="18"/>
      <c r="P6" s="18" t="str">
        <f t="shared" ref="P6:P69" si="2">IF(N6="","",IF($F6="riadne ukončený",O6,IF($G6&lt;=P$4,N6,0)))</f>
        <v/>
      </c>
      <c r="Q6" s="18"/>
      <c r="R6" s="18"/>
      <c r="S6" s="18" t="str">
        <f t="shared" ref="S6:S69" si="3">IF(Q6="","",IF($F6="riadne ukončený",R6,IF($G6&lt;=S$4,Q6,0)))</f>
        <v/>
      </c>
      <c r="T6" s="18">
        <v>540</v>
      </c>
      <c r="U6" s="18"/>
      <c r="V6" s="18">
        <f t="shared" ref="V6:V69" si="4">IF(T6="","",IF($F6="riadne ukončený",U6,IF($G6&lt;=V$4,T6,0)))</f>
        <v>540</v>
      </c>
      <c r="W6" s="18"/>
      <c r="X6" s="18"/>
      <c r="Y6" s="18" t="str">
        <f t="shared" ref="Y6:Y69" si="5">IF(W6="","",IF($F6="riadne ukončený",X6,IF($G6&lt;=Y$4,W6,0)))</f>
        <v/>
      </c>
      <c r="Z6" s="18"/>
      <c r="AA6" s="18"/>
      <c r="AB6" s="18" t="str">
        <f t="shared" ref="AB6:AB69" si="6">IF(Z6="","",IF($F6="riadne ukončený",AA6,IF($G6&lt;=AB$4,Z6,0)))</f>
        <v/>
      </c>
      <c r="AC6" s="18">
        <v>1200</v>
      </c>
      <c r="AD6" s="18"/>
      <c r="AE6" s="18">
        <f t="shared" ref="AE6:AE69" si="7">IF(AC6="","",IF($F6="riadne ukončený",AD6,IF($G6&lt;=AE$4,AC6,0)))</f>
        <v>1200</v>
      </c>
      <c r="AF6" s="18"/>
      <c r="AG6" s="18"/>
      <c r="AH6" s="18" t="str">
        <f t="shared" ref="AH6:AH69" si="8">IF(AF6="","",IF($F6="riadne ukončený",AG6,IF($G6&lt;=AH$4,AF6,0)))</f>
        <v/>
      </c>
      <c r="AI6" s="18"/>
      <c r="AJ6" s="18"/>
      <c r="AK6" s="18" t="str">
        <f t="shared" ref="AK6:AK69" si="9">IF(AI6="","",IF($F6="riadne ukončený",AJ6,IF($G6&lt;=AK$4,AI6,0)))</f>
        <v/>
      </c>
      <c r="AL6" s="18"/>
      <c r="AM6" s="18"/>
      <c r="AN6" s="18" t="str">
        <f t="shared" ref="AN6:AN69" si="10">IF(AL6="","",IF($F6="riadne ukončený",AM6,IF($G6&lt;=AN$4,AL6,0)))</f>
        <v/>
      </c>
      <c r="AO6" s="18"/>
      <c r="AP6" s="18"/>
      <c r="AQ6" s="18" t="str">
        <f t="shared" ref="AQ6:AQ69" si="11">IF(AO6="","",IF($F6="riadne ukončený",AP6,IF($G6&lt;=AQ$4,AO6,0)))</f>
        <v/>
      </c>
      <c r="AR6" s="18">
        <v>5</v>
      </c>
      <c r="AS6" s="18"/>
      <c r="AT6" s="18">
        <f t="shared" ref="AT6:AT69" si="12">IF(AR6="","",IF($F6="riadne ukončený",AS6,IF($G6&lt;=AT$4,AR6,0)))</f>
        <v>5</v>
      </c>
      <c r="AU6" s="18"/>
      <c r="AV6" s="18"/>
      <c r="AW6" s="18" t="str">
        <f t="shared" ref="AW6:AW69" si="13">IF(AU6="","",IF($F6="riadne ukončený",AV6,IF($G6&lt;=AW$4,AU6,0)))</f>
        <v/>
      </c>
      <c r="AX6" s="18"/>
      <c r="AY6" s="18"/>
      <c r="AZ6" s="18" t="str">
        <f t="shared" ref="AZ6:AZ69" si="14">IF(AX6="","",IF($F6="riadne ukončený",AY6,IF($G6&lt;=AZ$4,AX6,0)))</f>
        <v/>
      </c>
      <c r="BA6" s="18">
        <v>540</v>
      </c>
      <c r="BB6" s="18"/>
      <c r="BC6" s="18">
        <f t="shared" ref="BC6:BC69" si="15">IF(BA6="","",IF($F6="riadne ukončený",BB6,IF($G6&lt;=BC$4,BA6,0)))</f>
        <v>540</v>
      </c>
      <c r="BD6" s="18"/>
      <c r="BE6" s="18"/>
      <c r="BF6" s="18" t="str">
        <f t="shared" ref="BF6:BF69" si="16">IF(BD6="","",IF($F6="riadne ukončený",BE6,IF($G6&lt;=BF$4,BD6,0)))</f>
        <v/>
      </c>
      <c r="BG6" s="18"/>
      <c r="BH6" s="18"/>
      <c r="BI6" s="18" t="str">
        <f t="shared" ref="BI6:BI69" si="17">IF(BG6="","",IF($F6="riadne ukončený",BH6,IF($G6&lt;=BI$4,BG6,0)))</f>
        <v/>
      </c>
      <c r="BJ6" s="18"/>
      <c r="BK6" s="18"/>
      <c r="BL6" s="18" t="str">
        <f t="shared" ref="BL6:BL69" si="18">IF(BJ6="","",IF($F6="riadne ukončený",BK6,IF($G6&lt;=BL$4,BJ6,0)))</f>
        <v/>
      </c>
      <c r="BM6" s="18"/>
      <c r="BN6" s="18"/>
      <c r="BO6" s="18" t="str">
        <f t="shared" ref="BO6:BO69" si="19">IF(BM6="","",IF($F6="riadne ukončený",BN6,IF($G6&lt;=BO$4,BM6,0)))</f>
        <v/>
      </c>
      <c r="BP6" s="18"/>
      <c r="BQ6" s="18"/>
      <c r="BR6" s="18" t="str">
        <f t="shared" ref="BR6:BR69" si="20">IF(BP6="","",IF($F6="riadne ukončený",BQ6,IF($G6&lt;=BR$4,BP6,0)))</f>
        <v/>
      </c>
    </row>
    <row r="7" spans="1:70" ht="25.5" x14ac:dyDescent="0.25">
      <c r="A7" s="2" t="s">
        <v>772</v>
      </c>
      <c r="B7" s="2" t="str">
        <f>VLOOKUP($A7,[2]Projekty!$A$2:$AR$1147,4,0)</f>
        <v>OPKZP-PO1-SC111-2016-10</v>
      </c>
      <c r="C7" s="2" t="str">
        <f>VLOOKUP($A7,[2]Projekty!$A$2:$AR$1147,6,0)</f>
        <v>Mesto Šahy</v>
      </c>
      <c r="D7" s="2" t="str">
        <f>VLOOKUP($A7,[2]Projekty!$A$2:$AR$1147,7,0)</f>
        <v>Triedený zber biologicky rozložiteľného odpadu Šahy</v>
      </c>
      <c r="E7" s="2" t="str">
        <f>VLOOKUP($A7,[2]Projekty!$A$2:$AR$1147,9,0)</f>
        <v>NR</v>
      </c>
      <c r="F7" s="2" t="str">
        <f>VLOOKUP($A7,[2]Projekty!$A$2:$AR$1147,14,0)</f>
        <v>Aktivity nezačaté</v>
      </c>
      <c r="G7" s="61">
        <f>VLOOKUP($A7,'[2]Dĺžka realizácie'!$A$2:$AR$1148,8,0)</f>
        <v>43343</v>
      </c>
      <c r="H7" s="18"/>
      <c r="I7" s="18"/>
      <c r="J7" s="18" t="str">
        <f t="shared" si="0"/>
        <v/>
      </c>
      <c r="K7" s="18"/>
      <c r="L7" s="18"/>
      <c r="M7" s="18" t="str">
        <f t="shared" si="1"/>
        <v/>
      </c>
      <c r="N7" s="18"/>
      <c r="O7" s="18"/>
      <c r="P7" s="18" t="str">
        <f t="shared" si="2"/>
        <v/>
      </c>
      <c r="Q7" s="18"/>
      <c r="R7" s="18"/>
      <c r="S7" s="18" t="str">
        <f t="shared" si="3"/>
        <v/>
      </c>
      <c r="T7" s="18">
        <v>450</v>
      </c>
      <c r="U7" s="18"/>
      <c r="V7" s="18">
        <f t="shared" si="4"/>
        <v>450</v>
      </c>
      <c r="W7" s="18"/>
      <c r="X7" s="18"/>
      <c r="Y7" s="18" t="str">
        <f t="shared" si="5"/>
        <v/>
      </c>
      <c r="Z7" s="18"/>
      <c r="AA7" s="18"/>
      <c r="AB7" s="18" t="str">
        <f t="shared" si="6"/>
        <v/>
      </c>
      <c r="AC7" s="18"/>
      <c r="AD7" s="18"/>
      <c r="AE7" s="18" t="str">
        <f t="shared" si="7"/>
        <v/>
      </c>
      <c r="AF7" s="18"/>
      <c r="AG7" s="18"/>
      <c r="AH7" s="18" t="str">
        <f t="shared" si="8"/>
        <v/>
      </c>
      <c r="AI7" s="18"/>
      <c r="AJ7" s="18"/>
      <c r="AK7" s="18" t="str">
        <f t="shared" si="9"/>
        <v/>
      </c>
      <c r="AL7" s="18"/>
      <c r="AM7" s="18"/>
      <c r="AN7" s="18" t="str">
        <f t="shared" si="10"/>
        <v/>
      </c>
      <c r="AO7" s="18"/>
      <c r="AP7" s="18"/>
      <c r="AQ7" s="18" t="str">
        <f t="shared" si="11"/>
        <v/>
      </c>
      <c r="AR7" s="18"/>
      <c r="AS7" s="18"/>
      <c r="AT7" s="18" t="str">
        <f t="shared" si="12"/>
        <v/>
      </c>
      <c r="AU7" s="18"/>
      <c r="AV7" s="18"/>
      <c r="AW7" s="18" t="str">
        <f t="shared" si="13"/>
        <v/>
      </c>
      <c r="AX7" s="18"/>
      <c r="AY7" s="18"/>
      <c r="AZ7" s="18" t="str">
        <f t="shared" si="14"/>
        <v/>
      </c>
      <c r="BA7" s="18">
        <v>450</v>
      </c>
      <c r="BB7" s="18"/>
      <c r="BC7" s="18">
        <f t="shared" si="15"/>
        <v>450</v>
      </c>
      <c r="BD7" s="18"/>
      <c r="BE7" s="18"/>
      <c r="BF7" s="18" t="str">
        <f t="shared" si="16"/>
        <v/>
      </c>
      <c r="BG7" s="18"/>
      <c r="BH7" s="18"/>
      <c r="BI7" s="18" t="str">
        <f t="shared" si="17"/>
        <v/>
      </c>
      <c r="BJ7" s="18"/>
      <c r="BK7" s="18"/>
      <c r="BL7" s="18" t="str">
        <f t="shared" si="18"/>
        <v/>
      </c>
      <c r="BM7" s="18"/>
      <c r="BN7" s="18"/>
      <c r="BO7" s="18" t="str">
        <f t="shared" si="19"/>
        <v/>
      </c>
      <c r="BP7" s="18"/>
      <c r="BQ7" s="18"/>
      <c r="BR7" s="18" t="str">
        <f t="shared" si="20"/>
        <v/>
      </c>
    </row>
    <row r="8" spans="1:70" ht="25.5" x14ac:dyDescent="0.25">
      <c r="A8" s="2" t="s">
        <v>707</v>
      </c>
      <c r="B8" s="2" t="str">
        <f>VLOOKUP($A8,[2]Projekty!$A$2:$AR$1147,4,0)</f>
        <v>OPKZP-PO1-SC111-2016-11</v>
      </c>
      <c r="C8" s="2" t="str">
        <f>VLOOKUP($A8,[2]Projekty!$A$2:$AR$1147,6,0)</f>
        <v>Mestský podnik služieb Žarnovica s.r.o.</v>
      </c>
      <c r="D8" s="2" t="str">
        <f>VLOOKUP($A8,[2]Projekty!$A$2:$AR$1147,7,0)</f>
        <v>Triedený zber komunálnych odpadov v Žarnovici</v>
      </c>
      <c r="E8" s="2" t="str">
        <f>VLOOKUP($A8,[2]Projekty!$A$2:$AR$1147,9,0)</f>
        <v>BB</v>
      </c>
      <c r="F8" s="2" t="str">
        <f>VLOOKUP($A8,[2]Projekty!$A$2:$AR$1147,14,0)</f>
        <v>Realizácia</v>
      </c>
      <c r="G8" s="61">
        <f>VLOOKUP($A8,'[2]Dĺžka realizácie'!$A$2:$AR$1148,8,0)</f>
        <v>43069</v>
      </c>
      <c r="H8" s="18"/>
      <c r="I8" s="18"/>
      <c r="J8" s="18" t="str">
        <f t="shared" si="0"/>
        <v/>
      </c>
      <c r="K8" s="18"/>
      <c r="L8" s="18"/>
      <c r="M8" s="18" t="str">
        <f t="shared" si="1"/>
        <v/>
      </c>
      <c r="N8" s="18"/>
      <c r="O8" s="18"/>
      <c r="P8" s="18" t="str">
        <f t="shared" si="2"/>
        <v/>
      </c>
      <c r="Q8" s="18"/>
      <c r="R8" s="18"/>
      <c r="S8" s="18" t="str">
        <f t="shared" si="3"/>
        <v/>
      </c>
      <c r="T8" s="18">
        <v>163</v>
      </c>
      <c r="U8" s="18"/>
      <c r="V8" s="18">
        <f t="shared" si="4"/>
        <v>163</v>
      </c>
      <c r="W8" s="18"/>
      <c r="X8" s="18"/>
      <c r="Y8" s="18" t="str">
        <f t="shared" si="5"/>
        <v/>
      </c>
      <c r="Z8" s="18"/>
      <c r="AA8" s="18"/>
      <c r="AB8" s="18" t="str">
        <f t="shared" si="6"/>
        <v/>
      </c>
      <c r="AC8" s="18"/>
      <c r="AD8" s="18"/>
      <c r="AE8" s="18" t="str">
        <f t="shared" si="7"/>
        <v/>
      </c>
      <c r="AF8" s="18"/>
      <c r="AG8" s="18"/>
      <c r="AH8" s="18" t="str">
        <f t="shared" si="8"/>
        <v/>
      </c>
      <c r="AI8" s="18"/>
      <c r="AJ8" s="18"/>
      <c r="AK8" s="18" t="str">
        <f t="shared" si="9"/>
        <v/>
      </c>
      <c r="AL8" s="18"/>
      <c r="AM8" s="18"/>
      <c r="AN8" s="18" t="str">
        <f t="shared" si="10"/>
        <v/>
      </c>
      <c r="AO8" s="18"/>
      <c r="AP8" s="18"/>
      <c r="AQ8" s="18" t="str">
        <f t="shared" si="11"/>
        <v/>
      </c>
      <c r="AR8" s="18"/>
      <c r="AS8" s="18"/>
      <c r="AT8" s="18" t="str">
        <f t="shared" si="12"/>
        <v/>
      </c>
      <c r="AU8" s="18"/>
      <c r="AV8" s="18"/>
      <c r="AW8" s="18" t="str">
        <f t="shared" si="13"/>
        <v/>
      </c>
      <c r="AX8" s="18"/>
      <c r="AY8" s="18"/>
      <c r="AZ8" s="18" t="str">
        <f t="shared" si="14"/>
        <v/>
      </c>
      <c r="BA8" s="18">
        <v>163</v>
      </c>
      <c r="BB8" s="18"/>
      <c r="BC8" s="18">
        <f t="shared" si="15"/>
        <v>163</v>
      </c>
      <c r="BD8" s="18"/>
      <c r="BE8" s="18"/>
      <c r="BF8" s="18" t="str">
        <f t="shared" si="16"/>
        <v/>
      </c>
      <c r="BG8" s="18"/>
      <c r="BH8" s="18"/>
      <c r="BI8" s="18" t="str">
        <f t="shared" si="17"/>
        <v/>
      </c>
      <c r="BJ8" s="18"/>
      <c r="BK8" s="18"/>
      <c r="BL8" s="18" t="str">
        <f t="shared" si="18"/>
        <v/>
      </c>
      <c r="BM8" s="18"/>
      <c r="BN8" s="18"/>
      <c r="BO8" s="18" t="str">
        <f t="shared" si="19"/>
        <v/>
      </c>
      <c r="BP8" s="18"/>
      <c r="BQ8" s="18"/>
      <c r="BR8" s="18" t="str">
        <f t="shared" si="20"/>
        <v/>
      </c>
    </row>
    <row r="9" spans="1:70" x14ac:dyDescent="0.25">
      <c r="A9" s="2" t="s">
        <v>806</v>
      </c>
      <c r="B9" s="2" t="str">
        <f>VLOOKUP($A9,[2]Projekty!$A$2:$AR$1147,4,0)</f>
        <v>OPKZP-PO1-SC111-2016-10</v>
      </c>
      <c r="C9" s="2" t="str">
        <f>VLOOKUP($A9,[2]Projekty!$A$2:$AR$1147,6,0)</f>
        <v>Obec Jasová</v>
      </c>
      <c r="D9" s="2" t="str">
        <f>VLOOKUP($A9,[2]Projekty!$A$2:$AR$1147,7,0)</f>
        <v>Hospodársko - zberný dvor</v>
      </c>
      <c r="E9" s="2" t="str">
        <f>VLOOKUP($A9,[2]Projekty!$A$2:$AR$1147,9,0)</f>
        <v>NR</v>
      </c>
      <c r="F9" s="2" t="str">
        <f>VLOOKUP($A9,[2]Projekty!$A$2:$AR$1147,14,0)</f>
        <v>Realizácia</v>
      </c>
      <c r="G9" s="61">
        <f>VLOOKUP($A9,'[2]Dĺžka realizácie'!$A$2:$AR$1148,8,0)</f>
        <v>43404</v>
      </c>
      <c r="H9" s="18"/>
      <c r="I9" s="18"/>
      <c r="J9" s="18" t="str">
        <f t="shared" si="0"/>
        <v/>
      </c>
      <c r="K9" s="18"/>
      <c r="L9" s="18"/>
      <c r="M9" s="18" t="str">
        <f t="shared" si="1"/>
        <v/>
      </c>
      <c r="N9" s="18"/>
      <c r="O9" s="18"/>
      <c r="P9" s="18" t="str">
        <f t="shared" si="2"/>
        <v/>
      </c>
      <c r="Q9" s="18"/>
      <c r="R9" s="18"/>
      <c r="S9" s="18" t="str">
        <f t="shared" si="3"/>
        <v/>
      </c>
      <c r="T9" s="18">
        <v>18.8</v>
      </c>
      <c r="U9" s="18"/>
      <c r="V9" s="18">
        <f t="shared" si="4"/>
        <v>18.8</v>
      </c>
      <c r="W9" s="18"/>
      <c r="X9" s="18"/>
      <c r="Y9" s="18" t="str">
        <f t="shared" si="5"/>
        <v/>
      </c>
      <c r="Z9" s="18"/>
      <c r="AA9" s="18"/>
      <c r="AB9" s="18" t="str">
        <f t="shared" si="6"/>
        <v/>
      </c>
      <c r="AC9" s="18"/>
      <c r="AD9" s="18"/>
      <c r="AE9" s="18" t="str">
        <f t="shared" si="7"/>
        <v/>
      </c>
      <c r="AF9" s="18"/>
      <c r="AG9" s="18"/>
      <c r="AH9" s="18" t="str">
        <f t="shared" si="8"/>
        <v/>
      </c>
      <c r="AI9" s="18"/>
      <c r="AJ9" s="18"/>
      <c r="AK9" s="18" t="str">
        <f t="shared" si="9"/>
        <v/>
      </c>
      <c r="AL9" s="18"/>
      <c r="AM9" s="18"/>
      <c r="AN9" s="18" t="str">
        <f t="shared" si="10"/>
        <v/>
      </c>
      <c r="AO9" s="18"/>
      <c r="AP9" s="18"/>
      <c r="AQ9" s="18" t="str">
        <f t="shared" si="11"/>
        <v/>
      </c>
      <c r="AR9" s="18"/>
      <c r="AS9" s="18"/>
      <c r="AT9" s="18" t="str">
        <f t="shared" si="12"/>
        <v/>
      </c>
      <c r="AU9" s="18"/>
      <c r="AV9" s="18"/>
      <c r="AW9" s="18" t="str">
        <f t="shared" si="13"/>
        <v/>
      </c>
      <c r="AX9" s="18"/>
      <c r="AY9" s="18"/>
      <c r="AZ9" s="18" t="str">
        <f t="shared" si="14"/>
        <v/>
      </c>
      <c r="BA9" s="18">
        <v>18.8</v>
      </c>
      <c r="BB9" s="18"/>
      <c r="BC9" s="18">
        <f t="shared" si="15"/>
        <v>18.8</v>
      </c>
      <c r="BD9" s="18"/>
      <c r="BE9" s="18"/>
      <c r="BF9" s="18" t="str">
        <f t="shared" si="16"/>
        <v/>
      </c>
      <c r="BG9" s="18"/>
      <c r="BH9" s="18"/>
      <c r="BI9" s="18" t="str">
        <f t="shared" si="17"/>
        <v/>
      </c>
      <c r="BJ9" s="18"/>
      <c r="BK9" s="18"/>
      <c r="BL9" s="18" t="str">
        <f t="shared" si="18"/>
        <v/>
      </c>
      <c r="BM9" s="18"/>
      <c r="BN9" s="18"/>
      <c r="BO9" s="18" t="str">
        <f t="shared" si="19"/>
        <v/>
      </c>
      <c r="BP9" s="18"/>
      <c r="BQ9" s="18"/>
      <c r="BR9" s="18" t="str">
        <f t="shared" si="20"/>
        <v/>
      </c>
    </row>
    <row r="10" spans="1:70" x14ac:dyDescent="0.25">
      <c r="A10" s="2" t="s">
        <v>830</v>
      </c>
      <c r="B10" s="2" t="str">
        <f>VLOOKUP($A10,[2]Projekty!$A$2:$AR$1147,4,0)</f>
        <v>OPKZP-PO1-SC111-2016-10</v>
      </c>
      <c r="C10" s="2" t="str">
        <f>VLOOKUP($A10,[2]Projekty!$A$2:$AR$1147,6,0)</f>
        <v>Obec Hruštín</v>
      </c>
      <c r="D10" s="2" t="str">
        <f>VLOOKUP($A10,[2]Projekty!$A$2:$AR$1147,7,0)</f>
        <v>Zberný dvor na separáciu odpadu – obec Hruštín</v>
      </c>
      <c r="E10" s="2" t="str">
        <f>VLOOKUP($A10,[2]Projekty!$A$2:$AR$1147,9,0)</f>
        <v>ZA</v>
      </c>
      <c r="F10" s="2" t="str">
        <f>VLOOKUP($A10,[2]Projekty!$A$2:$AR$1147,14,0)</f>
        <v>Realizácia</v>
      </c>
      <c r="G10" s="61">
        <f>VLOOKUP($A10,'[2]Dĺžka realizácie'!$A$2:$AR$1148,8,0)</f>
        <v>43616</v>
      </c>
      <c r="H10" s="18"/>
      <c r="I10" s="18"/>
      <c r="J10" s="18" t="str">
        <f t="shared" si="0"/>
        <v/>
      </c>
      <c r="K10" s="18"/>
      <c r="L10" s="18"/>
      <c r="M10" s="18" t="str">
        <f t="shared" si="1"/>
        <v/>
      </c>
      <c r="N10" s="18"/>
      <c r="O10" s="18"/>
      <c r="P10" s="18" t="str">
        <f t="shared" si="2"/>
        <v/>
      </c>
      <c r="Q10" s="18"/>
      <c r="R10" s="18"/>
      <c r="S10" s="18" t="str">
        <f t="shared" si="3"/>
        <v/>
      </c>
      <c r="T10" s="18">
        <v>310.63</v>
      </c>
      <c r="U10" s="18"/>
      <c r="V10" s="18">
        <f>IF(T10="","",IF($F10="riadne ukončený",U10,IF($G10&lt;=V$4,T10,0)))</f>
        <v>0</v>
      </c>
      <c r="W10" s="18"/>
      <c r="X10" s="18"/>
      <c r="Y10" s="18" t="str">
        <f t="shared" si="5"/>
        <v/>
      </c>
      <c r="Z10" s="18"/>
      <c r="AA10" s="18"/>
      <c r="AB10" s="18" t="str">
        <f t="shared" si="6"/>
        <v/>
      </c>
      <c r="AC10" s="18">
        <v>3175</v>
      </c>
      <c r="AD10" s="18"/>
      <c r="AE10" s="18">
        <f t="shared" si="7"/>
        <v>0</v>
      </c>
      <c r="AF10" s="18"/>
      <c r="AG10" s="18"/>
      <c r="AH10" s="18" t="str">
        <f t="shared" si="8"/>
        <v/>
      </c>
      <c r="AI10" s="18"/>
      <c r="AJ10" s="18"/>
      <c r="AK10" s="18" t="str">
        <f t="shared" si="9"/>
        <v/>
      </c>
      <c r="AL10" s="18"/>
      <c r="AM10" s="18"/>
      <c r="AN10" s="18" t="str">
        <f t="shared" si="10"/>
        <v/>
      </c>
      <c r="AO10" s="18"/>
      <c r="AP10" s="18"/>
      <c r="AQ10" s="18" t="str">
        <f t="shared" si="11"/>
        <v/>
      </c>
      <c r="AR10" s="18">
        <v>3</v>
      </c>
      <c r="AS10" s="18"/>
      <c r="AT10" s="18">
        <f t="shared" si="12"/>
        <v>0</v>
      </c>
      <c r="AU10" s="18"/>
      <c r="AV10" s="18"/>
      <c r="AW10" s="18" t="str">
        <f t="shared" si="13"/>
        <v/>
      </c>
      <c r="AX10" s="18"/>
      <c r="AY10" s="18"/>
      <c r="AZ10" s="18" t="str">
        <f t="shared" si="14"/>
        <v/>
      </c>
      <c r="BA10" s="18">
        <v>310.63</v>
      </c>
      <c r="BB10" s="18"/>
      <c r="BC10" s="18">
        <f t="shared" si="15"/>
        <v>0</v>
      </c>
      <c r="BD10" s="18"/>
      <c r="BE10" s="18"/>
      <c r="BF10" s="18" t="str">
        <f t="shared" si="16"/>
        <v/>
      </c>
      <c r="BG10" s="18"/>
      <c r="BH10" s="18"/>
      <c r="BI10" s="18" t="str">
        <f t="shared" si="17"/>
        <v/>
      </c>
      <c r="BJ10" s="18"/>
      <c r="BK10" s="18"/>
      <c r="BL10" s="18" t="str">
        <f t="shared" si="18"/>
        <v/>
      </c>
      <c r="BM10" s="18"/>
      <c r="BN10" s="18"/>
      <c r="BO10" s="18" t="str">
        <f t="shared" si="19"/>
        <v/>
      </c>
      <c r="BP10" s="18"/>
      <c r="BQ10" s="18"/>
      <c r="BR10" s="18" t="str">
        <f t="shared" si="20"/>
        <v/>
      </c>
    </row>
    <row r="11" spans="1:70" ht="25.5" x14ac:dyDescent="0.25">
      <c r="A11" s="2" t="s">
        <v>984</v>
      </c>
      <c r="B11" s="2" t="str">
        <f>VLOOKUP($A11,[2]Projekty!$A$2:$AR$1147,4,0)</f>
        <v>OPKZP-PO1-SC111-2016-10</v>
      </c>
      <c r="C11" s="2" t="str">
        <f>VLOOKUP($A11,[2]Projekty!$A$2:$AR$1147,6,0)</f>
        <v>Obec Bobrov</v>
      </c>
      <c r="D11" s="2" t="str">
        <f>VLOOKUP($A11,[2]Projekty!$A$2:$AR$1147,7,0)</f>
        <v>Separovaný zber komunálneho odpadu v obci Bobrov</v>
      </c>
      <c r="E11" s="2" t="str">
        <f>VLOOKUP($A11,[2]Projekty!$A$2:$AR$1147,9,0)</f>
        <v>ZA</v>
      </c>
      <c r="F11" s="2" t="str">
        <f>VLOOKUP($A11,[2]Projekty!$A$2:$AR$1147,14,0)</f>
        <v>Realizácia</v>
      </c>
      <c r="G11" s="61">
        <f>VLOOKUP($A11,'[2]Dĺžka realizácie'!$A$2:$AR$1148,8,0)</f>
        <v>43190</v>
      </c>
      <c r="H11" s="18"/>
      <c r="I11" s="18"/>
      <c r="J11" s="18" t="str">
        <f t="shared" si="0"/>
        <v/>
      </c>
      <c r="K11" s="18"/>
      <c r="L11" s="18"/>
      <c r="M11" s="18" t="str">
        <f t="shared" si="1"/>
        <v/>
      </c>
      <c r="N11" s="18"/>
      <c r="O11" s="18"/>
      <c r="P11" s="18" t="str">
        <f t="shared" si="2"/>
        <v/>
      </c>
      <c r="Q11" s="18"/>
      <c r="R11" s="18"/>
      <c r="S11" s="18" t="str">
        <f t="shared" si="3"/>
        <v/>
      </c>
      <c r="T11" s="18">
        <v>106</v>
      </c>
      <c r="U11" s="18"/>
      <c r="V11" s="18">
        <f t="shared" si="4"/>
        <v>106</v>
      </c>
      <c r="W11" s="18"/>
      <c r="X11" s="18"/>
      <c r="Y11" s="18" t="str">
        <f t="shared" si="5"/>
        <v/>
      </c>
      <c r="Z11" s="18"/>
      <c r="AA11" s="18"/>
      <c r="AB11" s="18" t="str">
        <f t="shared" si="6"/>
        <v/>
      </c>
      <c r="AC11" s="18"/>
      <c r="AD11" s="18"/>
      <c r="AE11" s="18" t="str">
        <f t="shared" si="7"/>
        <v/>
      </c>
      <c r="AF11" s="18"/>
      <c r="AG11" s="18"/>
      <c r="AH11" s="18" t="str">
        <f t="shared" si="8"/>
        <v/>
      </c>
      <c r="AI11" s="18"/>
      <c r="AJ11" s="18"/>
      <c r="AK11" s="18" t="str">
        <f t="shared" si="9"/>
        <v/>
      </c>
      <c r="AL11" s="18"/>
      <c r="AM11" s="18"/>
      <c r="AN11" s="18" t="str">
        <f t="shared" si="10"/>
        <v/>
      </c>
      <c r="AO11" s="18"/>
      <c r="AP11" s="18"/>
      <c r="AQ11" s="18" t="str">
        <f t="shared" si="11"/>
        <v/>
      </c>
      <c r="AR11" s="18"/>
      <c r="AS11" s="18"/>
      <c r="AT11" s="18" t="str">
        <f t="shared" si="12"/>
        <v/>
      </c>
      <c r="AU11" s="18"/>
      <c r="AV11" s="18"/>
      <c r="AW11" s="18" t="str">
        <f t="shared" si="13"/>
        <v/>
      </c>
      <c r="AX11" s="18"/>
      <c r="AY11" s="18"/>
      <c r="AZ11" s="18" t="str">
        <f t="shared" si="14"/>
        <v/>
      </c>
      <c r="BA11" s="18">
        <v>106</v>
      </c>
      <c r="BB11" s="18"/>
      <c r="BC11" s="18">
        <f t="shared" si="15"/>
        <v>106</v>
      </c>
      <c r="BD11" s="18"/>
      <c r="BE11" s="18"/>
      <c r="BF11" s="18" t="str">
        <f t="shared" si="16"/>
        <v/>
      </c>
      <c r="BG11" s="18"/>
      <c r="BH11" s="18"/>
      <c r="BI11" s="18" t="str">
        <f t="shared" si="17"/>
        <v/>
      </c>
      <c r="BJ11" s="18"/>
      <c r="BK11" s="18"/>
      <c r="BL11" s="18" t="str">
        <f t="shared" si="18"/>
        <v/>
      </c>
      <c r="BM11" s="18"/>
      <c r="BN11" s="18"/>
      <c r="BO11" s="18" t="str">
        <f t="shared" si="19"/>
        <v/>
      </c>
      <c r="BP11" s="18"/>
      <c r="BQ11" s="18"/>
      <c r="BR11" s="18" t="str">
        <f t="shared" si="20"/>
        <v/>
      </c>
    </row>
    <row r="12" spans="1:70" x14ac:dyDescent="0.25">
      <c r="A12" s="2" t="s">
        <v>825</v>
      </c>
      <c r="B12" s="2" t="str">
        <f>VLOOKUP($A12,[2]Projekty!$A$2:$AR$1147,4,0)</f>
        <v>OPKZP-PO1-SC111-2016-10</v>
      </c>
      <c r="C12" s="2" t="str">
        <f>VLOOKUP($A12,[2]Projekty!$A$2:$AR$1147,6,0)</f>
        <v>Obec Strečno</v>
      </c>
      <c r="D12" s="2" t="str">
        <f>VLOOKUP($A12,[2]Projekty!$A$2:$AR$1147,7,0)</f>
        <v>Zberný dvor Strečno</v>
      </c>
      <c r="E12" s="2" t="str">
        <f>VLOOKUP($A12,[2]Projekty!$A$2:$AR$1147,9,0)</f>
        <v>ZA</v>
      </c>
      <c r="F12" s="2" t="str">
        <f>VLOOKUP($A12,[2]Projekty!$A$2:$AR$1147,14,0)</f>
        <v>Realizácia</v>
      </c>
      <c r="G12" s="61">
        <f>VLOOKUP($A12,'[2]Dĺžka realizácie'!$A$2:$AR$1148,8,0)</f>
        <v>43220</v>
      </c>
      <c r="H12" s="18"/>
      <c r="I12" s="18"/>
      <c r="J12" s="18" t="str">
        <f t="shared" si="0"/>
        <v/>
      </c>
      <c r="K12" s="18"/>
      <c r="L12" s="18"/>
      <c r="M12" s="18" t="str">
        <f t="shared" si="1"/>
        <v/>
      </c>
      <c r="N12" s="18"/>
      <c r="O12" s="18"/>
      <c r="P12" s="18" t="str">
        <f t="shared" si="2"/>
        <v/>
      </c>
      <c r="Q12" s="18"/>
      <c r="R12" s="18"/>
      <c r="S12" s="18" t="str">
        <f t="shared" si="3"/>
        <v/>
      </c>
      <c r="T12" s="18">
        <v>310.7</v>
      </c>
      <c r="U12" s="18"/>
      <c r="V12" s="18">
        <f t="shared" si="4"/>
        <v>310.7</v>
      </c>
      <c r="W12" s="18"/>
      <c r="X12" s="18"/>
      <c r="Y12" s="18" t="str">
        <f t="shared" si="5"/>
        <v/>
      </c>
      <c r="Z12" s="18"/>
      <c r="AA12" s="18"/>
      <c r="AB12" s="18" t="str">
        <f t="shared" si="6"/>
        <v/>
      </c>
      <c r="AC12" s="18">
        <v>600</v>
      </c>
      <c r="AD12" s="18"/>
      <c r="AE12" s="18">
        <f t="shared" si="7"/>
        <v>600</v>
      </c>
      <c r="AF12" s="18"/>
      <c r="AG12" s="18"/>
      <c r="AH12" s="18" t="str">
        <f t="shared" si="8"/>
        <v/>
      </c>
      <c r="AI12" s="18"/>
      <c r="AJ12" s="18"/>
      <c r="AK12" s="18" t="str">
        <f t="shared" si="9"/>
        <v/>
      </c>
      <c r="AL12" s="18"/>
      <c r="AM12" s="18"/>
      <c r="AN12" s="18" t="str">
        <f t="shared" si="10"/>
        <v/>
      </c>
      <c r="AO12" s="18"/>
      <c r="AP12" s="18"/>
      <c r="AQ12" s="18" t="str">
        <f t="shared" si="11"/>
        <v/>
      </c>
      <c r="AR12" s="18">
        <v>4</v>
      </c>
      <c r="AS12" s="18"/>
      <c r="AT12" s="18">
        <f t="shared" si="12"/>
        <v>4</v>
      </c>
      <c r="AU12" s="18"/>
      <c r="AV12" s="18"/>
      <c r="AW12" s="18" t="str">
        <f t="shared" si="13"/>
        <v/>
      </c>
      <c r="AX12" s="18"/>
      <c r="AY12" s="18"/>
      <c r="AZ12" s="18" t="str">
        <f t="shared" si="14"/>
        <v/>
      </c>
      <c r="BA12" s="18">
        <v>310.7</v>
      </c>
      <c r="BB12" s="18"/>
      <c r="BC12" s="18">
        <f t="shared" si="15"/>
        <v>310.7</v>
      </c>
      <c r="BD12" s="18"/>
      <c r="BE12" s="18"/>
      <c r="BF12" s="18" t="str">
        <f t="shared" si="16"/>
        <v/>
      </c>
      <c r="BG12" s="18"/>
      <c r="BH12" s="18"/>
      <c r="BI12" s="18" t="str">
        <f t="shared" si="17"/>
        <v/>
      </c>
      <c r="BJ12" s="18"/>
      <c r="BK12" s="18"/>
      <c r="BL12" s="18" t="str">
        <f t="shared" si="18"/>
        <v/>
      </c>
      <c r="BM12" s="18"/>
      <c r="BN12" s="18"/>
      <c r="BO12" s="18" t="str">
        <f t="shared" si="19"/>
        <v/>
      </c>
      <c r="BP12" s="18"/>
      <c r="BQ12" s="18"/>
      <c r="BR12" s="18" t="str">
        <f t="shared" si="20"/>
        <v/>
      </c>
    </row>
    <row r="13" spans="1:70" ht="25.5" x14ac:dyDescent="0.25">
      <c r="A13" s="2" t="s">
        <v>985</v>
      </c>
      <c r="B13" s="2" t="str">
        <f>VLOOKUP($A13,[2]Projekty!$A$2:$AR$1147,4,0)</f>
        <v>OPKZP-PO1-SC111-2016-10</v>
      </c>
      <c r="C13" s="2" t="str">
        <f>VLOOKUP($A13,[2]Projekty!$A$2:$AR$1147,6,0)</f>
        <v>Mesto Poprad</v>
      </c>
      <c r="D13" s="2" t="str">
        <f>VLOOKUP($A13,[2]Projekty!$A$2:$AR$1147,7,0)</f>
        <v>Rozšírenie triedeného zberu biologicky rozložiteľného odpadu (BRKO) v meste Poprad</v>
      </c>
      <c r="E13" s="2" t="str">
        <f>VLOOKUP($A13,[2]Projekty!$A$2:$AR$1147,9,0)</f>
        <v>PO</v>
      </c>
      <c r="F13" s="2" t="str">
        <f>VLOOKUP($A13,[2]Projekty!$A$2:$AR$1147,14,0)</f>
        <v>Realizácia</v>
      </c>
      <c r="G13" s="61">
        <f>VLOOKUP($A13,'[2]Dĺžka realizácie'!$A$2:$AR$1148,8,0)</f>
        <v>43159</v>
      </c>
      <c r="H13" s="18"/>
      <c r="I13" s="18"/>
      <c r="J13" s="18" t="str">
        <f t="shared" si="0"/>
        <v/>
      </c>
      <c r="K13" s="18"/>
      <c r="L13" s="18"/>
      <c r="M13" s="18" t="str">
        <f t="shared" si="1"/>
        <v/>
      </c>
      <c r="N13" s="18"/>
      <c r="O13" s="18"/>
      <c r="P13" s="18" t="str">
        <f t="shared" si="2"/>
        <v/>
      </c>
      <c r="Q13" s="18"/>
      <c r="R13" s="18"/>
      <c r="S13" s="18" t="str">
        <f t="shared" si="3"/>
        <v/>
      </c>
      <c r="T13" s="18">
        <v>1150</v>
      </c>
      <c r="U13" s="18"/>
      <c r="V13" s="18">
        <f t="shared" si="4"/>
        <v>1150</v>
      </c>
      <c r="W13" s="18"/>
      <c r="X13" s="18"/>
      <c r="Y13" s="18" t="str">
        <f t="shared" si="5"/>
        <v/>
      </c>
      <c r="Z13" s="18"/>
      <c r="AA13" s="18"/>
      <c r="AB13" s="18" t="str">
        <f t="shared" si="6"/>
        <v/>
      </c>
      <c r="AC13" s="18">
        <v>10065</v>
      </c>
      <c r="AD13" s="18"/>
      <c r="AE13" s="18">
        <f t="shared" si="7"/>
        <v>10065</v>
      </c>
      <c r="AF13" s="18"/>
      <c r="AG13" s="18"/>
      <c r="AH13" s="18" t="str">
        <f t="shared" si="8"/>
        <v/>
      </c>
      <c r="AI13" s="18"/>
      <c r="AJ13" s="18"/>
      <c r="AK13" s="18" t="str">
        <f t="shared" si="9"/>
        <v/>
      </c>
      <c r="AL13" s="18"/>
      <c r="AM13" s="18"/>
      <c r="AN13" s="18" t="str">
        <f t="shared" si="10"/>
        <v/>
      </c>
      <c r="AO13" s="18"/>
      <c r="AP13" s="18"/>
      <c r="AQ13" s="18" t="str">
        <f t="shared" si="11"/>
        <v/>
      </c>
      <c r="AR13" s="18">
        <v>4</v>
      </c>
      <c r="AS13" s="18"/>
      <c r="AT13" s="18">
        <f t="shared" si="12"/>
        <v>4</v>
      </c>
      <c r="AU13" s="18"/>
      <c r="AV13" s="18"/>
      <c r="AW13" s="18" t="str">
        <f t="shared" si="13"/>
        <v/>
      </c>
      <c r="AX13" s="18"/>
      <c r="AY13" s="18"/>
      <c r="AZ13" s="18" t="str">
        <f t="shared" si="14"/>
        <v/>
      </c>
      <c r="BA13" s="18">
        <v>1150</v>
      </c>
      <c r="BB13" s="18"/>
      <c r="BC13" s="18">
        <f t="shared" si="15"/>
        <v>1150</v>
      </c>
      <c r="BD13" s="18"/>
      <c r="BE13" s="18"/>
      <c r="BF13" s="18" t="str">
        <f t="shared" si="16"/>
        <v/>
      </c>
      <c r="BG13" s="18"/>
      <c r="BH13" s="18"/>
      <c r="BI13" s="18" t="str">
        <f t="shared" si="17"/>
        <v/>
      </c>
      <c r="BJ13" s="18"/>
      <c r="BK13" s="18"/>
      <c r="BL13" s="18" t="str">
        <f t="shared" si="18"/>
        <v/>
      </c>
      <c r="BM13" s="18"/>
      <c r="BN13" s="18"/>
      <c r="BO13" s="18" t="str">
        <f t="shared" si="19"/>
        <v/>
      </c>
      <c r="BP13" s="18"/>
      <c r="BQ13" s="18"/>
      <c r="BR13" s="18" t="str">
        <f t="shared" si="20"/>
        <v/>
      </c>
    </row>
    <row r="14" spans="1:70" x14ac:dyDescent="0.25">
      <c r="A14" s="2" t="s">
        <v>719</v>
      </c>
      <c r="B14" s="2" t="str">
        <f>VLOOKUP($A14,[2]Projekty!$A$2:$AR$1147,4,0)</f>
        <v>OPKZP-PO1-SC111-2016-10</v>
      </c>
      <c r="C14" s="2" t="str">
        <f>VLOOKUP($A14,[2]Projekty!$A$2:$AR$1147,6,0)</f>
        <v>obec Bešeňová</v>
      </c>
      <c r="D14" s="2" t="str">
        <f>VLOOKUP($A14,[2]Projekty!$A$2:$AR$1147,7,0)</f>
        <v>Vybudovanie zberného dvora v obci Bešeňová</v>
      </c>
      <c r="E14" s="2" t="str">
        <f>VLOOKUP($A14,[2]Projekty!$A$2:$AR$1147,9,0)</f>
        <v>ZA</v>
      </c>
      <c r="F14" s="2" t="str">
        <f>VLOOKUP($A14,[2]Projekty!$A$2:$AR$1147,14,0)</f>
        <v>Realizácia</v>
      </c>
      <c r="G14" s="108">
        <f>VLOOKUP($A14,'[2]Dĺžka realizácie'!$A$2:$AR$1148,8,0)</f>
        <v>42978</v>
      </c>
      <c r="H14" s="18"/>
      <c r="I14" s="18"/>
      <c r="J14" s="18" t="str">
        <f t="shared" si="0"/>
        <v/>
      </c>
      <c r="K14" s="18"/>
      <c r="L14" s="18"/>
      <c r="M14" s="18" t="str">
        <f t="shared" si="1"/>
        <v/>
      </c>
      <c r="N14" s="18"/>
      <c r="O14" s="18"/>
      <c r="P14" s="18" t="str">
        <f t="shared" si="2"/>
        <v/>
      </c>
      <c r="Q14" s="18"/>
      <c r="R14" s="18"/>
      <c r="S14" s="18" t="str">
        <f t="shared" si="3"/>
        <v/>
      </c>
      <c r="T14" s="18">
        <v>152.79</v>
      </c>
      <c r="U14" s="18">
        <v>0</v>
      </c>
      <c r="V14" s="18">
        <f t="shared" si="4"/>
        <v>152.79</v>
      </c>
      <c r="W14" s="18"/>
      <c r="X14" s="18"/>
      <c r="Y14" s="18" t="str">
        <f t="shared" si="5"/>
        <v/>
      </c>
      <c r="Z14" s="18"/>
      <c r="AA14" s="18"/>
      <c r="AB14" s="18" t="str">
        <f t="shared" si="6"/>
        <v/>
      </c>
      <c r="AC14" s="18"/>
      <c r="AD14" s="18"/>
      <c r="AE14" s="18" t="str">
        <f t="shared" si="7"/>
        <v/>
      </c>
      <c r="AF14" s="18"/>
      <c r="AG14" s="18"/>
      <c r="AH14" s="18" t="str">
        <f t="shared" si="8"/>
        <v/>
      </c>
      <c r="AI14" s="18"/>
      <c r="AJ14" s="18"/>
      <c r="AK14" s="18" t="str">
        <f t="shared" si="9"/>
        <v/>
      </c>
      <c r="AL14" s="18"/>
      <c r="AM14" s="18"/>
      <c r="AN14" s="18" t="str">
        <f t="shared" si="10"/>
        <v/>
      </c>
      <c r="AO14" s="18"/>
      <c r="AP14" s="18"/>
      <c r="AQ14" s="18" t="str">
        <f t="shared" si="11"/>
        <v/>
      </c>
      <c r="AR14" s="18"/>
      <c r="AS14" s="18"/>
      <c r="AT14" s="18" t="str">
        <f t="shared" si="12"/>
        <v/>
      </c>
      <c r="AU14" s="18"/>
      <c r="AV14" s="18"/>
      <c r="AW14" s="18" t="str">
        <f t="shared" si="13"/>
        <v/>
      </c>
      <c r="AX14" s="18"/>
      <c r="AY14" s="18"/>
      <c r="AZ14" s="18" t="str">
        <f t="shared" si="14"/>
        <v/>
      </c>
      <c r="BA14" s="18">
        <v>152.79</v>
      </c>
      <c r="BB14" s="107">
        <v>0</v>
      </c>
      <c r="BC14" s="18">
        <f t="shared" si="15"/>
        <v>152.79</v>
      </c>
      <c r="BD14" s="18"/>
      <c r="BE14" s="18"/>
      <c r="BF14" s="18" t="str">
        <f t="shared" si="16"/>
        <v/>
      </c>
      <c r="BG14" s="18"/>
      <c r="BH14" s="18"/>
      <c r="BI14" s="18" t="str">
        <f t="shared" si="17"/>
        <v/>
      </c>
      <c r="BJ14" s="18"/>
      <c r="BK14" s="18"/>
      <c r="BL14" s="18" t="str">
        <f t="shared" si="18"/>
        <v/>
      </c>
      <c r="BM14" s="18"/>
      <c r="BN14" s="18"/>
      <c r="BO14" s="18" t="str">
        <f t="shared" si="19"/>
        <v/>
      </c>
      <c r="BP14" s="18"/>
      <c r="BQ14" s="18"/>
      <c r="BR14" s="18" t="str">
        <f t="shared" si="20"/>
        <v/>
      </c>
    </row>
    <row r="15" spans="1:70" x14ac:dyDescent="0.25">
      <c r="A15" s="2" t="s">
        <v>720</v>
      </c>
      <c r="B15" s="2" t="str">
        <f>VLOOKUP($A15,[2]Projekty!$A$2:$AR$1147,4,0)</f>
        <v>OPKZP-PO1-SC111-2016-11</v>
      </c>
      <c r="C15" s="2" t="str">
        <f>VLOOKUP($A15,[2]Projekty!$A$2:$AR$1147,6,0)</f>
        <v>Mesto Handlová</v>
      </c>
      <c r="D15" s="2" t="str">
        <f>VLOOKUP($A15,[2]Projekty!$A$2:$AR$1147,7,0)</f>
        <v>Kompostáreň Handlová</v>
      </c>
      <c r="E15" s="2" t="str">
        <f>VLOOKUP($A15,[2]Projekty!$A$2:$AR$1147,9,0)</f>
        <v>TN</v>
      </c>
      <c r="F15" s="2" t="str">
        <f>VLOOKUP($A15,[2]Projekty!$A$2:$AR$1147,14,0)</f>
        <v>Realizácia</v>
      </c>
      <c r="G15" s="61">
        <f>VLOOKUP($A15,'[2]Dĺžka realizácie'!$A$2:$AR$1148,8,0)</f>
        <v>43404</v>
      </c>
      <c r="H15" s="18"/>
      <c r="I15" s="18"/>
      <c r="J15" s="18" t="str">
        <f t="shared" si="0"/>
        <v/>
      </c>
      <c r="K15" s="18"/>
      <c r="L15" s="18"/>
      <c r="M15" s="18" t="str">
        <f t="shared" si="1"/>
        <v/>
      </c>
      <c r="N15" s="18"/>
      <c r="O15" s="18"/>
      <c r="P15" s="18" t="str">
        <f t="shared" si="2"/>
        <v/>
      </c>
      <c r="Q15" s="18"/>
      <c r="R15" s="18"/>
      <c r="S15" s="18" t="str">
        <f t="shared" si="3"/>
        <v/>
      </c>
      <c r="T15" s="18"/>
      <c r="U15" s="18"/>
      <c r="V15" s="18" t="str">
        <f t="shared" si="4"/>
        <v/>
      </c>
      <c r="W15" s="18">
        <v>1350</v>
      </c>
      <c r="X15" s="18"/>
      <c r="Y15" s="18">
        <f t="shared" si="5"/>
        <v>1350</v>
      </c>
      <c r="Z15" s="18"/>
      <c r="AA15" s="18"/>
      <c r="AB15" s="18" t="str">
        <f t="shared" si="6"/>
        <v/>
      </c>
      <c r="AC15" s="18"/>
      <c r="AD15" s="18"/>
      <c r="AE15" s="18" t="str">
        <f t="shared" si="7"/>
        <v/>
      </c>
      <c r="AF15" s="18"/>
      <c r="AG15" s="18"/>
      <c r="AH15" s="18" t="str">
        <f t="shared" si="8"/>
        <v/>
      </c>
      <c r="AI15" s="18"/>
      <c r="AJ15" s="18"/>
      <c r="AK15" s="18" t="str">
        <f t="shared" si="9"/>
        <v/>
      </c>
      <c r="AL15" s="18"/>
      <c r="AM15" s="18"/>
      <c r="AN15" s="18" t="str">
        <f t="shared" si="10"/>
        <v/>
      </c>
      <c r="AO15" s="18"/>
      <c r="AP15" s="18"/>
      <c r="AQ15" s="18" t="str">
        <f t="shared" si="11"/>
        <v/>
      </c>
      <c r="AR15" s="18"/>
      <c r="AS15" s="18"/>
      <c r="AT15" s="18" t="str">
        <f t="shared" si="12"/>
        <v/>
      </c>
      <c r="AU15" s="18"/>
      <c r="AV15" s="18"/>
      <c r="AW15" s="18" t="str">
        <f t="shared" si="13"/>
        <v/>
      </c>
      <c r="AX15" s="18"/>
      <c r="AY15" s="18"/>
      <c r="AZ15" s="18" t="str">
        <f t="shared" si="14"/>
        <v/>
      </c>
      <c r="BA15" s="18"/>
      <c r="BB15" s="18"/>
      <c r="BC15" s="18" t="str">
        <f t="shared" si="15"/>
        <v/>
      </c>
      <c r="BD15" s="18">
        <v>1350</v>
      </c>
      <c r="BE15" s="18"/>
      <c r="BF15" s="18">
        <f t="shared" si="16"/>
        <v>1350</v>
      </c>
      <c r="BG15" s="18"/>
      <c r="BH15" s="18"/>
      <c r="BI15" s="18" t="str">
        <f t="shared" si="17"/>
        <v/>
      </c>
      <c r="BJ15" s="18"/>
      <c r="BK15" s="18"/>
      <c r="BL15" s="18" t="str">
        <f t="shared" si="18"/>
        <v/>
      </c>
      <c r="BM15" s="18"/>
      <c r="BN15" s="18"/>
      <c r="BO15" s="18" t="str">
        <f t="shared" si="19"/>
        <v/>
      </c>
      <c r="BP15" s="18"/>
      <c r="BQ15" s="18"/>
      <c r="BR15" s="18" t="str">
        <f t="shared" si="20"/>
        <v/>
      </c>
    </row>
    <row r="16" spans="1:70" x14ac:dyDescent="0.25">
      <c r="A16" s="2" t="s">
        <v>721</v>
      </c>
      <c r="B16" s="2" t="str">
        <f>VLOOKUP($A16,[2]Projekty!$A$2:$AR$1147,4,0)</f>
        <v>OPKZP-PO1-SC111-2016-10</v>
      </c>
      <c r="C16" s="2" t="str">
        <f>VLOOKUP($A16,[2]Projekty!$A$2:$AR$1147,6,0)</f>
        <v>Obec Klin</v>
      </c>
      <c r="D16" s="2" t="str">
        <f>VLOOKUP($A16,[2]Projekty!$A$2:$AR$1147,7,0)</f>
        <v>Zberný dvor Klin</v>
      </c>
      <c r="E16" s="2" t="str">
        <f>VLOOKUP($A16,[2]Projekty!$A$2:$AR$1147,9,0)</f>
        <v>ZA</v>
      </c>
      <c r="F16" s="2" t="str">
        <f>VLOOKUP($A16,[2]Projekty!$A$2:$AR$1147,14,0)</f>
        <v>Realizácia</v>
      </c>
      <c r="G16" s="61">
        <f>VLOOKUP($A16,'[2]Dĺžka realizácie'!$A$2:$AR$1148,8,0)</f>
        <v>43100</v>
      </c>
      <c r="H16" s="18"/>
      <c r="I16" s="18"/>
      <c r="J16" s="18" t="str">
        <f t="shared" si="0"/>
        <v/>
      </c>
      <c r="K16" s="18"/>
      <c r="L16" s="18"/>
      <c r="M16" s="18" t="str">
        <f t="shared" si="1"/>
        <v/>
      </c>
      <c r="N16" s="18"/>
      <c r="O16" s="18"/>
      <c r="P16" s="18" t="str">
        <f t="shared" si="2"/>
        <v/>
      </c>
      <c r="Q16" s="18"/>
      <c r="R16" s="18"/>
      <c r="S16" s="18" t="str">
        <f t="shared" si="3"/>
        <v/>
      </c>
      <c r="T16" s="18">
        <v>80.489999999999995</v>
      </c>
      <c r="U16" s="18"/>
      <c r="V16" s="18">
        <f t="shared" si="4"/>
        <v>80.489999999999995</v>
      </c>
      <c r="W16" s="18"/>
      <c r="X16" s="18"/>
      <c r="Y16" s="18" t="str">
        <f t="shared" si="5"/>
        <v/>
      </c>
      <c r="Z16" s="18"/>
      <c r="AA16" s="18"/>
      <c r="AB16" s="18" t="str">
        <f t="shared" si="6"/>
        <v/>
      </c>
      <c r="AC16" s="18"/>
      <c r="AD16" s="18"/>
      <c r="AE16" s="18" t="str">
        <f t="shared" si="7"/>
        <v/>
      </c>
      <c r="AF16" s="18"/>
      <c r="AG16" s="18"/>
      <c r="AH16" s="18" t="str">
        <f t="shared" si="8"/>
        <v/>
      </c>
      <c r="AI16" s="18"/>
      <c r="AJ16" s="18"/>
      <c r="AK16" s="18" t="str">
        <f t="shared" si="9"/>
        <v/>
      </c>
      <c r="AL16" s="18"/>
      <c r="AM16" s="18"/>
      <c r="AN16" s="18" t="str">
        <f t="shared" si="10"/>
        <v/>
      </c>
      <c r="AO16" s="18"/>
      <c r="AP16" s="18"/>
      <c r="AQ16" s="18" t="str">
        <f t="shared" si="11"/>
        <v/>
      </c>
      <c r="AR16" s="18"/>
      <c r="AS16" s="18"/>
      <c r="AT16" s="18" t="str">
        <f t="shared" si="12"/>
        <v/>
      </c>
      <c r="AU16" s="18"/>
      <c r="AV16" s="18"/>
      <c r="AW16" s="18" t="str">
        <f t="shared" si="13"/>
        <v/>
      </c>
      <c r="AX16" s="18"/>
      <c r="AY16" s="18"/>
      <c r="AZ16" s="18" t="str">
        <f t="shared" si="14"/>
        <v/>
      </c>
      <c r="BA16" s="18">
        <v>80.489999999999995</v>
      </c>
      <c r="BB16" s="18"/>
      <c r="BC16" s="18">
        <f t="shared" si="15"/>
        <v>80.489999999999995</v>
      </c>
      <c r="BD16" s="18"/>
      <c r="BE16" s="18"/>
      <c r="BF16" s="18" t="str">
        <f t="shared" si="16"/>
        <v/>
      </c>
      <c r="BG16" s="18"/>
      <c r="BH16" s="18"/>
      <c r="BI16" s="18" t="str">
        <f t="shared" si="17"/>
        <v/>
      </c>
      <c r="BJ16" s="18"/>
      <c r="BK16" s="18"/>
      <c r="BL16" s="18" t="str">
        <f t="shared" si="18"/>
        <v/>
      </c>
      <c r="BM16" s="18"/>
      <c r="BN16" s="18"/>
      <c r="BO16" s="18" t="str">
        <f t="shared" si="19"/>
        <v/>
      </c>
      <c r="BP16" s="18"/>
      <c r="BQ16" s="18"/>
      <c r="BR16" s="18" t="str">
        <f t="shared" si="20"/>
        <v/>
      </c>
    </row>
    <row r="17" spans="1:70" ht="25.5" x14ac:dyDescent="0.25">
      <c r="A17" s="2" t="s">
        <v>773</v>
      </c>
      <c r="B17" s="2" t="str">
        <f>VLOOKUP($A17,[2]Projekty!$A$2:$AR$1147,4,0)</f>
        <v>OPKZP-PO1-SC111-2016-10</v>
      </c>
      <c r="C17" s="2" t="str">
        <f>VLOOKUP($A17,[2]Projekty!$A$2:$AR$1147,6,0)</f>
        <v>Obec Dedina Mládeže</v>
      </c>
      <c r="D17" s="2" t="str">
        <f>VLOOKUP($A17,[2]Projekty!$A$2:$AR$1147,7,0)</f>
        <v>Rozšírenie Ekodvora v obci Dedina Mládeže</v>
      </c>
      <c r="E17" s="2" t="str">
        <f>VLOOKUP($A17,[2]Projekty!$A$2:$AR$1147,9,0)</f>
        <v>NR</v>
      </c>
      <c r="F17" s="2" t="str">
        <f>VLOOKUP($A17,[2]Projekty!$A$2:$AR$1147,14,0)</f>
        <v>Aktivity nezačaté</v>
      </c>
      <c r="G17" s="61">
        <f>VLOOKUP($A17,'[2]Dĺžka realizácie'!$A$2:$AR$1148,8,0)</f>
        <v>43251</v>
      </c>
      <c r="H17" s="18"/>
      <c r="I17" s="18"/>
      <c r="J17" s="18" t="str">
        <f t="shared" si="0"/>
        <v/>
      </c>
      <c r="K17" s="18"/>
      <c r="L17" s="18"/>
      <c r="M17" s="18" t="str">
        <f t="shared" si="1"/>
        <v/>
      </c>
      <c r="N17" s="18"/>
      <c r="O17" s="18"/>
      <c r="P17" s="18" t="str">
        <f t="shared" si="2"/>
        <v/>
      </c>
      <c r="Q17" s="18"/>
      <c r="R17" s="18"/>
      <c r="S17" s="18" t="str">
        <f t="shared" si="3"/>
        <v/>
      </c>
      <c r="T17" s="18">
        <v>47.64</v>
      </c>
      <c r="U17" s="18"/>
      <c r="V17" s="18">
        <f t="shared" si="4"/>
        <v>47.64</v>
      </c>
      <c r="W17" s="18"/>
      <c r="X17" s="18"/>
      <c r="Y17" s="18" t="str">
        <f t="shared" si="5"/>
        <v/>
      </c>
      <c r="Z17" s="18"/>
      <c r="AA17" s="18"/>
      <c r="AB17" s="18" t="str">
        <f t="shared" si="6"/>
        <v/>
      </c>
      <c r="AC17" s="18"/>
      <c r="AD17" s="18"/>
      <c r="AE17" s="18" t="str">
        <f t="shared" si="7"/>
        <v/>
      </c>
      <c r="AF17" s="18"/>
      <c r="AG17" s="18"/>
      <c r="AH17" s="18" t="str">
        <f t="shared" si="8"/>
        <v/>
      </c>
      <c r="AI17" s="18"/>
      <c r="AJ17" s="18"/>
      <c r="AK17" s="18" t="str">
        <f t="shared" si="9"/>
        <v/>
      </c>
      <c r="AL17" s="18"/>
      <c r="AM17" s="18"/>
      <c r="AN17" s="18" t="str">
        <f t="shared" si="10"/>
        <v/>
      </c>
      <c r="AO17" s="18"/>
      <c r="AP17" s="18"/>
      <c r="AQ17" s="18" t="str">
        <f t="shared" si="11"/>
        <v/>
      </c>
      <c r="AR17" s="18"/>
      <c r="AS17" s="18"/>
      <c r="AT17" s="18" t="str">
        <f t="shared" si="12"/>
        <v/>
      </c>
      <c r="AU17" s="18"/>
      <c r="AV17" s="18"/>
      <c r="AW17" s="18" t="str">
        <f t="shared" si="13"/>
        <v/>
      </c>
      <c r="AX17" s="18"/>
      <c r="AY17" s="18"/>
      <c r="AZ17" s="18" t="str">
        <f t="shared" si="14"/>
        <v/>
      </c>
      <c r="BA17" s="18">
        <v>47.64</v>
      </c>
      <c r="BB17" s="18"/>
      <c r="BC17" s="18">
        <f t="shared" si="15"/>
        <v>47.64</v>
      </c>
      <c r="BD17" s="18"/>
      <c r="BE17" s="18"/>
      <c r="BF17" s="18" t="str">
        <f t="shared" si="16"/>
        <v/>
      </c>
      <c r="BG17" s="18"/>
      <c r="BH17" s="18"/>
      <c r="BI17" s="18" t="str">
        <f t="shared" si="17"/>
        <v/>
      </c>
      <c r="BJ17" s="18"/>
      <c r="BK17" s="18"/>
      <c r="BL17" s="18" t="str">
        <f t="shared" si="18"/>
        <v/>
      </c>
      <c r="BM17" s="18"/>
      <c r="BN17" s="18"/>
      <c r="BO17" s="18" t="str">
        <f t="shared" si="19"/>
        <v/>
      </c>
      <c r="BP17" s="18"/>
      <c r="BQ17" s="18"/>
      <c r="BR17" s="18" t="str">
        <f t="shared" si="20"/>
        <v/>
      </c>
    </row>
    <row r="18" spans="1:70" x14ac:dyDescent="0.25">
      <c r="A18" s="2" t="s">
        <v>722</v>
      </c>
      <c r="B18" s="2" t="str">
        <f>VLOOKUP($A18,[2]Projekty!$A$2:$AR$1147,4,0)</f>
        <v>OPKZP-PO1-SC111-2016-10</v>
      </c>
      <c r="C18" s="2" t="str">
        <f>VLOOKUP($A18,[2]Projekty!$A$2:$AR$1147,6,0)</f>
        <v>Obec Trávnica</v>
      </c>
      <c r="D18" s="2" t="str">
        <f>VLOOKUP($A18,[2]Projekty!$A$2:$AR$1147,7,0)</f>
        <v>Separovaný zberný dvor Trávnica</v>
      </c>
      <c r="E18" s="2" t="str">
        <f>VLOOKUP($A18,[2]Projekty!$A$2:$AR$1147,9,0)</f>
        <v>NR</v>
      </c>
      <c r="F18" s="2" t="str">
        <f>VLOOKUP($A18,[2]Projekty!$A$2:$AR$1147,14,0)</f>
        <v>Realizácia</v>
      </c>
      <c r="G18" s="61">
        <f>VLOOKUP($A18,'[2]Dĺžka realizácie'!$A$2:$AR$1148,8,0)</f>
        <v>43069</v>
      </c>
      <c r="H18" s="18"/>
      <c r="I18" s="18"/>
      <c r="J18" s="18" t="str">
        <f t="shared" si="0"/>
        <v/>
      </c>
      <c r="K18" s="18"/>
      <c r="L18" s="18"/>
      <c r="M18" s="18" t="str">
        <f t="shared" si="1"/>
        <v/>
      </c>
      <c r="N18" s="18"/>
      <c r="O18" s="18"/>
      <c r="P18" s="18" t="str">
        <f t="shared" si="2"/>
        <v/>
      </c>
      <c r="Q18" s="18"/>
      <c r="R18" s="18"/>
      <c r="S18" s="18" t="str">
        <f t="shared" si="3"/>
        <v/>
      </c>
      <c r="T18" s="18">
        <v>98.6</v>
      </c>
      <c r="U18" s="18"/>
      <c r="V18" s="18">
        <f t="shared" si="4"/>
        <v>98.6</v>
      </c>
      <c r="W18" s="18"/>
      <c r="X18" s="18"/>
      <c r="Y18" s="18" t="str">
        <f t="shared" si="5"/>
        <v/>
      </c>
      <c r="Z18" s="18"/>
      <c r="AA18" s="18"/>
      <c r="AB18" s="18" t="str">
        <f t="shared" si="6"/>
        <v/>
      </c>
      <c r="AC18" s="18">
        <v>1082</v>
      </c>
      <c r="AD18" s="18"/>
      <c r="AE18" s="18">
        <f t="shared" si="7"/>
        <v>1082</v>
      </c>
      <c r="AF18" s="18"/>
      <c r="AG18" s="18"/>
      <c r="AH18" s="18" t="str">
        <f t="shared" si="8"/>
        <v/>
      </c>
      <c r="AI18" s="18"/>
      <c r="AJ18" s="18"/>
      <c r="AK18" s="18" t="str">
        <f t="shared" si="9"/>
        <v/>
      </c>
      <c r="AL18" s="18"/>
      <c r="AM18" s="18"/>
      <c r="AN18" s="18" t="str">
        <f t="shared" si="10"/>
        <v/>
      </c>
      <c r="AO18" s="18"/>
      <c r="AP18" s="18"/>
      <c r="AQ18" s="18" t="str">
        <f t="shared" si="11"/>
        <v/>
      </c>
      <c r="AR18" s="18">
        <v>3</v>
      </c>
      <c r="AS18" s="18"/>
      <c r="AT18" s="18">
        <f t="shared" si="12"/>
        <v>3</v>
      </c>
      <c r="AU18" s="18"/>
      <c r="AV18" s="18"/>
      <c r="AW18" s="18" t="str">
        <f t="shared" si="13"/>
        <v/>
      </c>
      <c r="AX18" s="18"/>
      <c r="AY18" s="18"/>
      <c r="AZ18" s="18" t="str">
        <f t="shared" si="14"/>
        <v/>
      </c>
      <c r="BA18" s="18">
        <v>98.6</v>
      </c>
      <c r="BB18" s="18"/>
      <c r="BC18" s="18">
        <f t="shared" si="15"/>
        <v>98.6</v>
      </c>
      <c r="BD18" s="18"/>
      <c r="BE18" s="18"/>
      <c r="BF18" s="18" t="str">
        <f t="shared" si="16"/>
        <v/>
      </c>
      <c r="BG18" s="18"/>
      <c r="BH18" s="18"/>
      <c r="BI18" s="18" t="str">
        <f t="shared" si="17"/>
        <v/>
      </c>
      <c r="BJ18" s="18"/>
      <c r="BK18" s="18"/>
      <c r="BL18" s="18" t="str">
        <f t="shared" si="18"/>
        <v/>
      </c>
      <c r="BM18" s="18"/>
      <c r="BN18" s="18"/>
      <c r="BO18" s="18" t="str">
        <f t="shared" si="19"/>
        <v/>
      </c>
      <c r="BP18" s="18"/>
      <c r="BQ18" s="18"/>
      <c r="BR18" s="18" t="str">
        <f t="shared" si="20"/>
        <v/>
      </c>
    </row>
    <row r="19" spans="1:70" ht="25.5" x14ac:dyDescent="0.25">
      <c r="A19" s="2" t="s">
        <v>723</v>
      </c>
      <c r="B19" s="2" t="str">
        <f>VLOOKUP($A19,[2]Projekty!$A$2:$AR$1147,4,0)</f>
        <v>OPKZP-PO1-SC111-2016-11</v>
      </c>
      <c r="C19" s="2" t="str">
        <f>VLOOKUP($A19,[2]Projekty!$A$2:$AR$1147,6,0)</f>
        <v>Mesto Kremnica</v>
      </c>
      <c r="D19" s="2" t="str">
        <f>VLOOKUP($A19,[2]Projekty!$A$2:$AR$1147,7,0)</f>
        <v>Technické vybavenie kompostoviska v meste Kremnica</v>
      </c>
      <c r="E19" s="2" t="str">
        <f>VLOOKUP($A19,[2]Projekty!$A$2:$AR$1147,9,0)</f>
        <v>BB</v>
      </c>
      <c r="F19" s="2" t="str">
        <f>VLOOKUP($A19,[2]Projekty!$A$2:$AR$1147,14,0)</f>
        <v>Realizácia</v>
      </c>
      <c r="G19" s="61">
        <f>VLOOKUP($A19,'[2]Dĺžka realizácie'!$A$2:$AR$1148,8,0)</f>
        <v>43100</v>
      </c>
      <c r="H19" s="18"/>
      <c r="I19" s="18"/>
      <c r="J19" s="18" t="str">
        <f t="shared" si="0"/>
        <v/>
      </c>
      <c r="K19" s="18"/>
      <c r="L19" s="18"/>
      <c r="M19" s="18" t="str">
        <f t="shared" si="1"/>
        <v/>
      </c>
      <c r="N19" s="18"/>
      <c r="O19" s="18"/>
      <c r="P19" s="18" t="str">
        <f t="shared" si="2"/>
        <v/>
      </c>
      <c r="Q19" s="18"/>
      <c r="R19" s="18"/>
      <c r="S19" s="18" t="str">
        <f t="shared" si="3"/>
        <v/>
      </c>
      <c r="T19" s="18"/>
      <c r="U19" s="18"/>
      <c r="V19" s="18" t="str">
        <f t="shared" si="4"/>
        <v/>
      </c>
      <c r="W19" s="18">
        <v>290</v>
      </c>
      <c r="X19" s="18"/>
      <c r="Y19" s="18">
        <f t="shared" si="5"/>
        <v>290</v>
      </c>
      <c r="Z19" s="18"/>
      <c r="AA19" s="18"/>
      <c r="AB19" s="18" t="str">
        <f t="shared" si="6"/>
        <v/>
      </c>
      <c r="AC19" s="18"/>
      <c r="AD19" s="18"/>
      <c r="AE19" s="18" t="str">
        <f t="shared" si="7"/>
        <v/>
      </c>
      <c r="AF19" s="18"/>
      <c r="AG19" s="18"/>
      <c r="AH19" s="18" t="str">
        <f t="shared" si="8"/>
        <v/>
      </c>
      <c r="AI19" s="18"/>
      <c r="AJ19" s="18"/>
      <c r="AK19" s="18" t="str">
        <f t="shared" si="9"/>
        <v/>
      </c>
      <c r="AL19" s="18"/>
      <c r="AM19" s="18"/>
      <c r="AN19" s="18" t="str">
        <f t="shared" si="10"/>
        <v/>
      </c>
      <c r="AO19" s="18"/>
      <c r="AP19" s="18"/>
      <c r="AQ19" s="18" t="str">
        <f t="shared" si="11"/>
        <v/>
      </c>
      <c r="AR19" s="18"/>
      <c r="AS19" s="18"/>
      <c r="AT19" s="18" t="str">
        <f t="shared" si="12"/>
        <v/>
      </c>
      <c r="AU19" s="18"/>
      <c r="AV19" s="18"/>
      <c r="AW19" s="18" t="str">
        <f t="shared" si="13"/>
        <v/>
      </c>
      <c r="AX19" s="18"/>
      <c r="AY19" s="18"/>
      <c r="AZ19" s="18" t="str">
        <f t="shared" si="14"/>
        <v/>
      </c>
      <c r="BA19" s="18"/>
      <c r="BB19" s="18"/>
      <c r="BC19" s="18" t="str">
        <f t="shared" si="15"/>
        <v/>
      </c>
      <c r="BD19" s="18">
        <v>290</v>
      </c>
      <c r="BE19" s="18"/>
      <c r="BF19" s="18">
        <f t="shared" si="16"/>
        <v>290</v>
      </c>
      <c r="BG19" s="18"/>
      <c r="BH19" s="18"/>
      <c r="BI19" s="18" t="str">
        <f t="shared" si="17"/>
        <v/>
      </c>
      <c r="BJ19" s="18"/>
      <c r="BK19" s="18"/>
      <c r="BL19" s="18" t="str">
        <f t="shared" si="18"/>
        <v/>
      </c>
      <c r="BM19" s="18"/>
      <c r="BN19" s="18"/>
      <c r="BO19" s="18" t="str">
        <f t="shared" si="19"/>
        <v/>
      </c>
      <c r="BP19" s="18"/>
      <c r="BQ19" s="18"/>
      <c r="BR19" s="18" t="str">
        <f t="shared" si="20"/>
        <v/>
      </c>
    </row>
    <row r="20" spans="1:70" ht="25.5" x14ac:dyDescent="0.25">
      <c r="A20" s="2" t="s">
        <v>807</v>
      </c>
      <c r="B20" s="2" t="str">
        <f>VLOOKUP($A20,[2]Projekty!$A$2:$AR$1147,4,0)</f>
        <v>OPKZP-PO1-SC111-2016-10</v>
      </c>
      <c r="C20" s="2" t="str">
        <f>VLOOKUP($A20,[2]Projekty!$A$2:$AR$1147,6,0)</f>
        <v>Obec Horné Srnie</v>
      </c>
      <c r="D20" s="2" t="str">
        <f>VLOOKUP($A20,[2]Projekty!$A$2:$AR$1147,7,0)</f>
        <v>Intenzifikácia triedeného zberu komunálneho odpadu v obci Horné Srnie</v>
      </c>
      <c r="E20" s="2" t="str">
        <f>VLOOKUP($A20,[2]Projekty!$A$2:$AR$1147,9,0)</f>
        <v>TN</v>
      </c>
      <c r="F20" s="2" t="str">
        <f>VLOOKUP($A20,[2]Projekty!$A$2:$AR$1147,14,0)</f>
        <v>Realizácia</v>
      </c>
      <c r="G20" s="61">
        <f>VLOOKUP($A20,'[2]Dĺžka realizácie'!$A$2:$AR$1148,8,0)</f>
        <v>43100</v>
      </c>
      <c r="H20" s="18"/>
      <c r="I20" s="18"/>
      <c r="J20" s="18" t="str">
        <f t="shared" si="0"/>
        <v/>
      </c>
      <c r="K20" s="18"/>
      <c r="L20" s="18"/>
      <c r="M20" s="18" t="str">
        <f t="shared" si="1"/>
        <v/>
      </c>
      <c r="N20" s="18"/>
      <c r="O20" s="18"/>
      <c r="P20" s="18" t="str">
        <f t="shared" si="2"/>
        <v/>
      </c>
      <c r="Q20" s="18"/>
      <c r="R20" s="18"/>
      <c r="S20" s="18" t="str">
        <f t="shared" si="3"/>
        <v/>
      </c>
      <c r="T20" s="18">
        <v>325</v>
      </c>
      <c r="U20" s="18"/>
      <c r="V20" s="18">
        <f t="shared" si="4"/>
        <v>325</v>
      </c>
      <c r="W20" s="18"/>
      <c r="X20" s="18"/>
      <c r="Y20" s="18" t="str">
        <f t="shared" si="5"/>
        <v/>
      </c>
      <c r="Z20" s="18"/>
      <c r="AA20" s="18"/>
      <c r="AB20" s="18" t="str">
        <f t="shared" si="6"/>
        <v/>
      </c>
      <c r="AC20" s="18">
        <v>500</v>
      </c>
      <c r="AD20" s="18"/>
      <c r="AE20" s="18">
        <f t="shared" si="7"/>
        <v>500</v>
      </c>
      <c r="AF20" s="18"/>
      <c r="AG20" s="18"/>
      <c r="AH20" s="18" t="str">
        <f t="shared" si="8"/>
        <v/>
      </c>
      <c r="AI20" s="18"/>
      <c r="AJ20" s="18"/>
      <c r="AK20" s="18" t="str">
        <f t="shared" si="9"/>
        <v/>
      </c>
      <c r="AL20" s="18"/>
      <c r="AM20" s="18"/>
      <c r="AN20" s="18" t="str">
        <f t="shared" si="10"/>
        <v/>
      </c>
      <c r="AO20" s="18"/>
      <c r="AP20" s="18"/>
      <c r="AQ20" s="18" t="str">
        <f t="shared" si="11"/>
        <v/>
      </c>
      <c r="AR20" s="18">
        <v>4</v>
      </c>
      <c r="AS20" s="18"/>
      <c r="AT20" s="18">
        <f t="shared" si="12"/>
        <v>4</v>
      </c>
      <c r="AU20" s="18"/>
      <c r="AV20" s="18"/>
      <c r="AW20" s="18" t="str">
        <f t="shared" si="13"/>
        <v/>
      </c>
      <c r="AX20" s="18"/>
      <c r="AY20" s="18"/>
      <c r="AZ20" s="18" t="str">
        <f t="shared" si="14"/>
        <v/>
      </c>
      <c r="BA20" s="18">
        <v>325</v>
      </c>
      <c r="BB20" s="18"/>
      <c r="BC20" s="18">
        <f t="shared" si="15"/>
        <v>325</v>
      </c>
      <c r="BD20" s="18"/>
      <c r="BE20" s="18"/>
      <c r="BF20" s="18" t="str">
        <f t="shared" si="16"/>
        <v/>
      </c>
      <c r="BG20" s="18"/>
      <c r="BH20" s="18"/>
      <c r="BI20" s="18" t="str">
        <f t="shared" si="17"/>
        <v/>
      </c>
      <c r="BJ20" s="18"/>
      <c r="BK20" s="18"/>
      <c r="BL20" s="18" t="str">
        <f t="shared" si="18"/>
        <v/>
      </c>
      <c r="BM20" s="18"/>
      <c r="BN20" s="18"/>
      <c r="BO20" s="18" t="str">
        <f t="shared" si="19"/>
        <v/>
      </c>
      <c r="BP20" s="18"/>
      <c r="BQ20" s="18"/>
      <c r="BR20" s="18" t="str">
        <f t="shared" si="20"/>
        <v/>
      </c>
    </row>
    <row r="21" spans="1:70" ht="25.5" x14ac:dyDescent="0.25">
      <c r="A21" s="2" t="s">
        <v>724</v>
      </c>
      <c r="B21" s="2" t="str">
        <f>VLOOKUP($A21,[2]Projekty!$A$2:$AR$1147,4,0)</f>
        <v>OPKZP-PO1-SC111-2016-10</v>
      </c>
      <c r="C21" s="2" t="str">
        <f>VLOOKUP($A21,[2]Projekty!$A$2:$AR$1147,6,0)</f>
        <v>Obec Hliník nad Hronom</v>
      </c>
      <c r="D21" s="2" t="str">
        <f>VLOOKUP($A21,[2]Projekty!$A$2:$AR$1147,7,0)</f>
        <v>Zberný dvor – Hliník nad Hronom</v>
      </c>
      <c r="E21" s="2" t="str">
        <f>VLOOKUP($A21,[2]Projekty!$A$2:$AR$1147,9,0)</f>
        <v>BB</v>
      </c>
      <c r="F21" s="2" t="str">
        <f>VLOOKUP($A21,[2]Projekty!$A$2:$AR$1147,14,0)</f>
        <v>Aktivity nezačaté</v>
      </c>
      <c r="G21" s="61">
        <f>VLOOKUP($A21,'[2]Dĺžka realizácie'!$A$2:$AR$1148,8,0)</f>
        <v>43220</v>
      </c>
      <c r="H21" s="18"/>
      <c r="I21" s="18"/>
      <c r="J21" s="18" t="str">
        <f t="shared" si="0"/>
        <v/>
      </c>
      <c r="K21" s="18"/>
      <c r="L21" s="18"/>
      <c r="M21" s="18" t="str">
        <f t="shared" si="1"/>
        <v/>
      </c>
      <c r="N21" s="18"/>
      <c r="O21" s="18"/>
      <c r="P21" s="18" t="str">
        <f t="shared" si="2"/>
        <v/>
      </c>
      <c r="Q21" s="18"/>
      <c r="R21" s="18"/>
      <c r="S21" s="18" t="str">
        <f t="shared" si="3"/>
        <v/>
      </c>
      <c r="T21" s="18">
        <v>454.05</v>
      </c>
      <c r="U21" s="18"/>
      <c r="V21" s="18">
        <f t="shared" si="4"/>
        <v>454.05</v>
      </c>
      <c r="W21" s="18"/>
      <c r="X21" s="18"/>
      <c r="Y21" s="18" t="str">
        <f t="shared" si="5"/>
        <v/>
      </c>
      <c r="Z21" s="18"/>
      <c r="AA21" s="18"/>
      <c r="AB21" s="18" t="str">
        <f t="shared" si="6"/>
        <v/>
      </c>
      <c r="AC21" s="18"/>
      <c r="AD21" s="18"/>
      <c r="AE21" s="18" t="str">
        <f t="shared" si="7"/>
        <v/>
      </c>
      <c r="AF21" s="18"/>
      <c r="AG21" s="18"/>
      <c r="AH21" s="18" t="str">
        <f t="shared" si="8"/>
        <v/>
      </c>
      <c r="AI21" s="18"/>
      <c r="AJ21" s="18"/>
      <c r="AK21" s="18" t="str">
        <f t="shared" si="9"/>
        <v/>
      </c>
      <c r="AL21" s="18"/>
      <c r="AM21" s="18"/>
      <c r="AN21" s="18" t="str">
        <f t="shared" si="10"/>
        <v/>
      </c>
      <c r="AO21" s="18"/>
      <c r="AP21" s="18"/>
      <c r="AQ21" s="18" t="str">
        <f t="shared" si="11"/>
        <v/>
      </c>
      <c r="AR21" s="18"/>
      <c r="AS21" s="18"/>
      <c r="AT21" s="18" t="str">
        <f t="shared" si="12"/>
        <v/>
      </c>
      <c r="AU21" s="18"/>
      <c r="AV21" s="18"/>
      <c r="AW21" s="18" t="str">
        <f t="shared" si="13"/>
        <v/>
      </c>
      <c r="AX21" s="18"/>
      <c r="AY21" s="18"/>
      <c r="AZ21" s="18" t="str">
        <f t="shared" si="14"/>
        <v/>
      </c>
      <c r="BA21" s="18">
        <v>454.05</v>
      </c>
      <c r="BB21" s="18"/>
      <c r="BC21" s="18">
        <f t="shared" si="15"/>
        <v>454.05</v>
      </c>
      <c r="BD21" s="18"/>
      <c r="BE21" s="18"/>
      <c r="BF21" s="18" t="str">
        <f t="shared" si="16"/>
        <v/>
      </c>
      <c r="BG21" s="18"/>
      <c r="BH21" s="18"/>
      <c r="BI21" s="18" t="str">
        <f t="shared" si="17"/>
        <v/>
      </c>
      <c r="BJ21" s="18"/>
      <c r="BK21" s="18"/>
      <c r="BL21" s="18" t="str">
        <f t="shared" si="18"/>
        <v/>
      </c>
      <c r="BM21" s="18"/>
      <c r="BN21" s="18"/>
      <c r="BO21" s="18" t="str">
        <f t="shared" si="19"/>
        <v/>
      </c>
      <c r="BP21" s="18"/>
      <c r="BQ21" s="18"/>
      <c r="BR21" s="18" t="str">
        <f t="shared" si="20"/>
        <v/>
      </c>
    </row>
    <row r="22" spans="1:70" ht="38.25" x14ac:dyDescent="0.25">
      <c r="A22" s="2" t="s">
        <v>774</v>
      </c>
      <c r="B22" s="2" t="str">
        <f>VLOOKUP($A22,[2]Projekty!$A$2:$AR$1147,4,0)</f>
        <v>OPKZP-PO1-SC111-2016-10</v>
      </c>
      <c r="C22" s="2" t="str">
        <f>VLOOKUP($A22,[2]Projekty!$A$2:$AR$1147,6,0)</f>
        <v>Obec Trenčianske Stankovce</v>
      </c>
      <c r="D22" s="2" t="str">
        <f>VLOOKUP($A22,[2]Projekty!$A$2:$AR$1147,7,0)</f>
        <v>Posilnenie technických kapacít pre zber triedeného komunálneho odpadu v obci Trenčianske Stankovce</v>
      </c>
      <c r="E22" s="2" t="str">
        <f>VLOOKUP($A22,[2]Projekty!$A$2:$AR$1147,9,0)</f>
        <v>TN</v>
      </c>
      <c r="F22" s="2" t="str">
        <f>VLOOKUP($A22,[2]Projekty!$A$2:$AR$1147,14,0)</f>
        <v>Realizácia</v>
      </c>
      <c r="G22" s="61">
        <f>VLOOKUP($A22,'[2]Dĺžka realizácie'!$A$2:$AR$1148,8,0)</f>
        <v>43100</v>
      </c>
      <c r="H22" s="18"/>
      <c r="I22" s="18"/>
      <c r="J22" s="18" t="str">
        <f t="shared" si="0"/>
        <v/>
      </c>
      <c r="K22" s="18"/>
      <c r="L22" s="18"/>
      <c r="M22" s="18" t="str">
        <f t="shared" si="1"/>
        <v/>
      </c>
      <c r="N22" s="18"/>
      <c r="O22" s="18"/>
      <c r="P22" s="18" t="str">
        <f t="shared" si="2"/>
        <v/>
      </c>
      <c r="Q22" s="18"/>
      <c r="R22" s="18"/>
      <c r="S22" s="18" t="str">
        <f t="shared" si="3"/>
        <v/>
      </c>
      <c r="T22" s="18">
        <v>151</v>
      </c>
      <c r="U22" s="112">
        <v>151</v>
      </c>
      <c r="V22" s="18">
        <f t="shared" si="4"/>
        <v>151</v>
      </c>
      <c r="W22" s="18"/>
      <c r="X22" s="18"/>
      <c r="Y22" s="18" t="str">
        <f t="shared" si="5"/>
        <v/>
      </c>
      <c r="Z22" s="18"/>
      <c r="AA22" s="18"/>
      <c r="AB22" s="18" t="str">
        <f t="shared" si="6"/>
        <v/>
      </c>
      <c r="AC22" s="18"/>
      <c r="AD22" s="18"/>
      <c r="AE22" s="18" t="str">
        <f t="shared" si="7"/>
        <v/>
      </c>
      <c r="AF22" s="18"/>
      <c r="AG22" s="18"/>
      <c r="AH22" s="18" t="str">
        <f t="shared" si="8"/>
        <v/>
      </c>
      <c r="AI22" s="18"/>
      <c r="AJ22" s="18"/>
      <c r="AK22" s="18" t="str">
        <f t="shared" si="9"/>
        <v/>
      </c>
      <c r="AL22" s="18"/>
      <c r="AM22" s="18"/>
      <c r="AN22" s="18" t="str">
        <f t="shared" si="10"/>
        <v/>
      </c>
      <c r="AO22" s="18"/>
      <c r="AP22" s="18"/>
      <c r="AQ22" s="18" t="str">
        <f t="shared" si="11"/>
        <v/>
      </c>
      <c r="AR22" s="18"/>
      <c r="AS22" s="18"/>
      <c r="AT22" s="18" t="str">
        <f t="shared" si="12"/>
        <v/>
      </c>
      <c r="AU22" s="18"/>
      <c r="AV22" s="18"/>
      <c r="AW22" s="18" t="str">
        <f t="shared" si="13"/>
        <v/>
      </c>
      <c r="AX22" s="18"/>
      <c r="AY22" s="18"/>
      <c r="AZ22" s="18" t="str">
        <f t="shared" si="14"/>
        <v/>
      </c>
      <c r="BA22" s="18">
        <v>151</v>
      </c>
      <c r="BB22" s="18">
        <v>151</v>
      </c>
      <c r="BC22" s="18">
        <f t="shared" si="15"/>
        <v>151</v>
      </c>
      <c r="BD22" s="18"/>
      <c r="BE22" s="18"/>
      <c r="BF22" s="18" t="str">
        <f t="shared" si="16"/>
        <v/>
      </c>
      <c r="BG22" s="18"/>
      <c r="BH22" s="18"/>
      <c r="BI22" s="18" t="str">
        <f t="shared" si="17"/>
        <v/>
      </c>
      <c r="BJ22" s="18"/>
      <c r="BK22" s="18"/>
      <c r="BL22" s="18" t="str">
        <f t="shared" si="18"/>
        <v/>
      </c>
      <c r="BM22" s="18"/>
      <c r="BN22" s="18"/>
      <c r="BO22" s="18" t="str">
        <f t="shared" si="19"/>
        <v/>
      </c>
      <c r="BP22" s="18"/>
      <c r="BQ22" s="18"/>
      <c r="BR22" s="18" t="str">
        <f t="shared" si="20"/>
        <v/>
      </c>
    </row>
    <row r="23" spans="1:70" x14ac:dyDescent="0.25">
      <c r="A23" s="2" t="s">
        <v>986</v>
      </c>
      <c r="B23" s="2" t="str">
        <f>VLOOKUP($A23,[2]Projekty!$A$2:$AR$1147,4,0)</f>
        <v>OPKZP-PO1-SC111-2016-10</v>
      </c>
      <c r="C23" s="2" t="str">
        <f>VLOOKUP($A23,[2]Projekty!$A$2:$AR$1147,6,0)</f>
        <v>Obec Dlhá nad Oravou</v>
      </c>
      <c r="D23" s="2" t="str">
        <f>VLOOKUP($A23,[2]Projekty!$A$2:$AR$1147,7,0)</f>
        <v>Zberný dvor v obci Dlhá nad Oravou</v>
      </c>
      <c r="E23" s="2" t="str">
        <f>VLOOKUP($A23,[2]Projekty!$A$2:$AR$1147,9,0)</f>
        <v>ZA</v>
      </c>
      <c r="F23" s="2" t="str">
        <f>VLOOKUP($A23,[2]Projekty!$A$2:$AR$1147,14,0)</f>
        <v>Realizácia</v>
      </c>
      <c r="G23" s="61">
        <f>VLOOKUP($A23,'[2]Dĺžka realizácie'!$A$2:$AR$1148,8,0)</f>
        <v>43131</v>
      </c>
      <c r="H23" s="18"/>
      <c r="I23" s="18"/>
      <c r="J23" s="18" t="str">
        <f t="shared" si="0"/>
        <v/>
      </c>
      <c r="K23" s="18"/>
      <c r="L23" s="18"/>
      <c r="M23" s="18" t="str">
        <f t="shared" si="1"/>
        <v/>
      </c>
      <c r="N23" s="18"/>
      <c r="O23" s="18"/>
      <c r="P23" s="18" t="str">
        <f t="shared" si="2"/>
        <v/>
      </c>
      <c r="Q23" s="18"/>
      <c r="R23" s="18"/>
      <c r="S23" s="18" t="str">
        <f t="shared" si="3"/>
        <v/>
      </c>
      <c r="T23" s="18">
        <v>143</v>
      </c>
      <c r="U23" s="18"/>
      <c r="V23" s="18">
        <f t="shared" si="4"/>
        <v>143</v>
      </c>
      <c r="W23" s="18"/>
      <c r="X23" s="18"/>
      <c r="Y23" s="18" t="str">
        <f t="shared" si="5"/>
        <v/>
      </c>
      <c r="Z23" s="18"/>
      <c r="AA23" s="18"/>
      <c r="AB23" s="18" t="str">
        <f t="shared" si="6"/>
        <v/>
      </c>
      <c r="AC23" s="18"/>
      <c r="AD23" s="18"/>
      <c r="AE23" s="18" t="str">
        <f t="shared" si="7"/>
        <v/>
      </c>
      <c r="AF23" s="18"/>
      <c r="AG23" s="18"/>
      <c r="AH23" s="18" t="str">
        <f t="shared" si="8"/>
        <v/>
      </c>
      <c r="AI23" s="18"/>
      <c r="AJ23" s="18"/>
      <c r="AK23" s="18" t="str">
        <f t="shared" si="9"/>
        <v/>
      </c>
      <c r="AL23" s="18"/>
      <c r="AM23" s="18"/>
      <c r="AN23" s="18" t="str">
        <f t="shared" si="10"/>
        <v/>
      </c>
      <c r="AO23" s="18"/>
      <c r="AP23" s="18"/>
      <c r="AQ23" s="18" t="str">
        <f t="shared" si="11"/>
        <v/>
      </c>
      <c r="AR23" s="18"/>
      <c r="AS23" s="18"/>
      <c r="AT23" s="18" t="str">
        <f t="shared" si="12"/>
        <v/>
      </c>
      <c r="AU23" s="18"/>
      <c r="AV23" s="18"/>
      <c r="AW23" s="18" t="str">
        <f t="shared" si="13"/>
        <v/>
      </c>
      <c r="AX23" s="18"/>
      <c r="AY23" s="18"/>
      <c r="AZ23" s="18" t="str">
        <f t="shared" si="14"/>
        <v/>
      </c>
      <c r="BA23" s="18">
        <v>143</v>
      </c>
      <c r="BB23" s="18"/>
      <c r="BC23" s="18">
        <f t="shared" si="15"/>
        <v>143</v>
      </c>
      <c r="BD23" s="18"/>
      <c r="BE23" s="18"/>
      <c r="BF23" s="18" t="str">
        <f t="shared" si="16"/>
        <v/>
      </c>
      <c r="BG23" s="18"/>
      <c r="BH23" s="18"/>
      <c r="BI23" s="18" t="str">
        <f t="shared" si="17"/>
        <v/>
      </c>
      <c r="BJ23" s="18"/>
      <c r="BK23" s="18"/>
      <c r="BL23" s="18" t="str">
        <f t="shared" si="18"/>
        <v/>
      </c>
      <c r="BM23" s="18"/>
      <c r="BN23" s="18"/>
      <c r="BO23" s="18" t="str">
        <f t="shared" si="19"/>
        <v/>
      </c>
      <c r="BP23" s="18"/>
      <c r="BQ23" s="18"/>
      <c r="BR23" s="18" t="str">
        <f t="shared" si="20"/>
        <v/>
      </c>
    </row>
    <row r="24" spans="1:70" ht="25.5" x14ac:dyDescent="0.25">
      <c r="A24" s="2" t="s">
        <v>725</v>
      </c>
      <c r="B24" s="2" t="str">
        <f>VLOOKUP($A24,[2]Projekty!$A$2:$AR$1147,4,0)</f>
        <v>OPKZP-PO1-SC111-2016-10</v>
      </c>
      <c r="C24" s="2" t="str">
        <f>VLOOKUP($A24,[2]Projekty!$A$2:$AR$1147,6,0)</f>
        <v>Obec Dolná Streda</v>
      </c>
      <c r="D24" s="2" t="str">
        <f>VLOOKUP($A24,[2]Projekty!$A$2:$AR$1147,7,0)</f>
        <v>Zberný dvor v obci Dolná Streda</v>
      </c>
      <c r="E24" s="2" t="str">
        <f>VLOOKUP($A24,[2]Projekty!$A$2:$AR$1147,9,0)</f>
        <v>TT</v>
      </c>
      <c r="F24" s="2" t="str">
        <f>VLOOKUP($A24,[2]Projekty!$A$2:$AR$1147,14,0)</f>
        <v>Aktivity nezačaté</v>
      </c>
      <c r="G24" s="61">
        <f>VLOOKUP($A24,'[2]Dĺžka realizácie'!$A$2:$AR$1148,8,0)</f>
        <v>43281</v>
      </c>
      <c r="H24" s="18"/>
      <c r="I24" s="18"/>
      <c r="J24" s="18" t="str">
        <f t="shared" si="0"/>
        <v/>
      </c>
      <c r="K24" s="18"/>
      <c r="L24" s="18"/>
      <c r="M24" s="18" t="str">
        <f t="shared" si="1"/>
        <v/>
      </c>
      <c r="N24" s="18"/>
      <c r="O24" s="18"/>
      <c r="P24" s="18" t="str">
        <f t="shared" si="2"/>
        <v/>
      </c>
      <c r="Q24" s="18"/>
      <c r="R24" s="18"/>
      <c r="S24" s="18" t="str">
        <f t="shared" si="3"/>
        <v/>
      </c>
      <c r="T24" s="18">
        <v>220</v>
      </c>
      <c r="U24" s="18"/>
      <c r="V24" s="18">
        <f t="shared" si="4"/>
        <v>220</v>
      </c>
      <c r="W24" s="18"/>
      <c r="X24" s="18"/>
      <c r="Y24" s="18" t="str">
        <f t="shared" si="5"/>
        <v/>
      </c>
      <c r="Z24" s="18"/>
      <c r="AA24" s="18"/>
      <c r="AB24" s="18" t="str">
        <f t="shared" si="6"/>
        <v/>
      </c>
      <c r="AC24" s="18"/>
      <c r="AD24" s="18"/>
      <c r="AE24" s="18" t="str">
        <f t="shared" si="7"/>
        <v/>
      </c>
      <c r="AF24" s="18"/>
      <c r="AG24" s="18"/>
      <c r="AH24" s="18" t="str">
        <f t="shared" si="8"/>
        <v/>
      </c>
      <c r="AI24" s="18"/>
      <c r="AJ24" s="18"/>
      <c r="AK24" s="18" t="str">
        <f t="shared" si="9"/>
        <v/>
      </c>
      <c r="AL24" s="18"/>
      <c r="AM24" s="18"/>
      <c r="AN24" s="18" t="str">
        <f t="shared" si="10"/>
        <v/>
      </c>
      <c r="AO24" s="18"/>
      <c r="AP24" s="18"/>
      <c r="AQ24" s="18" t="str">
        <f t="shared" si="11"/>
        <v/>
      </c>
      <c r="AR24" s="18"/>
      <c r="AS24" s="18"/>
      <c r="AT24" s="18" t="str">
        <f t="shared" si="12"/>
        <v/>
      </c>
      <c r="AU24" s="18"/>
      <c r="AV24" s="18"/>
      <c r="AW24" s="18" t="str">
        <f t="shared" si="13"/>
        <v/>
      </c>
      <c r="AX24" s="18"/>
      <c r="AY24" s="18"/>
      <c r="AZ24" s="18" t="str">
        <f t="shared" si="14"/>
        <v/>
      </c>
      <c r="BA24" s="18">
        <v>220</v>
      </c>
      <c r="BB24" s="18"/>
      <c r="BC24" s="18">
        <f t="shared" si="15"/>
        <v>220</v>
      </c>
      <c r="BD24" s="18"/>
      <c r="BE24" s="18"/>
      <c r="BF24" s="18" t="str">
        <f t="shared" si="16"/>
        <v/>
      </c>
      <c r="BG24" s="18"/>
      <c r="BH24" s="18"/>
      <c r="BI24" s="18" t="str">
        <f t="shared" si="17"/>
        <v/>
      </c>
      <c r="BJ24" s="18"/>
      <c r="BK24" s="18"/>
      <c r="BL24" s="18" t="str">
        <f t="shared" si="18"/>
        <v/>
      </c>
      <c r="BM24" s="18"/>
      <c r="BN24" s="18"/>
      <c r="BO24" s="18" t="str">
        <f t="shared" si="19"/>
        <v/>
      </c>
      <c r="BP24" s="18"/>
      <c r="BQ24" s="18"/>
      <c r="BR24" s="18" t="str">
        <f t="shared" si="20"/>
        <v/>
      </c>
    </row>
    <row r="25" spans="1:70" ht="25.5" x14ac:dyDescent="0.25">
      <c r="A25" s="2" t="s">
        <v>726</v>
      </c>
      <c r="B25" s="2" t="str">
        <f>VLOOKUP($A25,[2]Projekty!$A$2:$AR$1147,4,0)</f>
        <v>OPKZP-PO1-SC111-2016-11</v>
      </c>
      <c r="C25" s="2" t="str">
        <f>VLOOKUP($A25,[2]Projekty!$A$2:$AR$1147,6,0)</f>
        <v>Mesto Kysucké Nové Mesto</v>
      </c>
      <c r="D25" s="2" t="str">
        <f>VLOOKUP($A25,[2]Projekty!$A$2:$AR$1147,7,0)</f>
        <v>Zhodnocovanie biologicky rozložiteľných odpadov Kysucké Nové Mesto</v>
      </c>
      <c r="E25" s="2" t="str">
        <f>VLOOKUP($A25,[2]Projekty!$A$2:$AR$1147,9,0)</f>
        <v>ZA</v>
      </c>
      <c r="F25" s="2" t="str">
        <f>VLOOKUP($A25,[2]Projekty!$A$2:$AR$1147,14,0)</f>
        <v>Aktivity nezačaté</v>
      </c>
      <c r="G25" s="61">
        <f>VLOOKUP($A25,'[2]Dĺžka realizácie'!$A$2:$AR$1148,8,0)</f>
        <v>43220</v>
      </c>
      <c r="H25" s="18"/>
      <c r="I25" s="18"/>
      <c r="J25" s="18" t="str">
        <f t="shared" si="0"/>
        <v/>
      </c>
      <c r="K25" s="18"/>
      <c r="L25" s="18"/>
      <c r="M25" s="18" t="str">
        <f t="shared" si="1"/>
        <v/>
      </c>
      <c r="N25" s="18"/>
      <c r="O25" s="18"/>
      <c r="P25" s="18" t="str">
        <f t="shared" si="2"/>
        <v/>
      </c>
      <c r="Q25" s="18"/>
      <c r="R25" s="18"/>
      <c r="S25" s="18" t="str">
        <f t="shared" si="3"/>
        <v/>
      </c>
      <c r="T25" s="18"/>
      <c r="U25" s="18"/>
      <c r="V25" s="18" t="str">
        <f t="shared" si="4"/>
        <v/>
      </c>
      <c r="W25" s="18">
        <v>3000</v>
      </c>
      <c r="X25" s="18"/>
      <c r="Y25" s="18">
        <f t="shared" si="5"/>
        <v>3000</v>
      </c>
      <c r="Z25" s="18"/>
      <c r="AA25" s="18"/>
      <c r="AB25" s="18" t="str">
        <f t="shared" si="6"/>
        <v/>
      </c>
      <c r="AC25" s="18"/>
      <c r="AD25" s="18"/>
      <c r="AE25" s="18" t="str">
        <f t="shared" si="7"/>
        <v/>
      </c>
      <c r="AF25" s="18"/>
      <c r="AG25" s="18"/>
      <c r="AH25" s="18" t="str">
        <f t="shared" si="8"/>
        <v/>
      </c>
      <c r="AI25" s="18"/>
      <c r="AJ25" s="18"/>
      <c r="AK25" s="18" t="str">
        <f t="shared" si="9"/>
        <v/>
      </c>
      <c r="AL25" s="18"/>
      <c r="AM25" s="18"/>
      <c r="AN25" s="18" t="str">
        <f t="shared" si="10"/>
        <v/>
      </c>
      <c r="AO25" s="18"/>
      <c r="AP25" s="18"/>
      <c r="AQ25" s="18" t="str">
        <f t="shared" si="11"/>
        <v/>
      </c>
      <c r="AR25" s="18"/>
      <c r="AS25" s="18"/>
      <c r="AT25" s="18" t="str">
        <f t="shared" si="12"/>
        <v/>
      </c>
      <c r="AU25" s="18"/>
      <c r="AV25" s="18"/>
      <c r="AW25" s="18" t="str">
        <f t="shared" si="13"/>
        <v/>
      </c>
      <c r="AX25" s="18"/>
      <c r="AY25" s="18"/>
      <c r="AZ25" s="18" t="str">
        <f t="shared" si="14"/>
        <v/>
      </c>
      <c r="BA25" s="18"/>
      <c r="BB25" s="18"/>
      <c r="BC25" s="18" t="str">
        <f t="shared" si="15"/>
        <v/>
      </c>
      <c r="BD25" s="18">
        <v>4800</v>
      </c>
      <c r="BE25" s="18"/>
      <c r="BF25" s="18">
        <f t="shared" si="16"/>
        <v>4800</v>
      </c>
      <c r="BG25" s="18"/>
      <c r="BH25" s="18"/>
      <c r="BI25" s="18" t="str">
        <f t="shared" si="17"/>
        <v/>
      </c>
      <c r="BJ25" s="18"/>
      <c r="BK25" s="18"/>
      <c r="BL25" s="18" t="str">
        <f t="shared" si="18"/>
        <v/>
      </c>
      <c r="BM25" s="18"/>
      <c r="BN25" s="18"/>
      <c r="BO25" s="18" t="str">
        <f t="shared" si="19"/>
        <v/>
      </c>
      <c r="BP25" s="18"/>
      <c r="BQ25" s="18"/>
      <c r="BR25" s="18" t="str">
        <f t="shared" si="20"/>
        <v/>
      </c>
    </row>
    <row r="26" spans="1:70" x14ac:dyDescent="0.25">
      <c r="A26" s="2" t="s">
        <v>727</v>
      </c>
      <c r="B26" s="2" t="str">
        <f>VLOOKUP($A26,[2]Projekty!$A$2:$AR$1147,4,0)</f>
        <v>OPKZP-PO1-SC111-2016-11</v>
      </c>
      <c r="C26" s="2" t="str">
        <f>VLOOKUP($A26,[2]Projekty!$A$2:$AR$1147,6,0)</f>
        <v>Obec Čierny Balog</v>
      </c>
      <c r="D26" s="2" t="str">
        <f>VLOOKUP($A26,[2]Projekty!$A$2:$AR$1147,7,0)</f>
        <v>Kompostovisko Čierny Balog</v>
      </c>
      <c r="E26" s="2" t="str">
        <f>VLOOKUP($A26,[2]Projekty!$A$2:$AR$1147,9,0)</f>
        <v>BB</v>
      </c>
      <c r="F26" s="2" t="str">
        <f>VLOOKUP($A26,[2]Projekty!$A$2:$AR$1147,14,0)</f>
        <v>Realizácia</v>
      </c>
      <c r="G26" s="61">
        <f>VLOOKUP($A26,'[2]Dĺžka realizácie'!$A$2:$AR$1148,8,0)</f>
        <v>43251</v>
      </c>
      <c r="H26" s="18"/>
      <c r="I26" s="18"/>
      <c r="J26" s="18" t="str">
        <f t="shared" si="0"/>
        <v/>
      </c>
      <c r="K26" s="18"/>
      <c r="L26" s="18"/>
      <c r="M26" s="18" t="str">
        <f t="shared" si="1"/>
        <v/>
      </c>
      <c r="N26" s="18"/>
      <c r="O26" s="18"/>
      <c r="P26" s="18" t="str">
        <f t="shared" si="2"/>
        <v/>
      </c>
      <c r="Q26" s="18"/>
      <c r="R26" s="18"/>
      <c r="S26" s="18" t="str">
        <f t="shared" si="3"/>
        <v/>
      </c>
      <c r="T26" s="18"/>
      <c r="U26" s="18"/>
      <c r="V26" s="18" t="str">
        <f t="shared" si="4"/>
        <v/>
      </c>
      <c r="W26" s="18">
        <v>500</v>
      </c>
      <c r="X26" s="18"/>
      <c r="Y26" s="18">
        <f t="shared" si="5"/>
        <v>500</v>
      </c>
      <c r="Z26" s="18"/>
      <c r="AA26" s="18"/>
      <c r="AB26" s="18" t="str">
        <f t="shared" si="6"/>
        <v/>
      </c>
      <c r="AC26" s="18"/>
      <c r="AD26" s="18"/>
      <c r="AE26" s="18" t="str">
        <f t="shared" si="7"/>
        <v/>
      </c>
      <c r="AF26" s="18"/>
      <c r="AG26" s="18"/>
      <c r="AH26" s="18" t="str">
        <f t="shared" si="8"/>
        <v/>
      </c>
      <c r="AI26" s="18"/>
      <c r="AJ26" s="18"/>
      <c r="AK26" s="18" t="str">
        <f t="shared" si="9"/>
        <v/>
      </c>
      <c r="AL26" s="18"/>
      <c r="AM26" s="18"/>
      <c r="AN26" s="18" t="str">
        <f t="shared" si="10"/>
        <v/>
      </c>
      <c r="AO26" s="18"/>
      <c r="AP26" s="18"/>
      <c r="AQ26" s="18" t="str">
        <f t="shared" si="11"/>
        <v/>
      </c>
      <c r="AR26" s="18"/>
      <c r="AS26" s="18"/>
      <c r="AT26" s="18" t="str">
        <f t="shared" si="12"/>
        <v/>
      </c>
      <c r="AU26" s="18"/>
      <c r="AV26" s="18"/>
      <c r="AW26" s="18" t="str">
        <f t="shared" si="13"/>
        <v/>
      </c>
      <c r="AX26" s="18"/>
      <c r="AY26" s="18"/>
      <c r="AZ26" s="18" t="str">
        <f t="shared" si="14"/>
        <v/>
      </c>
      <c r="BA26" s="18"/>
      <c r="BB26" s="18"/>
      <c r="BC26" s="18" t="str">
        <f t="shared" si="15"/>
        <v/>
      </c>
      <c r="BD26" s="18">
        <v>950</v>
      </c>
      <c r="BE26" s="18"/>
      <c r="BF26" s="18">
        <f t="shared" si="16"/>
        <v>950</v>
      </c>
      <c r="BG26" s="18"/>
      <c r="BH26" s="18"/>
      <c r="BI26" s="18" t="str">
        <f t="shared" si="17"/>
        <v/>
      </c>
      <c r="BJ26" s="18"/>
      <c r="BK26" s="18"/>
      <c r="BL26" s="18" t="str">
        <f t="shared" si="18"/>
        <v/>
      </c>
      <c r="BM26" s="18"/>
      <c r="BN26" s="18"/>
      <c r="BO26" s="18" t="str">
        <f t="shared" si="19"/>
        <v/>
      </c>
      <c r="BP26" s="18"/>
      <c r="BQ26" s="18"/>
      <c r="BR26" s="18" t="str">
        <f t="shared" si="20"/>
        <v/>
      </c>
    </row>
    <row r="27" spans="1:70" x14ac:dyDescent="0.25">
      <c r="A27" s="2" t="s">
        <v>728</v>
      </c>
      <c r="B27" s="2" t="str">
        <f>VLOOKUP($A27,[2]Projekty!$A$2:$AR$1147,4,0)</f>
        <v>OPKZP-PO1-SC111-2016-11</v>
      </c>
      <c r="C27" s="2" t="str">
        <f>VLOOKUP($A27,[2]Projekty!$A$2:$AR$1147,6,0)</f>
        <v>Mesto Kolárovo</v>
      </c>
      <c r="D27" s="2" t="str">
        <f>VLOOKUP($A27,[2]Projekty!$A$2:$AR$1147,7,0)</f>
        <v>Zber a zhodnotenie BRKO v meste Kolárovo</v>
      </c>
      <c r="E27" s="2" t="str">
        <f>VLOOKUP($A27,[2]Projekty!$A$2:$AR$1147,9,0)</f>
        <v>NR</v>
      </c>
      <c r="F27" s="2" t="str">
        <f>VLOOKUP($A27,[2]Projekty!$A$2:$AR$1147,14,0)</f>
        <v>Realizácia</v>
      </c>
      <c r="G27" s="61">
        <f>VLOOKUP($A27,'[2]Dĺžka realizácie'!$A$2:$AR$1148,8,0)</f>
        <v>43404</v>
      </c>
      <c r="H27" s="18"/>
      <c r="I27" s="18"/>
      <c r="J27" s="18" t="str">
        <f t="shared" si="0"/>
        <v/>
      </c>
      <c r="K27" s="18"/>
      <c r="L27" s="18"/>
      <c r="M27" s="18" t="str">
        <f t="shared" si="1"/>
        <v/>
      </c>
      <c r="N27" s="18"/>
      <c r="O27" s="18"/>
      <c r="P27" s="18" t="str">
        <f t="shared" si="2"/>
        <v/>
      </c>
      <c r="Q27" s="18"/>
      <c r="R27" s="18"/>
      <c r="S27" s="18" t="str">
        <f t="shared" si="3"/>
        <v/>
      </c>
      <c r="T27" s="18"/>
      <c r="U27" s="18"/>
      <c r="V27" s="18" t="str">
        <f t="shared" si="4"/>
        <v/>
      </c>
      <c r="W27" s="18">
        <v>740</v>
      </c>
      <c r="X27" s="18"/>
      <c r="Y27" s="18">
        <f t="shared" si="5"/>
        <v>740</v>
      </c>
      <c r="Z27" s="18"/>
      <c r="AA27" s="18"/>
      <c r="AB27" s="18" t="str">
        <f t="shared" si="6"/>
        <v/>
      </c>
      <c r="AC27" s="18"/>
      <c r="AD27" s="18"/>
      <c r="AE27" s="18" t="str">
        <f t="shared" si="7"/>
        <v/>
      </c>
      <c r="AF27" s="18"/>
      <c r="AG27" s="18"/>
      <c r="AH27" s="18" t="str">
        <f t="shared" si="8"/>
        <v/>
      </c>
      <c r="AI27" s="18"/>
      <c r="AJ27" s="18"/>
      <c r="AK27" s="18" t="str">
        <f t="shared" si="9"/>
        <v/>
      </c>
      <c r="AL27" s="18"/>
      <c r="AM27" s="18"/>
      <c r="AN27" s="18" t="str">
        <f t="shared" si="10"/>
        <v/>
      </c>
      <c r="AO27" s="18"/>
      <c r="AP27" s="18"/>
      <c r="AQ27" s="18" t="str">
        <f t="shared" si="11"/>
        <v/>
      </c>
      <c r="AR27" s="18"/>
      <c r="AS27" s="18"/>
      <c r="AT27" s="18" t="str">
        <f t="shared" si="12"/>
        <v/>
      </c>
      <c r="AU27" s="18"/>
      <c r="AV27" s="18"/>
      <c r="AW27" s="18" t="str">
        <f t="shared" si="13"/>
        <v/>
      </c>
      <c r="AX27" s="18"/>
      <c r="AY27" s="18"/>
      <c r="AZ27" s="18" t="str">
        <f t="shared" si="14"/>
        <v/>
      </c>
      <c r="BA27" s="18"/>
      <c r="BB27" s="18"/>
      <c r="BC27" s="18" t="str">
        <f t="shared" si="15"/>
        <v/>
      </c>
      <c r="BD27" s="18">
        <v>1000</v>
      </c>
      <c r="BE27" s="18"/>
      <c r="BF27" s="18">
        <f t="shared" si="16"/>
        <v>1000</v>
      </c>
      <c r="BG27" s="18"/>
      <c r="BH27" s="18"/>
      <c r="BI27" s="18" t="str">
        <f t="shared" si="17"/>
        <v/>
      </c>
      <c r="BJ27" s="18"/>
      <c r="BK27" s="18"/>
      <c r="BL27" s="18" t="str">
        <f t="shared" si="18"/>
        <v/>
      </c>
      <c r="BM27" s="18"/>
      <c r="BN27" s="18"/>
      <c r="BO27" s="18" t="str">
        <f t="shared" si="19"/>
        <v/>
      </c>
      <c r="BP27" s="18"/>
      <c r="BQ27" s="18"/>
      <c r="BR27" s="18" t="str">
        <f t="shared" si="20"/>
        <v/>
      </c>
    </row>
    <row r="28" spans="1:70" ht="25.5" x14ac:dyDescent="0.25">
      <c r="A28" s="2" t="s">
        <v>708</v>
      </c>
      <c r="B28" s="2" t="str">
        <f>VLOOKUP($A28,[2]Projekty!$A$2:$AR$1147,4,0)</f>
        <v>OPKZP-PO1-SC111-2016-11</v>
      </c>
      <c r="C28" s="2" t="str">
        <f>VLOOKUP($A28,[2]Projekty!$A$2:$AR$1147,6,0)</f>
        <v>Mesto Fiľakovo</v>
      </c>
      <c r="D28" s="2" t="str">
        <f>VLOOKUP($A28,[2]Projekty!$A$2:$AR$1147,7,0)</f>
        <v>Kompostáreň mesta Fiľakovo - rozvoj odpadového hospodárstva II. etapa</v>
      </c>
      <c r="E28" s="2" t="str">
        <f>VLOOKUP($A28,[2]Projekty!$A$2:$AR$1147,9,0)</f>
        <v>BB</v>
      </c>
      <c r="F28" s="2" t="str">
        <f>VLOOKUP($A28,[2]Projekty!$A$2:$AR$1147,14,0)</f>
        <v>Realizácia</v>
      </c>
      <c r="G28" s="61">
        <f>VLOOKUP($A28,'[2]Dĺžka realizácie'!$A$2:$AR$1148,8,0)</f>
        <v>43220</v>
      </c>
      <c r="H28" s="18"/>
      <c r="I28" s="18"/>
      <c r="J28" s="18" t="str">
        <f t="shared" si="0"/>
        <v/>
      </c>
      <c r="K28" s="18"/>
      <c r="L28" s="18"/>
      <c r="M28" s="18" t="str">
        <f t="shared" si="1"/>
        <v/>
      </c>
      <c r="N28" s="18"/>
      <c r="O28" s="18"/>
      <c r="P28" s="18" t="str">
        <f t="shared" si="2"/>
        <v/>
      </c>
      <c r="Q28" s="18"/>
      <c r="R28" s="18"/>
      <c r="S28" s="18" t="str">
        <f t="shared" si="3"/>
        <v/>
      </c>
      <c r="T28" s="18"/>
      <c r="U28" s="18"/>
      <c r="V28" s="18" t="str">
        <f t="shared" si="4"/>
        <v/>
      </c>
      <c r="W28" s="18">
        <v>572</v>
      </c>
      <c r="X28" s="18"/>
      <c r="Y28" s="18">
        <f t="shared" si="5"/>
        <v>572</v>
      </c>
      <c r="Z28" s="18"/>
      <c r="AA28" s="18"/>
      <c r="AB28" s="18" t="str">
        <f t="shared" si="6"/>
        <v/>
      </c>
      <c r="AC28" s="18"/>
      <c r="AD28" s="18"/>
      <c r="AE28" s="18" t="str">
        <f t="shared" si="7"/>
        <v/>
      </c>
      <c r="AF28" s="18"/>
      <c r="AG28" s="18"/>
      <c r="AH28" s="18" t="str">
        <f t="shared" si="8"/>
        <v/>
      </c>
      <c r="AI28" s="18"/>
      <c r="AJ28" s="18"/>
      <c r="AK28" s="18" t="str">
        <f t="shared" si="9"/>
        <v/>
      </c>
      <c r="AL28" s="18"/>
      <c r="AM28" s="18"/>
      <c r="AN28" s="18" t="str">
        <f t="shared" si="10"/>
        <v/>
      </c>
      <c r="AO28" s="18"/>
      <c r="AP28" s="18"/>
      <c r="AQ28" s="18" t="str">
        <f t="shared" si="11"/>
        <v/>
      </c>
      <c r="AR28" s="18"/>
      <c r="AS28" s="18"/>
      <c r="AT28" s="18" t="str">
        <f t="shared" si="12"/>
        <v/>
      </c>
      <c r="AU28" s="18"/>
      <c r="AV28" s="18"/>
      <c r="AW28" s="18" t="str">
        <f t="shared" si="13"/>
        <v/>
      </c>
      <c r="AX28" s="18"/>
      <c r="AY28" s="18"/>
      <c r="AZ28" s="18" t="str">
        <f t="shared" si="14"/>
        <v/>
      </c>
      <c r="BA28" s="18"/>
      <c r="BB28" s="18"/>
      <c r="BC28" s="18" t="str">
        <f t="shared" si="15"/>
        <v/>
      </c>
      <c r="BD28" s="18">
        <v>572</v>
      </c>
      <c r="BE28" s="18"/>
      <c r="BF28" s="18">
        <f t="shared" si="16"/>
        <v>572</v>
      </c>
      <c r="BG28" s="18"/>
      <c r="BH28" s="18"/>
      <c r="BI28" s="18" t="str">
        <f t="shared" si="17"/>
        <v/>
      </c>
      <c r="BJ28" s="18"/>
      <c r="BK28" s="18"/>
      <c r="BL28" s="18" t="str">
        <f t="shared" si="18"/>
        <v/>
      </c>
      <c r="BM28" s="18"/>
      <c r="BN28" s="18"/>
      <c r="BO28" s="18" t="str">
        <f t="shared" si="19"/>
        <v/>
      </c>
      <c r="BP28" s="18"/>
      <c r="BQ28" s="18"/>
      <c r="BR28" s="18" t="str">
        <f t="shared" si="20"/>
        <v/>
      </c>
    </row>
    <row r="29" spans="1:70" ht="25.5" x14ac:dyDescent="0.25">
      <c r="A29" s="2" t="s">
        <v>987</v>
      </c>
      <c r="B29" s="2" t="str">
        <f>VLOOKUP($A29,[2]Projekty!$A$2:$AR$1147,4,0)</f>
        <v>OPKZP-PO1-SC111-2016-10</v>
      </c>
      <c r="C29" s="2" t="str">
        <f>VLOOKUP($A29,[2]Projekty!$A$2:$AR$1147,6,0)</f>
        <v>Obec Brestovany</v>
      </c>
      <c r="D29" s="2" t="str">
        <f>VLOOKUP($A29,[2]Projekty!$A$2:$AR$1147,7,0)</f>
        <v>Dobudovanie infraštruktúry odpadového hospodárstva v obci Brestovany</v>
      </c>
      <c r="E29" s="2" t="str">
        <f>VLOOKUP($A29,[2]Projekty!$A$2:$AR$1147,9,0)</f>
        <v>TT</v>
      </c>
      <c r="F29" s="2" t="str">
        <f>VLOOKUP($A29,[2]Projekty!$A$2:$AR$1147,14,0)</f>
        <v>Realizácia</v>
      </c>
      <c r="G29" s="61">
        <f>VLOOKUP($A29,'[2]Dĺžka realizácie'!$A$2:$AR$1148,8,0)</f>
        <v>43251</v>
      </c>
      <c r="H29" s="18"/>
      <c r="I29" s="18"/>
      <c r="J29" s="18" t="str">
        <f t="shared" si="0"/>
        <v/>
      </c>
      <c r="K29" s="18"/>
      <c r="L29" s="18"/>
      <c r="M29" s="18" t="str">
        <f t="shared" si="1"/>
        <v/>
      </c>
      <c r="N29" s="18"/>
      <c r="O29" s="18"/>
      <c r="P29" s="18" t="str">
        <f t="shared" si="2"/>
        <v/>
      </c>
      <c r="Q29" s="18"/>
      <c r="R29" s="18"/>
      <c r="S29" s="18" t="str">
        <f t="shared" si="3"/>
        <v/>
      </c>
      <c r="T29" s="18">
        <v>121.64</v>
      </c>
      <c r="U29" s="18"/>
      <c r="V29" s="18">
        <f t="shared" si="4"/>
        <v>121.64</v>
      </c>
      <c r="W29" s="18"/>
      <c r="X29" s="18"/>
      <c r="Y29" s="18" t="str">
        <f t="shared" si="5"/>
        <v/>
      </c>
      <c r="Z29" s="18"/>
      <c r="AA29" s="18"/>
      <c r="AB29" s="18" t="str">
        <f t="shared" si="6"/>
        <v/>
      </c>
      <c r="AC29" s="18"/>
      <c r="AD29" s="18"/>
      <c r="AE29" s="18" t="str">
        <f t="shared" si="7"/>
        <v/>
      </c>
      <c r="AF29" s="18"/>
      <c r="AG29" s="18"/>
      <c r="AH29" s="18" t="str">
        <f t="shared" si="8"/>
        <v/>
      </c>
      <c r="AI29" s="18"/>
      <c r="AJ29" s="18"/>
      <c r="AK29" s="18" t="str">
        <f t="shared" si="9"/>
        <v/>
      </c>
      <c r="AL29" s="18"/>
      <c r="AM29" s="18"/>
      <c r="AN29" s="18" t="str">
        <f t="shared" si="10"/>
        <v/>
      </c>
      <c r="AO29" s="18"/>
      <c r="AP29" s="18"/>
      <c r="AQ29" s="18" t="str">
        <f t="shared" si="11"/>
        <v/>
      </c>
      <c r="AR29" s="18"/>
      <c r="AS29" s="18"/>
      <c r="AT29" s="18" t="str">
        <f t="shared" si="12"/>
        <v/>
      </c>
      <c r="AU29" s="18"/>
      <c r="AV29" s="18"/>
      <c r="AW29" s="18" t="str">
        <f t="shared" si="13"/>
        <v/>
      </c>
      <c r="AX29" s="18"/>
      <c r="AY29" s="18"/>
      <c r="AZ29" s="18" t="str">
        <f t="shared" si="14"/>
        <v/>
      </c>
      <c r="BA29" s="18">
        <v>121.64</v>
      </c>
      <c r="BB29" s="18"/>
      <c r="BC29" s="18">
        <f t="shared" si="15"/>
        <v>121.64</v>
      </c>
      <c r="BD29" s="18"/>
      <c r="BE29" s="18"/>
      <c r="BF29" s="18" t="str">
        <f t="shared" si="16"/>
        <v/>
      </c>
      <c r="BG29" s="18"/>
      <c r="BH29" s="18"/>
      <c r="BI29" s="18" t="str">
        <f t="shared" si="17"/>
        <v/>
      </c>
      <c r="BJ29" s="18"/>
      <c r="BK29" s="18"/>
      <c r="BL29" s="18" t="str">
        <f t="shared" si="18"/>
        <v/>
      </c>
      <c r="BM29" s="18"/>
      <c r="BN29" s="18"/>
      <c r="BO29" s="18" t="str">
        <f t="shared" si="19"/>
        <v/>
      </c>
      <c r="BP29" s="18"/>
      <c r="BQ29" s="18"/>
      <c r="BR29" s="18" t="str">
        <f t="shared" si="20"/>
        <v/>
      </c>
    </row>
    <row r="30" spans="1:70" ht="25.5" x14ac:dyDescent="0.25">
      <c r="A30" s="2" t="s">
        <v>729</v>
      </c>
      <c r="B30" s="2" t="str">
        <f>VLOOKUP($A30,[2]Projekty!$A$2:$AR$1147,4,0)</f>
        <v>OPKZP-PO1-SC111-2016-10</v>
      </c>
      <c r="C30" s="2" t="str">
        <f>VLOOKUP($A30,[2]Projekty!$A$2:$AR$1147,6,0)</f>
        <v>Obec Červeník</v>
      </c>
      <c r="D30" s="2" t="str">
        <f>VLOOKUP($A30,[2]Projekty!$A$2:$AR$1147,7,0)</f>
        <v>Triedený zber komunálnych odpadov v obci Červeník</v>
      </c>
      <c r="E30" s="2" t="str">
        <f>VLOOKUP($A30,[2]Projekty!$A$2:$AR$1147,9,0)</f>
        <v>TT</v>
      </c>
      <c r="F30" s="2" t="str">
        <f>VLOOKUP($A30,[2]Projekty!$A$2:$AR$1147,14,0)</f>
        <v>Realizácia</v>
      </c>
      <c r="G30" s="61">
        <f>VLOOKUP($A30,'[2]Dĺžka realizácie'!$A$2:$AR$1148,8,0)</f>
        <v>43100</v>
      </c>
      <c r="H30" s="18"/>
      <c r="I30" s="18"/>
      <c r="J30" s="18" t="str">
        <f t="shared" si="0"/>
        <v/>
      </c>
      <c r="K30" s="18"/>
      <c r="L30" s="18"/>
      <c r="M30" s="18" t="str">
        <f t="shared" si="1"/>
        <v/>
      </c>
      <c r="N30" s="18"/>
      <c r="O30" s="18"/>
      <c r="P30" s="18" t="str">
        <f t="shared" si="2"/>
        <v/>
      </c>
      <c r="Q30" s="18"/>
      <c r="R30" s="18"/>
      <c r="S30" s="18" t="str">
        <f t="shared" si="3"/>
        <v/>
      </c>
      <c r="T30" s="18">
        <v>71.28</v>
      </c>
      <c r="U30" s="18"/>
      <c r="V30" s="18">
        <f t="shared" si="4"/>
        <v>71.28</v>
      </c>
      <c r="W30" s="18"/>
      <c r="X30" s="18"/>
      <c r="Y30" s="18" t="str">
        <f t="shared" si="5"/>
        <v/>
      </c>
      <c r="Z30" s="18"/>
      <c r="AA30" s="18"/>
      <c r="AB30" s="18" t="str">
        <f t="shared" si="6"/>
        <v/>
      </c>
      <c r="AC30" s="18"/>
      <c r="AD30" s="18"/>
      <c r="AE30" s="18" t="str">
        <f t="shared" si="7"/>
        <v/>
      </c>
      <c r="AF30" s="18"/>
      <c r="AG30" s="18"/>
      <c r="AH30" s="18" t="str">
        <f t="shared" si="8"/>
        <v/>
      </c>
      <c r="AI30" s="18"/>
      <c r="AJ30" s="18"/>
      <c r="AK30" s="18" t="str">
        <f t="shared" si="9"/>
        <v/>
      </c>
      <c r="AL30" s="18"/>
      <c r="AM30" s="18"/>
      <c r="AN30" s="18" t="str">
        <f t="shared" si="10"/>
        <v/>
      </c>
      <c r="AO30" s="18"/>
      <c r="AP30" s="18"/>
      <c r="AQ30" s="18" t="str">
        <f t="shared" si="11"/>
        <v/>
      </c>
      <c r="AR30" s="18"/>
      <c r="AS30" s="18"/>
      <c r="AT30" s="18" t="str">
        <f t="shared" si="12"/>
        <v/>
      </c>
      <c r="AU30" s="18"/>
      <c r="AV30" s="18"/>
      <c r="AW30" s="18" t="str">
        <f t="shared" si="13"/>
        <v/>
      </c>
      <c r="AX30" s="18"/>
      <c r="AY30" s="18"/>
      <c r="AZ30" s="18" t="str">
        <f t="shared" si="14"/>
        <v/>
      </c>
      <c r="BA30" s="18">
        <v>71.28</v>
      </c>
      <c r="BB30" s="18"/>
      <c r="BC30" s="18">
        <f t="shared" si="15"/>
        <v>71.28</v>
      </c>
      <c r="BD30" s="18"/>
      <c r="BE30" s="18"/>
      <c r="BF30" s="18" t="str">
        <f t="shared" si="16"/>
        <v/>
      </c>
      <c r="BG30" s="18"/>
      <c r="BH30" s="18"/>
      <c r="BI30" s="18" t="str">
        <f t="shared" si="17"/>
        <v/>
      </c>
      <c r="BJ30" s="18"/>
      <c r="BK30" s="18"/>
      <c r="BL30" s="18" t="str">
        <f t="shared" si="18"/>
        <v/>
      </c>
      <c r="BM30" s="18"/>
      <c r="BN30" s="18"/>
      <c r="BO30" s="18" t="str">
        <f t="shared" si="19"/>
        <v/>
      </c>
      <c r="BP30" s="18"/>
      <c r="BQ30" s="18"/>
      <c r="BR30" s="18" t="str">
        <f t="shared" si="20"/>
        <v/>
      </c>
    </row>
    <row r="31" spans="1:70" ht="25.5" x14ac:dyDescent="0.25">
      <c r="A31" s="2" t="s">
        <v>730</v>
      </c>
      <c r="B31" s="2" t="str">
        <f>VLOOKUP($A31,[2]Projekty!$A$2:$AR$1147,4,0)</f>
        <v>OPKZP-PO1-SC111-2016-10</v>
      </c>
      <c r="C31" s="2" t="str">
        <f>VLOOKUP($A31,[2]Projekty!$A$2:$AR$1147,6,0)</f>
        <v>Obec Sačurov</v>
      </c>
      <c r="D31" s="2" t="str">
        <f>VLOOKUP($A31,[2]Projekty!$A$2:$AR$1147,7,0)</f>
        <v>Technologické vybavenie zberného dvora v obci Sačurov</v>
      </c>
      <c r="E31" s="2" t="str">
        <f>VLOOKUP($A31,[2]Projekty!$A$2:$AR$1147,9,0)</f>
        <v>PO</v>
      </c>
      <c r="F31" s="2" t="str">
        <f>VLOOKUP($A31,[2]Projekty!$A$2:$AR$1147,14,0)</f>
        <v>Realizácia</v>
      </c>
      <c r="G31" s="61">
        <f>VLOOKUP($A31,'[2]Dĺžka realizácie'!$A$2:$AR$1148,8,0)</f>
        <v>42978</v>
      </c>
      <c r="H31" s="18"/>
      <c r="I31" s="18"/>
      <c r="J31" s="18" t="str">
        <f t="shared" si="0"/>
        <v/>
      </c>
      <c r="K31" s="18"/>
      <c r="L31" s="18"/>
      <c r="M31" s="18" t="str">
        <f t="shared" si="1"/>
        <v/>
      </c>
      <c r="N31" s="18"/>
      <c r="O31" s="18"/>
      <c r="P31" s="18" t="str">
        <f t="shared" si="2"/>
        <v/>
      </c>
      <c r="Q31" s="18"/>
      <c r="R31" s="18"/>
      <c r="S31" s="18" t="str">
        <f t="shared" si="3"/>
        <v/>
      </c>
      <c r="T31" s="18">
        <v>116.63</v>
      </c>
      <c r="U31" s="18"/>
      <c r="V31" s="18">
        <f t="shared" si="4"/>
        <v>116.63</v>
      </c>
      <c r="W31" s="18"/>
      <c r="X31" s="18"/>
      <c r="Y31" s="18" t="str">
        <f t="shared" si="5"/>
        <v/>
      </c>
      <c r="Z31" s="18"/>
      <c r="AA31" s="18"/>
      <c r="AB31" s="18" t="str">
        <f t="shared" si="6"/>
        <v/>
      </c>
      <c r="AC31" s="18"/>
      <c r="AD31" s="18"/>
      <c r="AE31" s="18" t="str">
        <f t="shared" si="7"/>
        <v/>
      </c>
      <c r="AF31" s="18"/>
      <c r="AG31" s="18"/>
      <c r="AH31" s="18" t="str">
        <f t="shared" si="8"/>
        <v/>
      </c>
      <c r="AI31" s="18"/>
      <c r="AJ31" s="18"/>
      <c r="AK31" s="18" t="str">
        <f t="shared" si="9"/>
        <v/>
      </c>
      <c r="AL31" s="18"/>
      <c r="AM31" s="18"/>
      <c r="AN31" s="18" t="str">
        <f t="shared" si="10"/>
        <v/>
      </c>
      <c r="AO31" s="18"/>
      <c r="AP31" s="18"/>
      <c r="AQ31" s="18" t="str">
        <f t="shared" si="11"/>
        <v/>
      </c>
      <c r="AR31" s="18"/>
      <c r="AS31" s="18"/>
      <c r="AT31" s="18" t="str">
        <f t="shared" si="12"/>
        <v/>
      </c>
      <c r="AU31" s="18"/>
      <c r="AV31" s="18"/>
      <c r="AW31" s="18" t="str">
        <f t="shared" si="13"/>
        <v/>
      </c>
      <c r="AX31" s="18"/>
      <c r="AY31" s="18"/>
      <c r="AZ31" s="18" t="str">
        <f t="shared" si="14"/>
        <v/>
      </c>
      <c r="BA31" s="18">
        <v>116.63</v>
      </c>
      <c r="BB31" s="18"/>
      <c r="BC31" s="18">
        <f t="shared" si="15"/>
        <v>116.63</v>
      </c>
      <c r="BD31" s="18"/>
      <c r="BE31" s="18"/>
      <c r="BF31" s="18" t="str">
        <f t="shared" si="16"/>
        <v/>
      </c>
      <c r="BG31" s="18"/>
      <c r="BH31" s="18"/>
      <c r="BI31" s="18" t="str">
        <f t="shared" si="17"/>
        <v/>
      </c>
      <c r="BJ31" s="18"/>
      <c r="BK31" s="18"/>
      <c r="BL31" s="18" t="str">
        <f t="shared" si="18"/>
        <v/>
      </c>
      <c r="BM31" s="18"/>
      <c r="BN31" s="18"/>
      <c r="BO31" s="18" t="str">
        <f t="shared" si="19"/>
        <v/>
      </c>
      <c r="BP31" s="18"/>
      <c r="BQ31" s="18"/>
      <c r="BR31" s="18" t="str">
        <f t="shared" si="20"/>
        <v/>
      </c>
    </row>
    <row r="32" spans="1:70" ht="25.5" x14ac:dyDescent="0.25">
      <c r="A32" s="2" t="s">
        <v>808</v>
      </c>
      <c r="B32" s="2" t="str">
        <f>VLOOKUP($A32,[2]Projekty!$A$2:$AR$1147,4,0)</f>
        <v>OPKZP-PO1-SC111-2016-10</v>
      </c>
      <c r="C32" s="2" t="str">
        <f>VLOOKUP($A32,[2]Projekty!$A$2:$AR$1147,6,0)</f>
        <v>Mesto Levice</v>
      </c>
      <c r="D32" s="2" t="str">
        <f>VLOOKUP($A32,[2]Projekty!$A$2:$AR$1147,7,0)</f>
        <v>Intenzifikácia zberu biologicky rozložiteľných odpadov v meste Levice</v>
      </c>
      <c r="E32" s="2" t="str">
        <f>VLOOKUP($A32,[2]Projekty!$A$2:$AR$1147,9,0)</f>
        <v>NR</v>
      </c>
      <c r="F32" s="2" t="str">
        <f>VLOOKUP($A32,[2]Projekty!$A$2:$AR$1147,14,0)</f>
        <v>Aktivity nezačaté</v>
      </c>
      <c r="G32" s="61">
        <f>VLOOKUP($A32,'[2]Dĺžka realizácie'!$A$2:$AR$1148,8,0)</f>
        <v>43100</v>
      </c>
      <c r="H32" s="18"/>
      <c r="I32" s="18"/>
      <c r="J32" s="18" t="str">
        <f t="shared" si="0"/>
        <v/>
      </c>
      <c r="K32" s="18"/>
      <c r="L32" s="18"/>
      <c r="M32" s="18" t="str">
        <f t="shared" si="1"/>
        <v/>
      </c>
      <c r="N32" s="18"/>
      <c r="O32" s="18"/>
      <c r="P32" s="18" t="str">
        <f t="shared" si="2"/>
        <v/>
      </c>
      <c r="Q32" s="18"/>
      <c r="R32" s="18"/>
      <c r="S32" s="18" t="str">
        <f t="shared" si="3"/>
        <v/>
      </c>
      <c r="T32" s="18">
        <v>2000</v>
      </c>
      <c r="U32" s="18"/>
      <c r="V32" s="18">
        <f t="shared" si="4"/>
        <v>2000</v>
      </c>
      <c r="W32" s="18"/>
      <c r="X32" s="18"/>
      <c r="Y32" s="18" t="str">
        <f t="shared" si="5"/>
        <v/>
      </c>
      <c r="Z32" s="18"/>
      <c r="AA32" s="18"/>
      <c r="AB32" s="18" t="str">
        <f t="shared" si="6"/>
        <v/>
      </c>
      <c r="AC32" s="18"/>
      <c r="AD32" s="18"/>
      <c r="AE32" s="18" t="str">
        <f t="shared" si="7"/>
        <v/>
      </c>
      <c r="AF32" s="18"/>
      <c r="AG32" s="18"/>
      <c r="AH32" s="18" t="str">
        <f t="shared" si="8"/>
        <v/>
      </c>
      <c r="AI32" s="18"/>
      <c r="AJ32" s="18"/>
      <c r="AK32" s="18" t="str">
        <f t="shared" si="9"/>
        <v/>
      </c>
      <c r="AL32" s="18"/>
      <c r="AM32" s="18"/>
      <c r="AN32" s="18" t="str">
        <f t="shared" si="10"/>
        <v/>
      </c>
      <c r="AO32" s="18"/>
      <c r="AP32" s="18"/>
      <c r="AQ32" s="18" t="str">
        <f t="shared" si="11"/>
        <v/>
      </c>
      <c r="AR32" s="18"/>
      <c r="AS32" s="18"/>
      <c r="AT32" s="18" t="str">
        <f t="shared" si="12"/>
        <v/>
      </c>
      <c r="AU32" s="18"/>
      <c r="AV32" s="18"/>
      <c r="AW32" s="18" t="str">
        <f t="shared" si="13"/>
        <v/>
      </c>
      <c r="AX32" s="18"/>
      <c r="AY32" s="18"/>
      <c r="AZ32" s="18" t="str">
        <f t="shared" si="14"/>
        <v/>
      </c>
      <c r="BA32" s="18">
        <v>2000</v>
      </c>
      <c r="BB32" s="18"/>
      <c r="BC32" s="18">
        <f t="shared" si="15"/>
        <v>2000</v>
      </c>
      <c r="BD32" s="18"/>
      <c r="BE32" s="18"/>
      <c r="BF32" s="18" t="str">
        <f t="shared" si="16"/>
        <v/>
      </c>
      <c r="BG32" s="18"/>
      <c r="BH32" s="18"/>
      <c r="BI32" s="18" t="str">
        <f t="shared" si="17"/>
        <v/>
      </c>
      <c r="BJ32" s="18"/>
      <c r="BK32" s="18"/>
      <c r="BL32" s="18" t="str">
        <f t="shared" si="18"/>
        <v/>
      </c>
      <c r="BM32" s="18"/>
      <c r="BN32" s="18"/>
      <c r="BO32" s="18" t="str">
        <f t="shared" si="19"/>
        <v/>
      </c>
      <c r="BP32" s="18"/>
      <c r="BQ32" s="18"/>
      <c r="BR32" s="18" t="str">
        <f t="shared" si="20"/>
        <v/>
      </c>
    </row>
    <row r="33" spans="1:70" x14ac:dyDescent="0.25">
      <c r="A33" s="2" t="s">
        <v>988</v>
      </c>
      <c r="B33" s="2" t="str">
        <f>VLOOKUP($A33,[2]Projekty!$A$2:$AR$1147,4,0)</f>
        <v>OPKZP-PO1-SC111-2016-10</v>
      </c>
      <c r="C33" s="2" t="str">
        <f>VLOOKUP($A33,[2]Projekty!$A$2:$AR$1147,6,0)</f>
        <v>Obec Zubrohlava</v>
      </c>
      <c r="D33" s="2" t="str">
        <f>VLOOKUP($A33,[2]Projekty!$A$2:$AR$1147,7,0)</f>
        <v>Vybudovanie zberného dvora v obci Zubrohlava</v>
      </c>
      <c r="E33" s="2" t="str">
        <f>VLOOKUP($A33,[2]Projekty!$A$2:$AR$1147,9,0)</f>
        <v>ZA</v>
      </c>
      <c r="F33" s="2" t="str">
        <f>VLOOKUP($A33,[2]Projekty!$A$2:$AR$1147,14,0)</f>
        <v>Realizácia</v>
      </c>
      <c r="G33" s="61">
        <f>VLOOKUP($A33,'[2]Dĺžka realizácie'!$A$2:$AR$1148,8,0)</f>
        <v>43465</v>
      </c>
      <c r="H33" s="18"/>
      <c r="I33" s="18"/>
      <c r="J33" s="18" t="str">
        <f t="shared" si="0"/>
        <v/>
      </c>
      <c r="K33" s="18"/>
      <c r="L33" s="18"/>
      <c r="M33" s="18" t="str">
        <f t="shared" si="1"/>
        <v/>
      </c>
      <c r="N33" s="18"/>
      <c r="O33" s="18"/>
      <c r="P33" s="18" t="str">
        <f t="shared" si="2"/>
        <v/>
      </c>
      <c r="Q33" s="18"/>
      <c r="R33" s="18"/>
      <c r="S33" s="18" t="str">
        <f t="shared" si="3"/>
        <v/>
      </c>
      <c r="T33" s="18">
        <v>92.58</v>
      </c>
      <c r="U33" s="18"/>
      <c r="V33" s="18">
        <f t="shared" si="4"/>
        <v>92.58</v>
      </c>
      <c r="W33" s="18"/>
      <c r="X33" s="18"/>
      <c r="Y33" s="18" t="str">
        <f t="shared" si="5"/>
        <v/>
      </c>
      <c r="Z33" s="18"/>
      <c r="AA33" s="18"/>
      <c r="AB33" s="18" t="str">
        <f t="shared" si="6"/>
        <v/>
      </c>
      <c r="AC33" s="18">
        <v>2279</v>
      </c>
      <c r="AD33" s="18"/>
      <c r="AE33" s="18">
        <f t="shared" si="7"/>
        <v>2279</v>
      </c>
      <c r="AF33" s="18"/>
      <c r="AG33" s="18"/>
      <c r="AH33" s="18" t="str">
        <f t="shared" si="8"/>
        <v/>
      </c>
      <c r="AI33" s="18"/>
      <c r="AJ33" s="18"/>
      <c r="AK33" s="18" t="str">
        <f t="shared" si="9"/>
        <v/>
      </c>
      <c r="AL33" s="18"/>
      <c r="AM33" s="18"/>
      <c r="AN33" s="18" t="str">
        <f t="shared" si="10"/>
        <v/>
      </c>
      <c r="AO33" s="18"/>
      <c r="AP33" s="18"/>
      <c r="AQ33" s="18" t="str">
        <f t="shared" si="11"/>
        <v/>
      </c>
      <c r="AR33" s="18">
        <v>3</v>
      </c>
      <c r="AS33" s="18"/>
      <c r="AT33" s="18">
        <f t="shared" si="12"/>
        <v>3</v>
      </c>
      <c r="AU33" s="18"/>
      <c r="AV33" s="18"/>
      <c r="AW33" s="18" t="str">
        <f t="shared" si="13"/>
        <v/>
      </c>
      <c r="AX33" s="18"/>
      <c r="AY33" s="18"/>
      <c r="AZ33" s="18" t="str">
        <f t="shared" si="14"/>
        <v/>
      </c>
      <c r="BA33" s="18">
        <v>92.58</v>
      </c>
      <c r="BB33" s="18"/>
      <c r="BC33" s="18">
        <f t="shared" si="15"/>
        <v>92.58</v>
      </c>
      <c r="BD33" s="18"/>
      <c r="BE33" s="18"/>
      <c r="BF33" s="18" t="str">
        <f t="shared" si="16"/>
        <v/>
      </c>
      <c r="BG33" s="18"/>
      <c r="BH33" s="18"/>
      <c r="BI33" s="18" t="str">
        <f t="shared" si="17"/>
        <v/>
      </c>
      <c r="BJ33" s="18"/>
      <c r="BK33" s="18"/>
      <c r="BL33" s="18" t="str">
        <f t="shared" si="18"/>
        <v/>
      </c>
      <c r="BM33" s="18"/>
      <c r="BN33" s="18"/>
      <c r="BO33" s="18" t="str">
        <f t="shared" si="19"/>
        <v/>
      </c>
      <c r="BP33" s="18"/>
      <c r="BQ33" s="18"/>
      <c r="BR33" s="18" t="str">
        <f t="shared" si="20"/>
        <v/>
      </c>
    </row>
    <row r="34" spans="1:70" ht="25.5" x14ac:dyDescent="0.25">
      <c r="A34" s="2" t="s">
        <v>775</v>
      </c>
      <c r="B34" s="2" t="str">
        <f>VLOOKUP($A34,[2]Projekty!$A$2:$AR$1147,4,0)</f>
        <v>OPKZP-PO1-SC111-2016-10</v>
      </c>
      <c r="C34" s="2" t="str">
        <f>VLOOKUP($A34,[2]Projekty!$A$2:$AR$1147,6,0)</f>
        <v>Obec Bátorove Kosihy</v>
      </c>
      <c r="D34" s="2" t="str">
        <f>VLOOKUP($A34,[2]Projekty!$A$2:$AR$1147,7,0)</f>
        <v>Technické a technologické vybavenie zberného dvora v obci Bátorove Kosihy</v>
      </c>
      <c r="E34" s="2" t="str">
        <f>VLOOKUP($A34,[2]Projekty!$A$2:$AR$1147,9,0)</f>
        <v>NR</v>
      </c>
      <c r="F34" s="2" t="str">
        <f>VLOOKUP($A34,[2]Projekty!$A$2:$AR$1147,14,0)</f>
        <v>Realizácia</v>
      </c>
      <c r="G34" s="61">
        <f>VLOOKUP($A34,'[2]Dĺžka realizácie'!$A$2:$AR$1148,8,0)</f>
        <v>43159</v>
      </c>
      <c r="H34" s="18"/>
      <c r="I34" s="18"/>
      <c r="J34" s="18" t="str">
        <f t="shared" si="0"/>
        <v/>
      </c>
      <c r="K34" s="18"/>
      <c r="L34" s="18"/>
      <c r="M34" s="18" t="str">
        <f t="shared" si="1"/>
        <v/>
      </c>
      <c r="N34" s="18"/>
      <c r="O34" s="18"/>
      <c r="P34" s="18" t="str">
        <f t="shared" si="2"/>
        <v/>
      </c>
      <c r="Q34" s="18"/>
      <c r="R34" s="18"/>
      <c r="S34" s="18" t="str">
        <f t="shared" si="3"/>
        <v/>
      </c>
      <c r="T34" s="18">
        <v>218</v>
      </c>
      <c r="U34" s="18"/>
      <c r="V34" s="18">
        <f t="shared" si="4"/>
        <v>218</v>
      </c>
      <c r="W34" s="18"/>
      <c r="X34" s="18"/>
      <c r="Y34" s="18" t="str">
        <f t="shared" si="5"/>
        <v/>
      </c>
      <c r="Z34" s="18"/>
      <c r="AA34" s="18"/>
      <c r="AB34" s="18" t="str">
        <f t="shared" si="6"/>
        <v/>
      </c>
      <c r="AC34" s="18"/>
      <c r="AD34" s="18"/>
      <c r="AE34" s="18" t="str">
        <f t="shared" si="7"/>
        <v/>
      </c>
      <c r="AF34" s="18"/>
      <c r="AG34" s="18"/>
      <c r="AH34" s="18" t="str">
        <f t="shared" si="8"/>
        <v/>
      </c>
      <c r="AI34" s="18"/>
      <c r="AJ34" s="18"/>
      <c r="AK34" s="18" t="str">
        <f t="shared" si="9"/>
        <v/>
      </c>
      <c r="AL34" s="18"/>
      <c r="AM34" s="18"/>
      <c r="AN34" s="18" t="str">
        <f t="shared" si="10"/>
        <v/>
      </c>
      <c r="AO34" s="18"/>
      <c r="AP34" s="18"/>
      <c r="AQ34" s="18" t="str">
        <f t="shared" si="11"/>
        <v/>
      </c>
      <c r="AR34" s="18"/>
      <c r="AS34" s="18"/>
      <c r="AT34" s="18" t="str">
        <f t="shared" si="12"/>
        <v/>
      </c>
      <c r="AU34" s="18"/>
      <c r="AV34" s="18"/>
      <c r="AW34" s="18" t="str">
        <f t="shared" si="13"/>
        <v/>
      </c>
      <c r="AX34" s="18"/>
      <c r="AY34" s="18"/>
      <c r="AZ34" s="18" t="str">
        <f t="shared" si="14"/>
        <v/>
      </c>
      <c r="BA34" s="18">
        <v>218</v>
      </c>
      <c r="BB34" s="18"/>
      <c r="BC34" s="18">
        <f t="shared" si="15"/>
        <v>218</v>
      </c>
      <c r="BD34" s="18"/>
      <c r="BE34" s="18"/>
      <c r="BF34" s="18" t="str">
        <f t="shared" si="16"/>
        <v/>
      </c>
      <c r="BG34" s="18"/>
      <c r="BH34" s="18"/>
      <c r="BI34" s="18" t="str">
        <f t="shared" si="17"/>
        <v/>
      </c>
      <c r="BJ34" s="18"/>
      <c r="BK34" s="18"/>
      <c r="BL34" s="18" t="str">
        <f t="shared" si="18"/>
        <v/>
      </c>
      <c r="BM34" s="18"/>
      <c r="BN34" s="18"/>
      <c r="BO34" s="18" t="str">
        <f t="shared" si="19"/>
        <v/>
      </c>
      <c r="BP34" s="18"/>
      <c r="BQ34" s="18"/>
      <c r="BR34" s="18" t="str">
        <f t="shared" si="20"/>
        <v/>
      </c>
    </row>
    <row r="35" spans="1:70" ht="25.5" x14ac:dyDescent="0.25">
      <c r="A35" s="2" t="s">
        <v>731</v>
      </c>
      <c r="B35" s="2" t="str">
        <f>VLOOKUP($A35,[2]Projekty!$A$2:$AR$1147,4,0)</f>
        <v>OPKZP-PO1-SC111-2016-10</v>
      </c>
      <c r="C35" s="2" t="str">
        <f>VLOOKUP($A35,[2]Projekty!$A$2:$AR$1147,6,0)</f>
        <v>Obec Pata</v>
      </c>
      <c r="D35" s="2" t="str">
        <f>VLOOKUP($A35,[2]Projekty!$A$2:$AR$1147,7,0)</f>
        <v>Zberný dvor odpadu v obci Pata</v>
      </c>
      <c r="E35" s="2" t="str">
        <f>VLOOKUP($A35,[2]Projekty!$A$2:$AR$1147,9,0)</f>
        <v>TT</v>
      </c>
      <c r="F35" s="2" t="str">
        <f>VLOOKUP($A35,[2]Projekty!$A$2:$AR$1147,14,0)</f>
        <v>Aktivity nezačaté</v>
      </c>
      <c r="G35" s="61">
        <f>VLOOKUP($A35,'[2]Dĺžka realizácie'!$A$2:$AR$1148,8,0)</f>
        <v>43069</v>
      </c>
      <c r="H35" s="18"/>
      <c r="I35" s="18"/>
      <c r="J35" s="18" t="str">
        <f t="shared" si="0"/>
        <v/>
      </c>
      <c r="K35" s="18"/>
      <c r="L35" s="18"/>
      <c r="M35" s="18" t="str">
        <f t="shared" si="1"/>
        <v/>
      </c>
      <c r="N35" s="18"/>
      <c r="O35" s="18"/>
      <c r="P35" s="18" t="str">
        <f t="shared" si="2"/>
        <v/>
      </c>
      <c r="Q35" s="18"/>
      <c r="R35" s="18"/>
      <c r="S35" s="18" t="str">
        <f t="shared" si="3"/>
        <v/>
      </c>
      <c r="T35" s="18">
        <v>362.92</v>
      </c>
      <c r="U35" s="18"/>
      <c r="V35" s="18">
        <f t="shared" si="4"/>
        <v>362.92</v>
      </c>
      <c r="W35" s="18"/>
      <c r="X35" s="18"/>
      <c r="Y35" s="18" t="str">
        <f t="shared" si="5"/>
        <v/>
      </c>
      <c r="Z35" s="18"/>
      <c r="AA35" s="18"/>
      <c r="AB35" s="18" t="str">
        <f t="shared" si="6"/>
        <v/>
      </c>
      <c r="AC35" s="18">
        <v>2500</v>
      </c>
      <c r="AD35" s="18"/>
      <c r="AE35" s="18">
        <f t="shared" si="7"/>
        <v>2500</v>
      </c>
      <c r="AF35" s="18"/>
      <c r="AG35" s="18"/>
      <c r="AH35" s="18" t="str">
        <f t="shared" si="8"/>
        <v/>
      </c>
      <c r="AI35" s="18"/>
      <c r="AJ35" s="18"/>
      <c r="AK35" s="18" t="str">
        <f t="shared" si="9"/>
        <v/>
      </c>
      <c r="AL35" s="18"/>
      <c r="AM35" s="18"/>
      <c r="AN35" s="18" t="str">
        <f t="shared" si="10"/>
        <v/>
      </c>
      <c r="AO35" s="18"/>
      <c r="AP35" s="18"/>
      <c r="AQ35" s="18" t="str">
        <f t="shared" si="11"/>
        <v/>
      </c>
      <c r="AR35" s="18">
        <v>5</v>
      </c>
      <c r="AS35" s="18"/>
      <c r="AT35" s="18">
        <f t="shared" si="12"/>
        <v>5</v>
      </c>
      <c r="AU35" s="18"/>
      <c r="AV35" s="18"/>
      <c r="AW35" s="18" t="str">
        <f t="shared" si="13"/>
        <v/>
      </c>
      <c r="AX35" s="18"/>
      <c r="AY35" s="18"/>
      <c r="AZ35" s="18" t="str">
        <f t="shared" si="14"/>
        <v/>
      </c>
      <c r="BA35" s="18">
        <v>362.92</v>
      </c>
      <c r="BB35" s="18"/>
      <c r="BC35" s="18">
        <f t="shared" si="15"/>
        <v>362.92</v>
      </c>
      <c r="BD35" s="18"/>
      <c r="BE35" s="18"/>
      <c r="BF35" s="18" t="str">
        <f t="shared" si="16"/>
        <v/>
      </c>
      <c r="BG35" s="18"/>
      <c r="BH35" s="18"/>
      <c r="BI35" s="18" t="str">
        <f t="shared" si="17"/>
        <v/>
      </c>
      <c r="BJ35" s="18"/>
      <c r="BK35" s="18"/>
      <c r="BL35" s="18" t="str">
        <f t="shared" si="18"/>
        <v/>
      </c>
      <c r="BM35" s="18"/>
      <c r="BN35" s="18"/>
      <c r="BO35" s="18" t="str">
        <f t="shared" si="19"/>
        <v/>
      </c>
      <c r="BP35" s="18"/>
      <c r="BQ35" s="18"/>
      <c r="BR35" s="18" t="str">
        <f t="shared" si="20"/>
        <v/>
      </c>
    </row>
    <row r="36" spans="1:70" x14ac:dyDescent="0.25">
      <c r="A36" s="2" t="s">
        <v>798</v>
      </c>
      <c r="B36" s="2" t="str">
        <f>VLOOKUP($A36,[2]Projekty!$A$2:$AR$1147,4,0)</f>
        <v>OPKZP-PO1-SC111-2016-10</v>
      </c>
      <c r="C36" s="2" t="str">
        <f>VLOOKUP($A36,[2]Projekty!$A$2:$AR$1147,6,0)</f>
        <v>Obec Kamenec pod Vtáčnikom</v>
      </c>
      <c r="D36" s="2" t="str">
        <f>VLOOKUP($A36,[2]Projekty!$A$2:$AR$1147,7,0)</f>
        <v>Zberný dvor Kamenec pod Vtáčnikom</v>
      </c>
      <c r="E36" s="2" t="str">
        <f>VLOOKUP($A36,[2]Projekty!$A$2:$AR$1147,9,0)</f>
        <v>TN</v>
      </c>
      <c r="F36" s="2" t="str">
        <f>VLOOKUP($A36,[2]Projekty!$A$2:$AR$1147,14,0)</f>
        <v>Realizácia</v>
      </c>
      <c r="G36" s="61">
        <f>VLOOKUP($A36,'[2]Dĺžka realizácie'!$A$2:$AR$1148,8,0)</f>
        <v>43465</v>
      </c>
      <c r="H36" s="18"/>
      <c r="I36" s="18"/>
      <c r="J36" s="18" t="str">
        <f t="shared" si="0"/>
        <v/>
      </c>
      <c r="K36" s="18"/>
      <c r="L36" s="18"/>
      <c r="M36" s="18" t="str">
        <f t="shared" si="1"/>
        <v/>
      </c>
      <c r="N36" s="18"/>
      <c r="O36" s="18"/>
      <c r="P36" s="18" t="str">
        <f t="shared" si="2"/>
        <v/>
      </c>
      <c r="Q36" s="18"/>
      <c r="R36" s="18"/>
      <c r="S36" s="18" t="str">
        <f t="shared" si="3"/>
        <v/>
      </c>
      <c r="T36" s="18">
        <v>140</v>
      </c>
      <c r="U36" s="18"/>
      <c r="V36" s="18">
        <f t="shared" si="4"/>
        <v>140</v>
      </c>
      <c r="W36" s="18"/>
      <c r="X36" s="18"/>
      <c r="Y36" s="18" t="str">
        <f t="shared" si="5"/>
        <v/>
      </c>
      <c r="Z36" s="18"/>
      <c r="AA36" s="18"/>
      <c r="AB36" s="18" t="str">
        <f t="shared" si="6"/>
        <v/>
      </c>
      <c r="AC36" s="18">
        <v>350</v>
      </c>
      <c r="AD36" s="18"/>
      <c r="AE36" s="18">
        <f t="shared" si="7"/>
        <v>350</v>
      </c>
      <c r="AF36" s="18"/>
      <c r="AG36" s="18"/>
      <c r="AH36" s="18" t="str">
        <f t="shared" si="8"/>
        <v/>
      </c>
      <c r="AI36" s="18"/>
      <c r="AJ36" s="18"/>
      <c r="AK36" s="18" t="str">
        <f t="shared" si="9"/>
        <v/>
      </c>
      <c r="AL36" s="18"/>
      <c r="AM36" s="18"/>
      <c r="AN36" s="18" t="str">
        <f t="shared" si="10"/>
        <v/>
      </c>
      <c r="AO36" s="18"/>
      <c r="AP36" s="18"/>
      <c r="AQ36" s="18" t="str">
        <f t="shared" si="11"/>
        <v/>
      </c>
      <c r="AR36" s="18">
        <v>6</v>
      </c>
      <c r="AS36" s="18"/>
      <c r="AT36" s="18">
        <f t="shared" si="12"/>
        <v>6</v>
      </c>
      <c r="AU36" s="18"/>
      <c r="AV36" s="18"/>
      <c r="AW36" s="18" t="str">
        <f t="shared" si="13"/>
        <v/>
      </c>
      <c r="AX36" s="18"/>
      <c r="AY36" s="18"/>
      <c r="AZ36" s="18" t="str">
        <f t="shared" si="14"/>
        <v/>
      </c>
      <c r="BA36" s="18">
        <v>140</v>
      </c>
      <c r="BB36" s="18"/>
      <c r="BC36" s="18">
        <f t="shared" si="15"/>
        <v>140</v>
      </c>
      <c r="BD36" s="18"/>
      <c r="BE36" s="18"/>
      <c r="BF36" s="18" t="str">
        <f t="shared" si="16"/>
        <v/>
      </c>
      <c r="BG36" s="18"/>
      <c r="BH36" s="18"/>
      <c r="BI36" s="18" t="str">
        <f t="shared" si="17"/>
        <v/>
      </c>
      <c r="BJ36" s="18"/>
      <c r="BK36" s="18"/>
      <c r="BL36" s="18" t="str">
        <f t="shared" si="18"/>
        <v/>
      </c>
      <c r="BM36" s="18"/>
      <c r="BN36" s="18"/>
      <c r="BO36" s="18" t="str">
        <f t="shared" si="19"/>
        <v/>
      </c>
      <c r="BP36" s="18"/>
      <c r="BQ36" s="18"/>
      <c r="BR36" s="18" t="str">
        <f t="shared" si="20"/>
        <v/>
      </c>
    </row>
    <row r="37" spans="1:70" ht="25.5" x14ac:dyDescent="0.25">
      <c r="A37" s="2" t="s">
        <v>732</v>
      </c>
      <c r="B37" s="2" t="str">
        <f>VLOOKUP($A37,[2]Projekty!$A$2:$AR$1147,4,0)</f>
        <v>OPKZP-PO1-SC111-2016-10</v>
      </c>
      <c r="C37" s="2" t="str">
        <f>VLOOKUP($A37,[2]Projekty!$A$2:$AR$1147,6,0)</f>
        <v>Obec Bohdanovce nad Trnavou</v>
      </c>
      <c r="D37" s="2" t="str">
        <f>VLOOKUP($A37,[2]Projekty!$A$2:$AR$1147,7,0)</f>
        <v>Zberný dvor v obci Bohdanovce nad Trnavou</v>
      </c>
      <c r="E37" s="2" t="str">
        <f>VLOOKUP($A37,[2]Projekty!$A$2:$AR$1147,9,0)</f>
        <v>TT</v>
      </c>
      <c r="F37" s="2" t="str">
        <f>VLOOKUP($A37,[2]Projekty!$A$2:$AR$1147,14,0)</f>
        <v>Realizácia</v>
      </c>
      <c r="G37" s="61">
        <f>VLOOKUP($A37,'[2]Dĺžka realizácie'!$A$2:$AR$1148,8,0)</f>
        <v>43312</v>
      </c>
      <c r="H37" s="18"/>
      <c r="I37" s="18"/>
      <c r="J37" s="18" t="str">
        <f t="shared" si="0"/>
        <v/>
      </c>
      <c r="K37" s="18"/>
      <c r="L37" s="18"/>
      <c r="M37" s="18" t="str">
        <f t="shared" si="1"/>
        <v/>
      </c>
      <c r="N37" s="18"/>
      <c r="O37" s="18"/>
      <c r="P37" s="18" t="str">
        <f t="shared" si="2"/>
        <v/>
      </c>
      <c r="Q37" s="18"/>
      <c r="R37" s="18"/>
      <c r="S37" s="18" t="str">
        <f t="shared" si="3"/>
        <v/>
      </c>
      <c r="T37" s="18">
        <v>68</v>
      </c>
      <c r="U37" s="18"/>
      <c r="V37" s="18">
        <f t="shared" si="4"/>
        <v>68</v>
      </c>
      <c r="W37" s="18"/>
      <c r="X37" s="18"/>
      <c r="Y37" s="18" t="str">
        <f t="shared" si="5"/>
        <v/>
      </c>
      <c r="Z37" s="18"/>
      <c r="AA37" s="18"/>
      <c r="AB37" s="18" t="str">
        <f t="shared" si="6"/>
        <v/>
      </c>
      <c r="AC37" s="18"/>
      <c r="AD37" s="18"/>
      <c r="AE37" s="18" t="str">
        <f t="shared" si="7"/>
        <v/>
      </c>
      <c r="AF37" s="18"/>
      <c r="AG37" s="18"/>
      <c r="AH37" s="18" t="str">
        <f t="shared" si="8"/>
        <v/>
      </c>
      <c r="AI37" s="18"/>
      <c r="AJ37" s="18"/>
      <c r="AK37" s="18" t="str">
        <f t="shared" si="9"/>
        <v/>
      </c>
      <c r="AL37" s="18"/>
      <c r="AM37" s="18"/>
      <c r="AN37" s="18" t="str">
        <f t="shared" si="10"/>
        <v/>
      </c>
      <c r="AO37" s="18"/>
      <c r="AP37" s="18"/>
      <c r="AQ37" s="18" t="str">
        <f t="shared" si="11"/>
        <v/>
      </c>
      <c r="AR37" s="18"/>
      <c r="AS37" s="18"/>
      <c r="AT37" s="18" t="str">
        <f t="shared" si="12"/>
        <v/>
      </c>
      <c r="AU37" s="18"/>
      <c r="AV37" s="18"/>
      <c r="AW37" s="18" t="str">
        <f t="shared" si="13"/>
        <v/>
      </c>
      <c r="AX37" s="18"/>
      <c r="AY37" s="18"/>
      <c r="AZ37" s="18" t="str">
        <f t="shared" si="14"/>
        <v/>
      </c>
      <c r="BA37" s="18">
        <v>68</v>
      </c>
      <c r="BB37" s="18"/>
      <c r="BC37" s="18">
        <f t="shared" si="15"/>
        <v>68</v>
      </c>
      <c r="BD37" s="18"/>
      <c r="BE37" s="18"/>
      <c r="BF37" s="18" t="str">
        <f t="shared" si="16"/>
        <v/>
      </c>
      <c r="BG37" s="18"/>
      <c r="BH37" s="18"/>
      <c r="BI37" s="18" t="str">
        <f t="shared" si="17"/>
        <v/>
      </c>
      <c r="BJ37" s="18"/>
      <c r="BK37" s="18"/>
      <c r="BL37" s="18" t="str">
        <f t="shared" si="18"/>
        <v/>
      </c>
      <c r="BM37" s="18"/>
      <c r="BN37" s="18"/>
      <c r="BO37" s="18" t="str">
        <f t="shared" si="19"/>
        <v/>
      </c>
      <c r="BP37" s="18"/>
      <c r="BQ37" s="18"/>
      <c r="BR37" s="18" t="str">
        <f t="shared" si="20"/>
        <v/>
      </c>
    </row>
    <row r="38" spans="1:70" x14ac:dyDescent="0.25">
      <c r="A38" s="2" t="s">
        <v>776</v>
      </c>
      <c r="B38" s="2" t="str">
        <f>VLOOKUP($A38,[2]Projekty!$A$2:$AR$1147,4,0)</f>
        <v>OPKZP-PO1-SC111-2016-10</v>
      </c>
      <c r="C38" s="2" t="str">
        <f>VLOOKUP($A38,[2]Projekty!$A$2:$AR$1147,6,0)</f>
        <v>Obec Oravská Polhora</v>
      </c>
      <c r="D38" s="2" t="str">
        <f>VLOOKUP($A38,[2]Projekty!$A$2:$AR$1147,7,0)</f>
        <v>Zberný dvor Oravská Polhora</v>
      </c>
      <c r="E38" s="2" t="str">
        <f>VLOOKUP($A38,[2]Projekty!$A$2:$AR$1147,9,0)</f>
        <v>ZA</v>
      </c>
      <c r="F38" s="2" t="str">
        <f>VLOOKUP($A38,[2]Projekty!$A$2:$AR$1147,14,0)</f>
        <v>Realizácia</v>
      </c>
      <c r="G38" s="61">
        <f>VLOOKUP($A38,'[2]Dĺžka realizácie'!$A$2:$AR$1148,8,0)</f>
        <v>43100</v>
      </c>
      <c r="H38" s="18"/>
      <c r="I38" s="18"/>
      <c r="J38" s="18" t="str">
        <f t="shared" si="0"/>
        <v/>
      </c>
      <c r="K38" s="18"/>
      <c r="L38" s="18"/>
      <c r="M38" s="18" t="str">
        <f t="shared" si="1"/>
        <v/>
      </c>
      <c r="N38" s="18"/>
      <c r="O38" s="18"/>
      <c r="P38" s="18" t="str">
        <f t="shared" si="2"/>
        <v/>
      </c>
      <c r="Q38" s="18"/>
      <c r="R38" s="18"/>
      <c r="S38" s="18" t="str">
        <f t="shared" si="3"/>
        <v/>
      </c>
      <c r="T38" s="18">
        <v>713.6</v>
      </c>
      <c r="U38" s="18"/>
      <c r="V38" s="18">
        <f t="shared" si="4"/>
        <v>713.6</v>
      </c>
      <c r="W38" s="18"/>
      <c r="X38" s="18"/>
      <c r="Y38" s="18" t="str">
        <f t="shared" si="5"/>
        <v/>
      </c>
      <c r="Z38" s="18"/>
      <c r="AA38" s="18"/>
      <c r="AB38" s="18" t="str">
        <f t="shared" si="6"/>
        <v/>
      </c>
      <c r="AC38" s="18">
        <v>3883</v>
      </c>
      <c r="AD38" s="18"/>
      <c r="AE38" s="18">
        <f t="shared" si="7"/>
        <v>3883</v>
      </c>
      <c r="AF38" s="18"/>
      <c r="AG38" s="18"/>
      <c r="AH38" s="18" t="str">
        <f t="shared" si="8"/>
        <v/>
      </c>
      <c r="AI38" s="18"/>
      <c r="AJ38" s="18"/>
      <c r="AK38" s="18" t="str">
        <f t="shared" si="9"/>
        <v/>
      </c>
      <c r="AL38" s="18"/>
      <c r="AM38" s="18"/>
      <c r="AN38" s="18" t="str">
        <f t="shared" si="10"/>
        <v/>
      </c>
      <c r="AO38" s="18"/>
      <c r="AP38" s="18"/>
      <c r="AQ38" s="18" t="str">
        <f t="shared" si="11"/>
        <v/>
      </c>
      <c r="AR38" s="18">
        <v>30</v>
      </c>
      <c r="AS38" s="18"/>
      <c r="AT38" s="18">
        <f t="shared" si="12"/>
        <v>30</v>
      </c>
      <c r="AU38" s="18"/>
      <c r="AV38" s="18"/>
      <c r="AW38" s="18" t="str">
        <f t="shared" si="13"/>
        <v/>
      </c>
      <c r="AX38" s="18"/>
      <c r="AY38" s="18"/>
      <c r="AZ38" s="18" t="str">
        <f t="shared" si="14"/>
        <v/>
      </c>
      <c r="BA38" s="18">
        <v>713.6</v>
      </c>
      <c r="BB38" s="18"/>
      <c r="BC38" s="18">
        <f t="shared" si="15"/>
        <v>713.6</v>
      </c>
      <c r="BD38" s="18"/>
      <c r="BE38" s="18"/>
      <c r="BF38" s="18" t="str">
        <f t="shared" si="16"/>
        <v/>
      </c>
      <c r="BG38" s="18"/>
      <c r="BH38" s="18"/>
      <c r="BI38" s="18" t="str">
        <f t="shared" si="17"/>
        <v/>
      </c>
      <c r="BJ38" s="18"/>
      <c r="BK38" s="18"/>
      <c r="BL38" s="18" t="str">
        <f t="shared" si="18"/>
        <v/>
      </c>
      <c r="BM38" s="18"/>
      <c r="BN38" s="18"/>
      <c r="BO38" s="18" t="str">
        <f t="shared" si="19"/>
        <v/>
      </c>
      <c r="BP38" s="18"/>
      <c r="BQ38" s="18"/>
      <c r="BR38" s="18" t="str">
        <f t="shared" si="20"/>
        <v/>
      </c>
    </row>
    <row r="39" spans="1:70" ht="25.5" x14ac:dyDescent="0.25">
      <c r="A39" s="2" t="s">
        <v>733</v>
      </c>
      <c r="B39" s="2" t="str">
        <f>VLOOKUP($A39,[2]Projekty!$A$2:$AR$1147,4,0)</f>
        <v>OPKZP-PO1-SC111-2016-10</v>
      </c>
      <c r="C39" s="2" t="str">
        <f>VLOOKUP($A39,[2]Projekty!$A$2:$AR$1147,6,0)</f>
        <v>Obec Mužla</v>
      </c>
      <c r="D39" s="2" t="str">
        <f>VLOOKUP($A39,[2]Projekty!$A$2:$AR$1147,7,0)</f>
        <v>Modernizácia odpadového hospodárstva v obci Mužla</v>
      </c>
      <c r="E39" s="2" t="str">
        <f>VLOOKUP($A39,[2]Projekty!$A$2:$AR$1147,9,0)</f>
        <v>NR</v>
      </c>
      <c r="F39" s="2" t="str">
        <f>VLOOKUP($A39,[2]Projekty!$A$2:$AR$1147,14,0)</f>
        <v>Realizácia</v>
      </c>
      <c r="G39" s="61">
        <f>VLOOKUP($A39,'[2]Dĺžka realizácie'!$A$2:$AR$1148,8,0)</f>
        <v>43100</v>
      </c>
      <c r="H39" s="18"/>
      <c r="I39" s="18"/>
      <c r="J39" s="18" t="str">
        <f t="shared" si="0"/>
        <v/>
      </c>
      <c r="K39" s="18"/>
      <c r="L39" s="18"/>
      <c r="M39" s="18" t="str">
        <f t="shared" si="1"/>
        <v/>
      </c>
      <c r="N39" s="18"/>
      <c r="O39" s="18"/>
      <c r="P39" s="18" t="str">
        <f t="shared" si="2"/>
        <v/>
      </c>
      <c r="Q39" s="18"/>
      <c r="R39" s="18"/>
      <c r="S39" s="18" t="str">
        <f t="shared" si="3"/>
        <v/>
      </c>
      <c r="T39" s="18">
        <v>125</v>
      </c>
      <c r="U39" s="18"/>
      <c r="V39" s="18">
        <f t="shared" si="4"/>
        <v>125</v>
      </c>
      <c r="W39" s="18"/>
      <c r="X39" s="18"/>
      <c r="Y39" s="18" t="str">
        <f t="shared" si="5"/>
        <v/>
      </c>
      <c r="Z39" s="18"/>
      <c r="AA39" s="18"/>
      <c r="AB39" s="18" t="str">
        <f t="shared" si="6"/>
        <v/>
      </c>
      <c r="AC39" s="18"/>
      <c r="AD39" s="18"/>
      <c r="AE39" s="18" t="str">
        <f t="shared" si="7"/>
        <v/>
      </c>
      <c r="AF39" s="18"/>
      <c r="AG39" s="18"/>
      <c r="AH39" s="18" t="str">
        <f t="shared" si="8"/>
        <v/>
      </c>
      <c r="AI39" s="18"/>
      <c r="AJ39" s="18"/>
      <c r="AK39" s="18" t="str">
        <f t="shared" si="9"/>
        <v/>
      </c>
      <c r="AL39" s="18"/>
      <c r="AM39" s="18"/>
      <c r="AN39" s="18" t="str">
        <f t="shared" si="10"/>
        <v/>
      </c>
      <c r="AO39" s="18"/>
      <c r="AP39" s="18"/>
      <c r="AQ39" s="18" t="str">
        <f t="shared" si="11"/>
        <v/>
      </c>
      <c r="AR39" s="18"/>
      <c r="AS39" s="18"/>
      <c r="AT39" s="18" t="str">
        <f t="shared" si="12"/>
        <v/>
      </c>
      <c r="AU39" s="18"/>
      <c r="AV39" s="18"/>
      <c r="AW39" s="18" t="str">
        <f t="shared" si="13"/>
        <v/>
      </c>
      <c r="AX39" s="18"/>
      <c r="AY39" s="18"/>
      <c r="AZ39" s="18" t="str">
        <f t="shared" si="14"/>
        <v/>
      </c>
      <c r="BA39" s="18">
        <v>125</v>
      </c>
      <c r="BB39" s="18"/>
      <c r="BC39" s="18">
        <f t="shared" si="15"/>
        <v>125</v>
      </c>
      <c r="BD39" s="18"/>
      <c r="BE39" s="18"/>
      <c r="BF39" s="18" t="str">
        <f t="shared" si="16"/>
        <v/>
      </c>
      <c r="BG39" s="18"/>
      <c r="BH39" s="18"/>
      <c r="BI39" s="18" t="str">
        <f t="shared" si="17"/>
        <v/>
      </c>
      <c r="BJ39" s="18"/>
      <c r="BK39" s="18"/>
      <c r="BL39" s="18" t="str">
        <f t="shared" si="18"/>
        <v/>
      </c>
      <c r="BM39" s="18"/>
      <c r="BN39" s="18"/>
      <c r="BO39" s="18" t="str">
        <f t="shared" si="19"/>
        <v/>
      </c>
      <c r="BP39" s="18"/>
      <c r="BQ39" s="18"/>
      <c r="BR39" s="18" t="str">
        <f t="shared" si="20"/>
        <v/>
      </c>
    </row>
    <row r="40" spans="1:70" ht="25.5" x14ac:dyDescent="0.25">
      <c r="A40" s="2" t="s">
        <v>989</v>
      </c>
      <c r="B40" s="2" t="str">
        <f>VLOOKUP($A40,[2]Projekty!$A$2:$AR$1147,4,0)</f>
        <v>OPKZP-PO1-SC111-2016-10</v>
      </c>
      <c r="C40" s="2" t="str">
        <f>VLOOKUP($A40,[2]Projekty!$A$2:$AR$1147,6,0)</f>
        <v>Obec Jakubov</v>
      </c>
      <c r="D40" s="2" t="str">
        <f>VLOOKUP($A40,[2]Projekty!$A$2:$AR$1147,7,0)</f>
        <v>Zefektívnenie triedeného zberu komunálneho odpadu v obci Jakubov</v>
      </c>
      <c r="E40" s="2" t="str">
        <f>VLOOKUP($A40,[2]Projekty!$A$2:$AR$1147,9,0)</f>
        <v>BA</v>
      </c>
      <c r="F40" s="2" t="str">
        <f>VLOOKUP($A40,[2]Projekty!$A$2:$AR$1147,14,0)</f>
        <v>Realizácia</v>
      </c>
      <c r="G40" s="61">
        <f>VLOOKUP($A40,'[2]Dĺžka realizácie'!$A$2:$AR$1148,8,0)</f>
        <v>43190</v>
      </c>
      <c r="H40" s="18"/>
      <c r="I40" s="18"/>
      <c r="J40" s="18" t="str">
        <f t="shared" si="0"/>
        <v/>
      </c>
      <c r="K40" s="18"/>
      <c r="L40" s="18"/>
      <c r="M40" s="18" t="str">
        <f t="shared" si="1"/>
        <v/>
      </c>
      <c r="N40" s="18"/>
      <c r="O40" s="18"/>
      <c r="P40" s="18" t="str">
        <f t="shared" si="2"/>
        <v/>
      </c>
      <c r="Q40" s="18"/>
      <c r="R40" s="18"/>
      <c r="S40" s="18" t="str">
        <f t="shared" si="3"/>
        <v/>
      </c>
      <c r="T40" s="18">
        <v>89.647999999999996</v>
      </c>
      <c r="U40" s="18"/>
      <c r="V40" s="18">
        <f t="shared" si="4"/>
        <v>89.647999999999996</v>
      </c>
      <c r="W40" s="18"/>
      <c r="X40" s="18"/>
      <c r="Y40" s="18" t="str">
        <f t="shared" si="5"/>
        <v/>
      </c>
      <c r="Z40" s="18"/>
      <c r="AA40" s="18"/>
      <c r="AB40" s="18" t="str">
        <f t="shared" si="6"/>
        <v/>
      </c>
      <c r="AC40" s="18"/>
      <c r="AD40" s="18"/>
      <c r="AE40" s="18" t="str">
        <f t="shared" si="7"/>
        <v/>
      </c>
      <c r="AF40" s="18"/>
      <c r="AG40" s="18"/>
      <c r="AH40" s="18" t="str">
        <f t="shared" si="8"/>
        <v/>
      </c>
      <c r="AI40" s="18"/>
      <c r="AJ40" s="18"/>
      <c r="AK40" s="18" t="str">
        <f t="shared" si="9"/>
        <v/>
      </c>
      <c r="AL40" s="18"/>
      <c r="AM40" s="18"/>
      <c r="AN40" s="18" t="str">
        <f t="shared" si="10"/>
        <v/>
      </c>
      <c r="AO40" s="18"/>
      <c r="AP40" s="18"/>
      <c r="AQ40" s="18" t="str">
        <f t="shared" si="11"/>
        <v/>
      </c>
      <c r="AR40" s="18"/>
      <c r="AS40" s="18"/>
      <c r="AT40" s="18" t="str">
        <f t="shared" si="12"/>
        <v/>
      </c>
      <c r="AU40" s="18"/>
      <c r="AV40" s="18"/>
      <c r="AW40" s="18" t="str">
        <f t="shared" si="13"/>
        <v/>
      </c>
      <c r="AX40" s="18"/>
      <c r="AY40" s="18"/>
      <c r="AZ40" s="18" t="str">
        <f t="shared" si="14"/>
        <v/>
      </c>
      <c r="BA40" s="18">
        <v>89.647999999999996</v>
      </c>
      <c r="BB40" s="18"/>
      <c r="BC40" s="18">
        <f t="shared" si="15"/>
        <v>89.647999999999996</v>
      </c>
      <c r="BD40" s="18"/>
      <c r="BE40" s="18"/>
      <c r="BF40" s="18" t="str">
        <f t="shared" si="16"/>
        <v/>
      </c>
      <c r="BG40" s="18"/>
      <c r="BH40" s="18"/>
      <c r="BI40" s="18" t="str">
        <f t="shared" si="17"/>
        <v/>
      </c>
      <c r="BJ40" s="18"/>
      <c r="BK40" s="18"/>
      <c r="BL40" s="18" t="str">
        <f t="shared" si="18"/>
        <v/>
      </c>
      <c r="BM40" s="18"/>
      <c r="BN40" s="18"/>
      <c r="BO40" s="18" t="str">
        <f t="shared" si="19"/>
        <v/>
      </c>
      <c r="BP40" s="18"/>
      <c r="BQ40" s="18"/>
      <c r="BR40" s="18" t="str">
        <f t="shared" si="20"/>
        <v/>
      </c>
    </row>
    <row r="41" spans="1:70" ht="25.5" x14ac:dyDescent="0.25">
      <c r="A41" s="2" t="s">
        <v>777</v>
      </c>
      <c r="B41" s="2" t="str">
        <f>VLOOKUP($A41,[2]Projekty!$A$2:$AR$1147,4,0)</f>
        <v>OPKZP-PO1-SC111-2016-10</v>
      </c>
      <c r="C41" s="2" t="str">
        <f>VLOOKUP($A41,[2]Projekty!$A$2:$AR$1147,6,0)</f>
        <v>Obec Svodín</v>
      </c>
      <c r="D41" s="2" t="str">
        <f>VLOOKUP($A41,[2]Projekty!$A$2:$AR$1147,7,0)</f>
        <v>Modernizácia odpadového hospodárstva v obci Svodín</v>
      </c>
      <c r="E41" s="2" t="str">
        <f>VLOOKUP($A41,[2]Projekty!$A$2:$AR$1147,9,0)</f>
        <v>NR</v>
      </c>
      <c r="F41" s="2" t="str">
        <f>VLOOKUP($A41,[2]Projekty!$A$2:$AR$1147,14,0)</f>
        <v>Aktivity nezačaté</v>
      </c>
      <c r="G41" s="61">
        <f>VLOOKUP($A41,'[2]Dĺžka realizácie'!$A$2:$AR$1148,8,0)</f>
        <v>43343</v>
      </c>
      <c r="H41" s="18"/>
      <c r="I41" s="18"/>
      <c r="J41" s="18" t="str">
        <f t="shared" si="0"/>
        <v/>
      </c>
      <c r="K41" s="18"/>
      <c r="L41" s="18"/>
      <c r="M41" s="18" t="str">
        <f t="shared" si="1"/>
        <v/>
      </c>
      <c r="N41" s="18"/>
      <c r="O41" s="18"/>
      <c r="P41" s="18" t="str">
        <f t="shared" si="2"/>
        <v/>
      </c>
      <c r="Q41" s="18"/>
      <c r="R41" s="18"/>
      <c r="S41" s="18" t="str">
        <f t="shared" si="3"/>
        <v/>
      </c>
      <c r="T41" s="18">
        <v>78.81</v>
      </c>
      <c r="U41" s="18"/>
      <c r="V41" s="18">
        <f t="shared" si="4"/>
        <v>78.81</v>
      </c>
      <c r="W41" s="18"/>
      <c r="X41" s="18"/>
      <c r="Y41" s="18" t="str">
        <f t="shared" si="5"/>
        <v/>
      </c>
      <c r="Z41" s="18"/>
      <c r="AA41" s="18"/>
      <c r="AB41" s="18" t="str">
        <f t="shared" si="6"/>
        <v/>
      </c>
      <c r="AC41" s="18"/>
      <c r="AD41" s="18"/>
      <c r="AE41" s="18" t="str">
        <f t="shared" si="7"/>
        <v/>
      </c>
      <c r="AF41" s="18"/>
      <c r="AG41" s="18"/>
      <c r="AH41" s="18" t="str">
        <f t="shared" si="8"/>
        <v/>
      </c>
      <c r="AI41" s="18"/>
      <c r="AJ41" s="18"/>
      <c r="AK41" s="18" t="str">
        <f t="shared" si="9"/>
        <v/>
      </c>
      <c r="AL41" s="18"/>
      <c r="AM41" s="18"/>
      <c r="AN41" s="18" t="str">
        <f t="shared" si="10"/>
        <v/>
      </c>
      <c r="AO41" s="18"/>
      <c r="AP41" s="18"/>
      <c r="AQ41" s="18" t="str">
        <f t="shared" si="11"/>
        <v/>
      </c>
      <c r="AR41" s="18"/>
      <c r="AS41" s="18"/>
      <c r="AT41" s="18" t="str">
        <f t="shared" si="12"/>
        <v/>
      </c>
      <c r="AU41" s="18"/>
      <c r="AV41" s="18"/>
      <c r="AW41" s="18" t="str">
        <f t="shared" si="13"/>
        <v/>
      </c>
      <c r="AX41" s="18"/>
      <c r="AY41" s="18"/>
      <c r="AZ41" s="18" t="str">
        <f t="shared" si="14"/>
        <v/>
      </c>
      <c r="BA41" s="18">
        <v>78.81</v>
      </c>
      <c r="BB41" s="18"/>
      <c r="BC41" s="18">
        <f t="shared" si="15"/>
        <v>78.81</v>
      </c>
      <c r="BD41" s="18"/>
      <c r="BE41" s="18"/>
      <c r="BF41" s="18" t="str">
        <f t="shared" si="16"/>
        <v/>
      </c>
      <c r="BG41" s="18"/>
      <c r="BH41" s="18"/>
      <c r="BI41" s="18" t="str">
        <f t="shared" si="17"/>
        <v/>
      </c>
      <c r="BJ41" s="18"/>
      <c r="BK41" s="18"/>
      <c r="BL41" s="18" t="str">
        <f t="shared" si="18"/>
        <v/>
      </c>
      <c r="BM41" s="18"/>
      <c r="BN41" s="18"/>
      <c r="BO41" s="18" t="str">
        <f t="shared" si="19"/>
        <v/>
      </c>
      <c r="BP41" s="18"/>
      <c r="BQ41" s="18"/>
      <c r="BR41" s="18" t="str">
        <f t="shared" si="20"/>
        <v/>
      </c>
    </row>
    <row r="42" spans="1:70" x14ac:dyDescent="0.25">
      <c r="A42" s="2" t="s">
        <v>734</v>
      </c>
      <c r="B42" s="2" t="str">
        <f>VLOOKUP($A42,[2]Projekty!$A$2:$AR$1147,4,0)</f>
        <v>OPKZP-PO1-SC111-2016-10</v>
      </c>
      <c r="C42" s="2" t="str">
        <f>VLOOKUP($A42,[2]Projekty!$A$2:$AR$1147,6,0)</f>
        <v>Obec Gajary</v>
      </c>
      <c r="D42" s="2" t="str">
        <f>VLOOKUP($A42,[2]Projekty!$A$2:$AR$1147,7,0)</f>
        <v>Gajary – zberný dvor odpadov</v>
      </c>
      <c r="E42" s="2" t="str">
        <f>VLOOKUP($A42,[2]Projekty!$A$2:$AR$1147,9,0)</f>
        <v>BA</v>
      </c>
      <c r="F42" s="2" t="str">
        <f>VLOOKUP($A42,[2]Projekty!$A$2:$AR$1147,14,0)</f>
        <v>Realizácia</v>
      </c>
      <c r="G42" s="61">
        <f>VLOOKUP($A42,'[2]Dĺžka realizácie'!$A$2:$AR$1148,8,0)</f>
        <v>43343</v>
      </c>
      <c r="H42" s="18"/>
      <c r="I42" s="18"/>
      <c r="J42" s="18" t="str">
        <f t="shared" si="0"/>
        <v/>
      </c>
      <c r="K42" s="18"/>
      <c r="L42" s="18"/>
      <c r="M42" s="18" t="str">
        <f t="shared" si="1"/>
        <v/>
      </c>
      <c r="N42" s="18"/>
      <c r="O42" s="18"/>
      <c r="P42" s="18" t="str">
        <f t="shared" si="2"/>
        <v/>
      </c>
      <c r="Q42" s="18"/>
      <c r="R42" s="18"/>
      <c r="S42" s="18" t="str">
        <f t="shared" si="3"/>
        <v/>
      </c>
      <c r="T42" s="18">
        <v>84.2</v>
      </c>
      <c r="U42" s="18"/>
      <c r="V42" s="18">
        <f t="shared" si="4"/>
        <v>84.2</v>
      </c>
      <c r="W42" s="18"/>
      <c r="X42" s="18"/>
      <c r="Y42" s="18" t="str">
        <f t="shared" si="5"/>
        <v/>
      </c>
      <c r="Z42" s="18"/>
      <c r="AA42" s="18"/>
      <c r="AB42" s="18" t="str">
        <f t="shared" si="6"/>
        <v/>
      </c>
      <c r="AC42" s="18"/>
      <c r="AD42" s="18"/>
      <c r="AE42" s="18" t="str">
        <f t="shared" si="7"/>
        <v/>
      </c>
      <c r="AF42" s="18"/>
      <c r="AG42" s="18"/>
      <c r="AH42" s="18" t="str">
        <f t="shared" si="8"/>
        <v/>
      </c>
      <c r="AI42" s="18"/>
      <c r="AJ42" s="18"/>
      <c r="AK42" s="18" t="str">
        <f t="shared" si="9"/>
        <v/>
      </c>
      <c r="AL42" s="18"/>
      <c r="AM42" s="18"/>
      <c r="AN42" s="18" t="str">
        <f t="shared" si="10"/>
        <v/>
      </c>
      <c r="AO42" s="18"/>
      <c r="AP42" s="18"/>
      <c r="AQ42" s="18" t="str">
        <f t="shared" si="11"/>
        <v/>
      </c>
      <c r="AR42" s="18"/>
      <c r="AS42" s="18"/>
      <c r="AT42" s="18" t="str">
        <f t="shared" si="12"/>
        <v/>
      </c>
      <c r="AU42" s="18"/>
      <c r="AV42" s="18"/>
      <c r="AW42" s="18" t="str">
        <f t="shared" si="13"/>
        <v/>
      </c>
      <c r="AX42" s="18"/>
      <c r="AY42" s="18"/>
      <c r="AZ42" s="18" t="str">
        <f t="shared" si="14"/>
        <v/>
      </c>
      <c r="BA42" s="18">
        <v>84.2</v>
      </c>
      <c r="BB42" s="18"/>
      <c r="BC42" s="18">
        <f t="shared" si="15"/>
        <v>84.2</v>
      </c>
      <c r="BD42" s="18"/>
      <c r="BE42" s="18"/>
      <c r="BF42" s="18" t="str">
        <f t="shared" si="16"/>
        <v/>
      </c>
      <c r="BG42" s="18"/>
      <c r="BH42" s="18"/>
      <c r="BI42" s="18" t="str">
        <f t="shared" si="17"/>
        <v/>
      </c>
      <c r="BJ42" s="18"/>
      <c r="BK42" s="18"/>
      <c r="BL42" s="18" t="str">
        <f t="shared" si="18"/>
        <v/>
      </c>
      <c r="BM42" s="18"/>
      <c r="BN42" s="18"/>
      <c r="BO42" s="18" t="str">
        <f t="shared" si="19"/>
        <v/>
      </c>
      <c r="BP42" s="18"/>
      <c r="BQ42" s="18"/>
      <c r="BR42" s="18" t="str">
        <f t="shared" si="20"/>
        <v/>
      </c>
    </row>
    <row r="43" spans="1:70" ht="25.5" x14ac:dyDescent="0.25">
      <c r="A43" s="2" t="s">
        <v>735</v>
      </c>
      <c r="B43" s="2" t="str">
        <f>VLOOKUP($A43,[2]Projekty!$A$2:$AR$1147,4,0)</f>
        <v>OPKZP-PO1-SC111-2016-10</v>
      </c>
      <c r="C43" s="2" t="str">
        <f>VLOOKUP($A43,[2]Projekty!$A$2:$AR$1147,6,0)</f>
        <v>Obec Rybník</v>
      </c>
      <c r="D43" s="2" t="str">
        <f>VLOOKUP($A43,[2]Projekty!$A$2:$AR$1147,7,0)</f>
        <v>Separovaný zber komunálneho odpadu v obci Rybník</v>
      </c>
      <c r="E43" s="2" t="str">
        <f>VLOOKUP($A43,[2]Projekty!$A$2:$AR$1147,9,0)</f>
        <v>NR</v>
      </c>
      <c r="F43" s="2" t="str">
        <f>VLOOKUP($A43,[2]Projekty!$A$2:$AR$1147,14,0)</f>
        <v>Realizácia</v>
      </c>
      <c r="G43" s="61">
        <f>VLOOKUP($A43,'[2]Dĺžka realizácie'!$A$2:$AR$1148,8,0)</f>
        <v>43220</v>
      </c>
      <c r="H43" s="18"/>
      <c r="I43" s="18"/>
      <c r="J43" s="18" t="str">
        <f t="shared" si="0"/>
        <v/>
      </c>
      <c r="K43" s="18"/>
      <c r="L43" s="18"/>
      <c r="M43" s="18" t="str">
        <f t="shared" si="1"/>
        <v/>
      </c>
      <c r="N43" s="18"/>
      <c r="O43" s="18"/>
      <c r="P43" s="18" t="str">
        <f t="shared" si="2"/>
        <v/>
      </c>
      <c r="Q43" s="18"/>
      <c r="R43" s="18"/>
      <c r="S43" s="18" t="str">
        <f t="shared" si="3"/>
        <v/>
      </c>
      <c r="T43" s="18">
        <v>120</v>
      </c>
      <c r="U43" s="18"/>
      <c r="V43" s="18">
        <f t="shared" si="4"/>
        <v>120</v>
      </c>
      <c r="W43" s="18"/>
      <c r="X43" s="18"/>
      <c r="Y43" s="18" t="str">
        <f t="shared" si="5"/>
        <v/>
      </c>
      <c r="Z43" s="18"/>
      <c r="AA43" s="18"/>
      <c r="AB43" s="18" t="str">
        <f t="shared" si="6"/>
        <v/>
      </c>
      <c r="AC43" s="18"/>
      <c r="AD43" s="18"/>
      <c r="AE43" s="18" t="str">
        <f t="shared" si="7"/>
        <v/>
      </c>
      <c r="AF43" s="18"/>
      <c r="AG43" s="18"/>
      <c r="AH43" s="18" t="str">
        <f t="shared" si="8"/>
        <v/>
      </c>
      <c r="AI43" s="18"/>
      <c r="AJ43" s="18"/>
      <c r="AK43" s="18" t="str">
        <f t="shared" si="9"/>
        <v/>
      </c>
      <c r="AL43" s="18"/>
      <c r="AM43" s="18"/>
      <c r="AN43" s="18" t="str">
        <f t="shared" si="10"/>
        <v/>
      </c>
      <c r="AO43" s="18"/>
      <c r="AP43" s="18"/>
      <c r="AQ43" s="18" t="str">
        <f t="shared" si="11"/>
        <v/>
      </c>
      <c r="AR43" s="18"/>
      <c r="AS43" s="18"/>
      <c r="AT43" s="18" t="str">
        <f t="shared" si="12"/>
        <v/>
      </c>
      <c r="AU43" s="18"/>
      <c r="AV43" s="18"/>
      <c r="AW43" s="18" t="str">
        <f t="shared" si="13"/>
        <v/>
      </c>
      <c r="AX43" s="18"/>
      <c r="AY43" s="18"/>
      <c r="AZ43" s="18" t="str">
        <f t="shared" si="14"/>
        <v/>
      </c>
      <c r="BA43" s="18">
        <v>120</v>
      </c>
      <c r="BB43" s="18"/>
      <c r="BC43" s="18">
        <f t="shared" si="15"/>
        <v>120</v>
      </c>
      <c r="BD43" s="18"/>
      <c r="BE43" s="18"/>
      <c r="BF43" s="18" t="str">
        <f t="shared" si="16"/>
        <v/>
      </c>
      <c r="BG43" s="18"/>
      <c r="BH43" s="18"/>
      <c r="BI43" s="18" t="str">
        <f t="shared" si="17"/>
        <v/>
      </c>
      <c r="BJ43" s="18"/>
      <c r="BK43" s="18"/>
      <c r="BL43" s="18" t="str">
        <f t="shared" si="18"/>
        <v/>
      </c>
      <c r="BM43" s="18"/>
      <c r="BN43" s="18"/>
      <c r="BO43" s="18" t="str">
        <f t="shared" si="19"/>
        <v/>
      </c>
      <c r="BP43" s="18"/>
      <c r="BQ43" s="18"/>
      <c r="BR43" s="18" t="str">
        <f t="shared" si="20"/>
        <v/>
      </c>
    </row>
    <row r="44" spans="1:70" ht="25.5" x14ac:dyDescent="0.25">
      <c r="A44" s="2" t="s">
        <v>709</v>
      </c>
      <c r="B44" s="2" t="str">
        <f>VLOOKUP($A44,[2]Projekty!$A$2:$AR$1147,4,0)</f>
        <v>OPKZP-PO1-SC111-2016-11</v>
      </c>
      <c r="C44" s="2" t="str">
        <f>VLOOKUP($A44,[2]Projekty!$A$2:$AR$1147,6,0)</f>
        <v>Mesto Giraltovce</v>
      </c>
      <c r="D44" s="2" t="str">
        <f>VLOOKUP($A44,[2]Projekty!$A$2:$AR$1147,7,0)</f>
        <v>Zariadenie na zhodnocovanie biologicky rozložiteľného odpadu - kompostáreň.</v>
      </c>
      <c r="E44" s="2" t="str">
        <f>VLOOKUP($A44,[2]Projekty!$A$2:$AR$1147,9,0)</f>
        <v>PO</v>
      </c>
      <c r="F44" s="2" t="str">
        <f>VLOOKUP($A44,[2]Projekty!$A$2:$AR$1147,14,0)</f>
        <v>Realizácia</v>
      </c>
      <c r="G44" s="61">
        <f>VLOOKUP($A44,'[2]Dĺžka realizácie'!$A$2:$AR$1148,8,0)</f>
        <v>43281</v>
      </c>
      <c r="H44" s="18"/>
      <c r="I44" s="18"/>
      <c r="J44" s="18" t="str">
        <f t="shared" si="0"/>
        <v/>
      </c>
      <c r="K44" s="18"/>
      <c r="L44" s="18"/>
      <c r="M44" s="18" t="str">
        <f t="shared" si="1"/>
        <v/>
      </c>
      <c r="N44" s="18"/>
      <c r="O44" s="18"/>
      <c r="P44" s="18" t="str">
        <f t="shared" si="2"/>
        <v/>
      </c>
      <c r="Q44" s="18"/>
      <c r="R44" s="18"/>
      <c r="S44" s="18" t="str">
        <f t="shared" si="3"/>
        <v/>
      </c>
      <c r="T44" s="18"/>
      <c r="U44" s="18"/>
      <c r="V44" s="18" t="str">
        <f t="shared" si="4"/>
        <v/>
      </c>
      <c r="W44" s="18">
        <v>650</v>
      </c>
      <c r="X44" s="18"/>
      <c r="Y44" s="18">
        <f t="shared" si="5"/>
        <v>650</v>
      </c>
      <c r="Z44" s="18"/>
      <c r="AA44" s="18"/>
      <c r="AB44" s="18" t="str">
        <f t="shared" si="6"/>
        <v/>
      </c>
      <c r="AC44" s="18"/>
      <c r="AD44" s="18"/>
      <c r="AE44" s="18" t="str">
        <f t="shared" si="7"/>
        <v/>
      </c>
      <c r="AF44" s="18"/>
      <c r="AG44" s="18"/>
      <c r="AH44" s="18" t="str">
        <f t="shared" si="8"/>
        <v/>
      </c>
      <c r="AI44" s="18"/>
      <c r="AJ44" s="18"/>
      <c r="AK44" s="18" t="str">
        <f t="shared" si="9"/>
        <v/>
      </c>
      <c r="AL44" s="18"/>
      <c r="AM44" s="18"/>
      <c r="AN44" s="18" t="str">
        <f t="shared" si="10"/>
        <v/>
      </c>
      <c r="AO44" s="18"/>
      <c r="AP44" s="18"/>
      <c r="AQ44" s="18" t="str">
        <f t="shared" si="11"/>
        <v/>
      </c>
      <c r="AR44" s="18"/>
      <c r="AS44" s="18"/>
      <c r="AT44" s="18" t="str">
        <f t="shared" si="12"/>
        <v/>
      </c>
      <c r="AU44" s="18"/>
      <c r="AV44" s="18"/>
      <c r="AW44" s="18" t="str">
        <f t="shared" si="13"/>
        <v/>
      </c>
      <c r="AX44" s="18"/>
      <c r="AY44" s="18"/>
      <c r="AZ44" s="18" t="str">
        <f t="shared" si="14"/>
        <v/>
      </c>
      <c r="BA44" s="18"/>
      <c r="BB44" s="18"/>
      <c r="BC44" s="18" t="str">
        <f t="shared" si="15"/>
        <v/>
      </c>
      <c r="BD44" s="18">
        <v>800</v>
      </c>
      <c r="BE44" s="18"/>
      <c r="BF44" s="18">
        <f t="shared" si="16"/>
        <v>800</v>
      </c>
      <c r="BG44" s="18"/>
      <c r="BH44" s="18"/>
      <c r="BI44" s="18" t="str">
        <f t="shared" si="17"/>
        <v/>
      </c>
      <c r="BJ44" s="18"/>
      <c r="BK44" s="18"/>
      <c r="BL44" s="18" t="str">
        <f t="shared" si="18"/>
        <v/>
      </c>
      <c r="BM44" s="18"/>
      <c r="BN44" s="18"/>
      <c r="BO44" s="18" t="str">
        <f t="shared" si="19"/>
        <v/>
      </c>
      <c r="BP44" s="18"/>
      <c r="BQ44" s="18"/>
      <c r="BR44" s="18" t="str">
        <f t="shared" si="20"/>
        <v/>
      </c>
    </row>
    <row r="45" spans="1:70" ht="25.5" x14ac:dyDescent="0.25">
      <c r="A45" s="15" t="s">
        <v>990</v>
      </c>
      <c r="B45" s="2" t="str">
        <f>VLOOKUP($A45,[2]Projekty!$A$2:$AR$1147,4,0)</f>
        <v>OPKZP-PO1-SC111-2016-10</v>
      </c>
      <c r="C45" s="2" t="str">
        <f>VLOOKUP($A45,[2]Projekty!$A$2:$AR$1147,6,0)</f>
        <v>Mesto Levoča</v>
      </c>
      <c r="D45" s="2" t="str">
        <f>VLOOKUP($A45,[2]Projekty!$A$2:$AR$1147,7,0)</f>
        <v>Mesto Levoča – modernizácia zberného dvora a nákup manipulačnej techniky</v>
      </c>
      <c r="E45" s="2" t="str">
        <f>VLOOKUP($A45,[2]Projekty!$A$2:$AR$1147,9,0)</f>
        <v>PO</v>
      </c>
      <c r="F45" s="2" t="str">
        <f>VLOOKUP($A45,[2]Projekty!$A$2:$AR$1147,14,0)</f>
        <v>Realizácia</v>
      </c>
      <c r="G45" s="61">
        <f>VLOOKUP($A45,'[2]Dĺžka realizácie'!$A$2:$AR$1148,8,0)</f>
        <v>43100</v>
      </c>
      <c r="H45" s="18"/>
      <c r="I45" s="18"/>
      <c r="J45" s="18" t="str">
        <f t="shared" si="0"/>
        <v/>
      </c>
      <c r="K45" s="18"/>
      <c r="L45" s="18"/>
      <c r="M45" s="18" t="str">
        <f t="shared" si="1"/>
        <v/>
      </c>
      <c r="N45" s="18"/>
      <c r="O45" s="18"/>
      <c r="P45" s="18" t="str">
        <f t="shared" si="2"/>
        <v/>
      </c>
      <c r="Q45" s="18"/>
      <c r="R45" s="18"/>
      <c r="S45" s="18" t="str">
        <f t="shared" si="3"/>
        <v/>
      </c>
      <c r="T45" s="18">
        <v>435</v>
      </c>
      <c r="U45" s="18"/>
      <c r="V45" s="18">
        <f t="shared" si="4"/>
        <v>435</v>
      </c>
      <c r="W45" s="18"/>
      <c r="X45" s="18"/>
      <c r="Y45" s="18" t="str">
        <f t="shared" si="5"/>
        <v/>
      </c>
      <c r="Z45" s="18"/>
      <c r="AA45" s="18"/>
      <c r="AB45" s="18" t="str">
        <f t="shared" si="6"/>
        <v/>
      </c>
      <c r="AC45" s="18">
        <v>700</v>
      </c>
      <c r="AD45" s="18"/>
      <c r="AE45" s="18">
        <f t="shared" si="7"/>
        <v>700</v>
      </c>
      <c r="AF45" s="18"/>
      <c r="AG45" s="18"/>
      <c r="AH45" s="18" t="str">
        <f t="shared" si="8"/>
        <v/>
      </c>
      <c r="AI45" s="18"/>
      <c r="AJ45" s="18"/>
      <c r="AK45" s="18" t="str">
        <f t="shared" si="9"/>
        <v/>
      </c>
      <c r="AL45" s="18"/>
      <c r="AM45" s="18"/>
      <c r="AN45" s="18" t="str">
        <f t="shared" si="10"/>
        <v/>
      </c>
      <c r="AO45" s="18"/>
      <c r="AP45" s="18"/>
      <c r="AQ45" s="18" t="str">
        <f t="shared" si="11"/>
        <v/>
      </c>
      <c r="AR45" s="18">
        <v>4</v>
      </c>
      <c r="AS45" s="18"/>
      <c r="AT45" s="18">
        <f t="shared" si="12"/>
        <v>4</v>
      </c>
      <c r="AU45" s="18"/>
      <c r="AV45" s="18"/>
      <c r="AW45" s="18" t="str">
        <f t="shared" si="13"/>
        <v/>
      </c>
      <c r="AX45" s="18"/>
      <c r="AY45" s="18"/>
      <c r="AZ45" s="18" t="str">
        <f t="shared" si="14"/>
        <v/>
      </c>
      <c r="BA45" s="18">
        <v>435</v>
      </c>
      <c r="BB45" s="18"/>
      <c r="BC45" s="18">
        <f t="shared" si="15"/>
        <v>435</v>
      </c>
      <c r="BD45" s="18"/>
      <c r="BE45" s="18"/>
      <c r="BF45" s="18" t="str">
        <f t="shared" si="16"/>
        <v/>
      </c>
      <c r="BG45" s="18"/>
      <c r="BH45" s="18"/>
      <c r="BI45" s="18" t="str">
        <f t="shared" si="17"/>
        <v/>
      </c>
      <c r="BJ45" s="18"/>
      <c r="BK45" s="18"/>
      <c r="BL45" s="18" t="str">
        <f t="shared" si="18"/>
        <v/>
      </c>
      <c r="BM45" s="18"/>
      <c r="BN45" s="18"/>
      <c r="BO45" s="18" t="str">
        <f t="shared" si="19"/>
        <v/>
      </c>
      <c r="BP45" s="18"/>
      <c r="BQ45" s="18"/>
      <c r="BR45" s="18" t="str">
        <f t="shared" si="20"/>
        <v/>
      </c>
    </row>
    <row r="46" spans="1:70" ht="25.5" x14ac:dyDescent="0.25">
      <c r="A46" s="15" t="s">
        <v>670</v>
      </c>
      <c r="B46" s="2" t="str">
        <f>VLOOKUP($A46,[2]Projekty!$A$2:$AR$1147,4,0)</f>
        <v>OPKZP-PO1-SC111-2016-11</v>
      </c>
      <c r="C46" s="2" t="str">
        <f>VLOOKUP($A46,[2]Projekty!$A$2:$AR$1147,6,0)</f>
        <v>VPS Vysoké Tatry, s.r.o.</v>
      </c>
      <c r="D46" s="2" t="str">
        <f>VLOOKUP($A46,[2]Projekty!$A$2:$AR$1147,7,0)</f>
        <v>Rozšírenie systému triedeného zberu KO v Meste Vysoké Tatry</v>
      </c>
      <c r="E46" s="2" t="str">
        <f>VLOOKUP($A46,[2]Projekty!$A$2:$AR$1147,9,0)</f>
        <v>PO</v>
      </c>
      <c r="F46" s="2" t="str">
        <f>VLOOKUP($A46,[2]Projekty!$A$2:$AR$1147,14,0)</f>
        <v>Aktivity nezačaté</v>
      </c>
      <c r="G46" s="61">
        <f>VLOOKUP($A46,'[2]Dĺžka realizácie'!$A$2:$AR$1148,8,0)</f>
        <v>43220</v>
      </c>
      <c r="H46" s="18"/>
      <c r="I46" s="18"/>
      <c r="J46" s="18" t="str">
        <f t="shared" si="0"/>
        <v/>
      </c>
      <c r="K46" s="18"/>
      <c r="L46" s="18"/>
      <c r="M46" s="18" t="str">
        <f t="shared" si="1"/>
        <v/>
      </c>
      <c r="N46" s="18"/>
      <c r="O46" s="18"/>
      <c r="P46" s="18" t="str">
        <f t="shared" si="2"/>
        <v/>
      </c>
      <c r="Q46" s="18"/>
      <c r="R46" s="18"/>
      <c r="S46" s="18" t="str">
        <f t="shared" si="3"/>
        <v/>
      </c>
      <c r="T46" s="18">
        <v>710</v>
      </c>
      <c r="U46" s="18"/>
      <c r="V46" s="18">
        <f t="shared" si="4"/>
        <v>710</v>
      </c>
      <c r="W46" s="18"/>
      <c r="X46" s="18"/>
      <c r="Y46" s="18" t="str">
        <f t="shared" si="5"/>
        <v/>
      </c>
      <c r="Z46" s="18"/>
      <c r="AA46" s="18"/>
      <c r="AB46" s="18" t="str">
        <f t="shared" si="6"/>
        <v/>
      </c>
      <c r="AC46" s="18"/>
      <c r="AD46" s="18"/>
      <c r="AE46" s="18" t="str">
        <f t="shared" si="7"/>
        <v/>
      </c>
      <c r="AF46" s="18"/>
      <c r="AG46" s="18"/>
      <c r="AH46" s="18" t="str">
        <f t="shared" si="8"/>
        <v/>
      </c>
      <c r="AI46" s="18"/>
      <c r="AJ46" s="18"/>
      <c r="AK46" s="18" t="str">
        <f t="shared" si="9"/>
        <v/>
      </c>
      <c r="AL46" s="18"/>
      <c r="AM46" s="18"/>
      <c r="AN46" s="18" t="str">
        <f t="shared" si="10"/>
        <v/>
      </c>
      <c r="AO46" s="18"/>
      <c r="AP46" s="18"/>
      <c r="AQ46" s="18" t="str">
        <f t="shared" si="11"/>
        <v/>
      </c>
      <c r="AR46" s="18"/>
      <c r="AS46" s="18"/>
      <c r="AT46" s="18" t="str">
        <f t="shared" si="12"/>
        <v/>
      </c>
      <c r="AU46" s="18"/>
      <c r="AV46" s="18"/>
      <c r="AW46" s="18" t="str">
        <f t="shared" si="13"/>
        <v/>
      </c>
      <c r="AX46" s="18"/>
      <c r="AY46" s="18"/>
      <c r="AZ46" s="18" t="str">
        <f t="shared" si="14"/>
        <v/>
      </c>
      <c r="BA46" s="18">
        <v>710</v>
      </c>
      <c r="BB46" s="18"/>
      <c r="BC46" s="18">
        <f t="shared" si="15"/>
        <v>710</v>
      </c>
      <c r="BD46" s="18"/>
      <c r="BE46" s="18"/>
      <c r="BF46" s="18" t="str">
        <f t="shared" si="16"/>
        <v/>
      </c>
      <c r="BG46" s="18"/>
      <c r="BH46" s="18"/>
      <c r="BI46" s="18" t="str">
        <f t="shared" si="17"/>
        <v/>
      </c>
      <c r="BJ46" s="18"/>
      <c r="BK46" s="18"/>
      <c r="BL46" s="18" t="str">
        <f t="shared" si="18"/>
        <v/>
      </c>
      <c r="BM46" s="18"/>
      <c r="BN46" s="18"/>
      <c r="BO46" s="18" t="str">
        <f t="shared" si="19"/>
        <v/>
      </c>
      <c r="BP46" s="18"/>
      <c r="BQ46" s="18"/>
      <c r="BR46" s="18" t="str">
        <f t="shared" si="20"/>
        <v/>
      </c>
    </row>
    <row r="47" spans="1:70" x14ac:dyDescent="0.25">
      <c r="A47" s="2" t="s">
        <v>778</v>
      </c>
      <c r="B47" s="2" t="str">
        <f>VLOOKUP($A47,[2]Projekty!$A$2:$AR$1147,4,0)</f>
        <v>OPKZP-PO1-SC111-2016-10</v>
      </c>
      <c r="C47" s="2" t="str">
        <f>VLOOKUP($A47,[2]Projekty!$A$2:$AR$1147,6,0)</f>
        <v>obec Lokca</v>
      </c>
      <c r="D47" s="2" t="str">
        <f>VLOOKUP($A47,[2]Projekty!$A$2:$AR$1147,7,0)</f>
        <v>Zberný dvor obce Lokca</v>
      </c>
      <c r="E47" s="2" t="str">
        <f>VLOOKUP($A47,[2]Projekty!$A$2:$AR$1147,9,0)</f>
        <v>ZA</v>
      </c>
      <c r="F47" s="2" t="str">
        <f>VLOOKUP($A47,[2]Projekty!$A$2:$AR$1147,14,0)</f>
        <v>Realizácia</v>
      </c>
      <c r="G47" s="61">
        <f>VLOOKUP($A47,'[2]Dĺžka realizácie'!$A$2:$AR$1148,8,0)</f>
        <v>43159</v>
      </c>
      <c r="H47" s="18"/>
      <c r="I47" s="18"/>
      <c r="J47" s="18" t="str">
        <f t="shared" si="0"/>
        <v/>
      </c>
      <c r="K47" s="18"/>
      <c r="L47" s="18"/>
      <c r="M47" s="18" t="str">
        <f t="shared" si="1"/>
        <v/>
      </c>
      <c r="N47" s="18"/>
      <c r="O47" s="18"/>
      <c r="P47" s="18" t="str">
        <f t="shared" si="2"/>
        <v/>
      </c>
      <c r="Q47" s="18"/>
      <c r="R47" s="18"/>
      <c r="S47" s="18" t="str">
        <f t="shared" si="3"/>
        <v/>
      </c>
      <c r="T47" s="18">
        <v>229</v>
      </c>
      <c r="U47" s="18"/>
      <c r="V47" s="18">
        <f t="shared" si="4"/>
        <v>229</v>
      </c>
      <c r="W47" s="18"/>
      <c r="X47" s="18"/>
      <c r="Y47" s="18" t="str">
        <f t="shared" si="5"/>
        <v/>
      </c>
      <c r="Z47" s="18"/>
      <c r="AA47" s="18"/>
      <c r="AB47" s="18" t="str">
        <f t="shared" si="6"/>
        <v/>
      </c>
      <c r="AC47" s="18">
        <v>2306</v>
      </c>
      <c r="AD47" s="18"/>
      <c r="AE47" s="18">
        <f t="shared" si="7"/>
        <v>2306</v>
      </c>
      <c r="AF47" s="18"/>
      <c r="AG47" s="18"/>
      <c r="AH47" s="18" t="str">
        <f t="shared" si="8"/>
        <v/>
      </c>
      <c r="AI47" s="18"/>
      <c r="AJ47" s="18"/>
      <c r="AK47" s="18" t="str">
        <f t="shared" si="9"/>
        <v/>
      </c>
      <c r="AL47" s="18"/>
      <c r="AM47" s="18"/>
      <c r="AN47" s="18" t="str">
        <f t="shared" si="10"/>
        <v/>
      </c>
      <c r="AO47" s="18"/>
      <c r="AP47" s="18"/>
      <c r="AQ47" s="18" t="str">
        <f t="shared" si="11"/>
        <v/>
      </c>
      <c r="AR47" s="18">
        <v>16</v>
      </c>
      <c r="AS47" s="18"/>
      <c r="AT47" s="18">
        <f t="shared" si="12"/>
        <v>16</v>
      </c>
      <c r="AU47" s="18"/>
      <c r="AV47" s="18"/>
      <c r="AW47" s="18" t="str">
        <f t="shared" si="13"/>
        <v/>
      </c>
      <c r="AX47" s="18"/>
      <c r="AY47" s="18"/>
      <c r="AZ47" s="18" t="str">
        <f t="shared" si="14"/>
        <v/>
      </c>
      <c r="BA47" s="18">
        <v>229</v>
      </c>
      <c r="BB47" s="18"/>
      <c r="BC47" s="18">
        <f t="shared" si="15"/>
        <v>229</v>
      </c>
      <c r="BD47" s="18"/>
      <c r="BE47" s="18"/>
      <c r="BF47" s="18" t="str">
        <f t="shared" si="16"/>
        <v/>
      </c>
      <c r="BG47" s="18"/>
      <c r="BH47" s="18"/>
      <c r="BI47" s="18" t="str">
        <f t="shared" si="17"/>
        <v/>
      </c>
      <c r="BJ47" s="18"/>
      <c r="BK47" s="18"/>
      <c r="BL47" s="18" t="str">
        <f t="shared" si="18"/>
        <v/>
      </c>
      <c r="BM47" s="18"/>
      <c r="BN47" s="18"/>
      <c r="BO47" s="18" t="str">
        <f t="shared" si="19"/>
        <v/>
      </c>
      <c r="BP47" s="18"/>
      <c r="BQ47" s="18"/>
      <c r="BR47" s="18" t="str">
        <f t="shared" si="20"/>
        <v/>
      </c>
    </row>
    <row r="48" spans="1:70" ht="25.5" x14ac:dyDescent="0.25">
      <c r="A48" s="2" t="s">
        <v>799</v>
      </c>
      <c r="B48" s="2" t="str">
        <f>VLOOKUP($A48,[2]Projekty!$A$2:$AR$1147,4,0)</f>
        <v>OPKZP-PO1-SC111-2016-10</v>
      </c>
      <c r="C48" s="2" t="str">
        <f>VLOOKUP($A48,[2]Projekty!$A$2:$AR$1147,6,0)</f>
        <v>Obec Palárikovo</v>
      </c>
      <c r="D48" s="2" t="str">
        <f>VLOOKUP($A48,[2]Projekty!$A$2:$AR$1147,7,0)</f>
        <v>Intenzifikácia regionálneho triedeného zberu komunálnych odpadov, Palárikovo.</v>
      </c>
      <c r="E48" s="2" t="str">
        <f>VLOOKUP($A48,[2]Projekty!$A$2:$AR$1147,9,0)</f>
        <v>NR</v>
      </c>
      <c r="F48" s="2" t="str">
        <f>VLOOKUP($A48,[2]Projekty!$A$2:$AR$1147,14,0)</f>
        <v>Aktivity nezačaté</v>
      </c>
      <c r="G48" s="61">
        <f>VLOOKUP($A48,'[2]Dĺžka realizácie'!$A$2:$AR$1148,8,0)</f>
        <v>43190</v>
      </c>
      <c r="H48" s="18"/>
      <c r="I48" s="18"/>
      <c r="J48" s="18" t="str">
        <f t="shared" si="0"/>
        <v/>
      </c>
      <c r="K48" s="18"/>
      <c r="L48" s="18"/>
      <c r="M48" s="18" t="str">
        <f t="shared" si="1"/>
        <v/>
      </c>
      <c r="N48" s="18"/>
      <c r="O48" s="18"/>
      <c r="P48" s="18" t="str">
        <f t="shared" si="2"/>
        <v/>
      </c>
      <c r="Q48" s="18"/>
      <c r="R48" s="18"/>
      <c r="S48" s="18" t="str">
        <f t="shared" si="3"/>
        <v/>
      </c>
      <c r="T48" s="18">
        <v>1250</v>
      </c>
      <c r="U48" s="18"/>
      <c r="V48" s="18">
        <f t="shared" si="4"/>
        <v>1250</v>
      </c>
      <c r="W48" s="18"/>
      <c r="X48" s="18"/>
      <c r="Y48" s="18" t="str">
        <f t="shared" si="5"/>
        <v/>
      </c>
      <c r="Z48" s="18"/>
      <c r="AA48" s="18"/>
      <c r="AB48" s="18" t="str">
        <f t="shared" si="6"/>
        <v/>
      </c>
      <c r="AC48" s="18">
        <v>14150</v>
      </c>
      <c r="AD48" s="18"/>
      <c r="AE48" s="18">
        <f t="shared" si="7"/>
        <v>14150</v>
      </c>
      <c r="AF48" s="18"/>
      <c r="AG48" s="18"/>
      <c r="AH48" s="18" t="str">
        <f t="shared" si="8"/>
        <v/>
      </c>
      <c r="AI48" s="18"/>
      <c r="AJ48" s="18"/>
      <c r="AK48" s="18" t="str">
        <f t="shared" si="9"/>
        <v/>
      </c>
      <c r="AL48" s="18"/>
      <c r="AM48" s="18"/>
      <c r="AN48" s="18" t="str">
        <f t="shared" si="10"/>
        <v/>
      </c>
      <c r="AO48" s="18"/>
      <c r="AP48" s="18"/>
      <c r="AQ48" s="18" t="str">
        <f t="shared" si="11"/>
        <v/>
      </c>
      <c r="AR48" s="18">
        <v>4</v>
      </c>
      <c r="AS48" s="18"/>
      <c r="AT48" s="18">
        <f t="shared" si="12"/>
        <v>4</v>
      </c>
      <c r="AU48" s="18"/>
      <c r="AV48" s="18"/>
      <c r="AW48" s="18" t="str">
        <f t="shared" si="13"/>
        <v/>
      </c>
      <c r="AX48" s="18"/>
      <c r="AY48" s="18"/>
      <c r="AZ48" s="18" t="str">
        <f t="shared" si="14"/>
        <v/>
      </c>
      <c r="BA48" s="18">
        <v>1250</v>
      </c>
      <c r="BB48" s="18"/>
      <c r="BC48" s="18">
        <f t="shared" si="15"/>
        <v>1250</v>
      </c>
      <c r="BD48" s="18"/>
      <c r="BE48" s="18"/>
      <c r="BF48" s="18" t="str">
        <f t="shared" si="16"/>
        <v/>
      </c>
      <c r="BG48" s="18"/>
      <c r="BH48" s="18"/>
      <c r="BI48" s="18" t="str">
        <f t="shared" si="17"/>
        <v/>
      </c>
      <c r="BJ48" s="18"/>
      <c r="BK48" s="18"/>
      <c r="BL48" s="18" t="str">
        <f t="shared" si="18"/>
        <v/>
      </c>
      <c r="BM48" s="18"/>
      <c r="BN48" s="18"/>
      <c r="BO48" s="18" t="str">
        <f t="shared" si="19"/>
        <v/>
      </c>
      <c r="BP48" s="18"/>
      <c r="BQ48" s="18"/>
      <c r="BR48" s="18" t="str">
        <f t="shared" si="20"/>
        <v/>
      </c>
    </row>
    <row r="49" spans="1:70" x14ac:dyDescent="0.25">
      <c r="A49" s="2" t="s">
        <v>736</v>
      </c>
      <c r="B49" s="2" t="str">
        <f>VLOOKUP($A49,[2]Projekty!$A$2:$AR$1147,4,0)</f>
        <v>OPKZP-PO1-SC111-2016-10</v>
      </c>
      <c r="C49" s="2" t="str">
        <f>VLOOKUP($A49,[2]Projekty!$A$2:$AR$1147,6,0)</f>
        <v>Obec Moča</v>
      </c>
      <c r="D49" s="2" t="str">
        <f>VLOOKUP($A49,[2]Projekty!$A$2:$AR$1147,7,0)</f>
        <v>Zberný dvor Moča</v>
      </c>
      <c r="E49" s="2" t="str">
        <f>VLOOKUP($A49,[2]Projekty!$A$2:$AR$1147,9,0)</f>
        <v>NR</v>
      </c>
      <c r="F49" s="2" t="str">
        <f>VLOOKUP($A49,[2]Projekty!$A$2:$AR$1147,14,0)</f>
        <v>Realizácia</v>
      </c>
      <c r="G49" s="61">
        <f>VLOOKUP($A49,'[2]Dĺžka realizácie'!$A$2:$AR$1148,8,0)</f>
        <v>43159</v>
      </c>
      <c r="H49" s="18"/>
      <c r="I49" s="18"/>
      <c r="J49" s="18" t="str">
        <f t="shared" si="0"/>
        <v/>
      </c>
      <c r="K49" s="18"/>
      <c r="L49" s="18"/>
      <c r="M49" s="18" t="str">
        <f t="shared" si="1"/>
        <v/>
      </c>
      <c r="N49" s="18"/>
      <c r="O49" s="18"/>
      <c r="P49" s="18" t="str">
        <f t="shared" si="2"/>
        <v/>
      </c>
      <c r="Q49" s="18"/>
      <c r="R49" s="18"/>
      <c r="S49" s="18" t="str">
        <f t="shared" si="3"/>
        <v/>
      </c>
      <c r="T49" s="18">
        <v>774</v>
      </c>
      <c r="U49" s="18"/>
      <c r="V49" s="18">
        <f t="shared" si="4"/>
        <v>774</v>
      </c>
      <c r="W49" s="18"/>
      <c r="X49" s="18"/>
      <c r="Y49" s="18" t="str">
        <f t="shared" si="5"/>
        <v/>
      </c>
      <c r="Z49" s="18"/>
      <c r="AA49" s="18"/>
      <c r="AB49" s="18" t="str">
        <f t="shared" si="6"/>
        <v/>
      </c>
      <c r="AC49" s="18"/>
      <c r="AD49" s="18"/>
      <c r="AE49" s="18" t="str">
        <f t="shared" si="7"/>
        <v/>
      </c>
      <c r="AF49" s="18"/>
      <c r="AG49" s="18"/>
      <c r="AH49" s="18" t="str">
        <f t="shared" si="8"/>
        <v/>
      </c>
      <c r="AI49" s="18"/>
      <c r="AJ49" s="18"/>
      <c r="AK49" s="18" t="str">
        <f t="shared" si="9"/>
        <v/>
      </c>
      <c r="AL49" s="18"/>
      <c r="AM49" s="18"/>
      <c r="AN49" s="18" t="str">
        <f t="shared" si="10"/>
        <v/>
      </c>
      <c r="AO49" s="18"/>
      <c r="AP49" s="18"/>
      <c r="AQ49" s="18" t="str">
        <f t="shared" si="11"/>
        <v/>
      </c>
      <c r="AR49" s="18"/>
      <c r="AS49" s="18"/>
      <c r="AT49" s="18" t="str">
        <f t="shared" si="12"/>
        <v/>
      </c>
      <c r="AU49" s="18"/>
      <c r="AV49" s="18"/>
      <c r="AW49" s="18" t="str">
        <f t="shared" si="13"/>
        <v/>
      </c>
      <c r="AX49" s="18"/>
      <c r="AY49" s="18"/>
      <c r="AZ49" s="18" t="str">
        <f t="shared" si="14"/>
        <v/>
      </c>
      <c r="BA49" s="18">
        <v>774</v>
      </c>
      <c r="BB49" s="18"/>
      <c r="BC49" s="18">
        <f t="shared" si="15"/>
        <v>774</v>
      </c>
      <c r="BD49" s="18"/>
      <c r="BE49" s="18"/>
      <c r="BF49" s="18" t="str">
        <f t="shared" si="16"/>
        <v/>
      </c>
      <c r="BG49" s="18"/>
      <c r="BH49" s="18"/>
      <c r="BI49" s="18" t="str">
        <f t="shared" si="17"/>
        <v/>
      </c>
      <c r="BJ49" s="18"/>
      <c r="BK49" s="18"/>
      <c r="BL49" s="18" t="str">
        <f t="shared" si="18"/>
        <v/>
      </c>
      <c r="BM49" s="18"/>
      <c r="BN49" s="18"/>
      <c r="BO49" s="18" t="str">
        <f t="shared" si="19"/>
        <v/>
      </c>
      <c r="BP49" s="18"/>
      <c r="BQ49" s="18"/>
      <c r="BR49" s="18" t="str">
        <f t="shared" si="20"/>
        <v/>
      </c>
    </row>
    <row r="50" spans="1:70" ht="25.5" x14ac:dyDescent="0.25">
      <c r="A50" s="2" t="s">
        <v>737</v>
      </c>
      <c r="B50" s="2" t="str">
        <f>VLOOKUP($A50,[2]Projekty!$A$2:$AR$1147,4,0)</f>
        <v>OPKZP-PO1-SC111-2016-10</v>
      </c>
      <c r="C50" s="2" t="str">
        <f>VLOOKUP($A50,[2]Projekty!$A$2:$AR$1147,6,0)</f>
        <v>Mesto Brezová pod Bradlom</v>
      </c>
      <c r="D50" s="2" t="str">
        <f>VLOOKUP($A50,[2]Projekty!$A$2:$AR$1147,7,0)</f>
        <v>Rozšírenie triedeného zberu v Brezovej pod Bradlom</v>
      </c>
      <c r="E50" s="2" t="str">
        <f>VLOOKUP($A50,[2]Projekty!$A$2:$AR$1147,9,0)</f>
        <v>TN</v>
      </c>
      <c r="F50" s="2" t="str">
        <f>VLOOKUP($A50,[2]Projekty!$A$2:$AR$1147,14,0)</f>
        <v>Aktivity nezačaté</v>
      </c>
      <c r="G50" s="61">
        <f>VLOOKUP($A50,'[2]Dĺžka realizácie'!$A$2:$AR$1148,8,0)</f>
        <v>43190</v>
      </c>
      <c r="H50" s="18"/>
      <c r="I50" s="18"/>
      <c r="J50" s="18" t="str">
        <f t="shared" si="0"/>
        <v/>
      </c>
      <c r="K50" s="18"/>
      <c r="L50" s="18"/>
      <c r="M50" s="18" t="str">
        <f t="shared" si="1"/>
        <v/>
      </c>
      <c r="N50" s="18"/>
      <c r="O50" s="18"/>
      <c r="P50" s="18" t="str">
        <f t="shared" si="2"/>
        <v/>
      </c>
      <c r="Q50" s="18"/>
      <c r="R50" s="18"/>
      <c r="S50" s="18" t="str">
        <f t="shared" si="3"/>
        <v/>
      </c>
      <c r="T50" s="18">
        <v>295.83</v>
      </c>
      <c r="U50" s="18"/>
      <c r="V50" s="18">
        <f t="shared" si="4"/>
        <v>295.83</v>
      </c>
      <c r="W50" s="18"/>
      <c r="X50" s="18"/>
      <c r="Y50" s="18" t="str">
        <f t="shared" si="5"/>
        <v/>
      </c>
      <c r="Z50" s="18"/>
      <c r="AA50" s="18"/>
      <c r="AB50" s="18" t="str">
        <f t="shared" si="6"/>
        <v/>
      </c>
      <c r="AC50" s="18"/>
      <c r="AD50" s="18"/>
      <c r="AE50" s="18" t="str">
        <f t="shared" si="7"/>
        <v/>
      </c>
      <c r="AF50" s="18"/>
      <c r="AG50" s="18"/>
      <c r="AH50" s="18" t="str">
        <f t="shared" si="8"/>
        <v/>
      </c>
      <c r="AI50" s="18"/>
      <c r="AJ50" s="18"/>
      <c r="AK50" s="18" t="str">
        <f t="shared" si="9"/>
        <v/>
      </c>
      <c r="AL50" s="18"/>
      <c r="AM50" s="18"/>
      <c r="AN50" s="18" t="str">
        <f t="shared" si="10"/>
        <v/>
      </c>
      <c r="AO50" s="18"/>
      <c r="AP50" s="18"/>
      <c r="AQ50" s="18" t="str">
        <f t="shared" si="11"/>
        <v/>
      </c>
      <c r="AR50" s="18"/>
      <c r="AS50" s="18"/>
      <c r="AT50" s="18" t="str">
        <f t="shared" si="12"/>
        <v/>
      </c>
      <c r="AU50" s="18"/>
      <c r="AV50" s="18"/>
      <c r="AW50" s="18" t="str">
        <f t="shared" si="13"/>
        <v/>
      </c>
      <c r="AX50" s="18"/>
      <c r="AY50" s="18"/>
      <c r="AZ50" s="18" t="str">
        <f t="shared" si="14"/>
        <v/>
      </c>
      <c r="BA50" s="18">
        <v>295.83</v>
      </c>
      <c r="BB50" s="18"/>
      <c r="BC50" s="18">
        <f t="shared" si="15"/>
        <v>295.83</v>
      </c>
      <c r="BD50" s="18"/>
      <c r="BE50" s="18"/>
      <c r="BF50" s="18" t="str">
        <f t="shared" si="16"/>
        <v/>
      </c>
      <c r="BG50" s="18"/>
      <c r="BH50" s="18"/>
      <c r="BI50" s="18" t="str">
        <f t="shared" si="17"/>
        <v/>
      </c>
      <c r="BJ50" s="18"/>
      <c r="BK50" s="18"/>
      <c r="BL50" s="18" t="str">
        <f t="shared" si="18"/>
        <v/>
      </c>
      <c r="BM50" s="18"/>
      <c r="BN50" s="18"/>
      <c r="BO50" s="18" t="str">
        <f t="shared" si="19"/>
        <v/>
      </c>
      <c r="BP50" s="18"/>
      <c r="BQ50" s="18"/>
      <c r="BR50" s="18" t="str">
        <f t="shared" si="20"/>
        <v/>
      </c>
    </row>
    <row r="51" spans="1:70" ht="25.5" x14ac:dyDescent="0.25">
      <c r="A51" s="2" t="s">
        <v>779</v>
      </c>
      <c r="B51" s="2" t="str">
        <f>VLOOKUP($A51,[2]Projekty!$A$2:$AR$1147,4,0)</f>
        <v>OPKZP-PO1-SC111-2016-10</v>
      </c>
      <c r="C51" s="2" t="str">
        <f>VLOOKUP($A51,[2]Projekty!$A$2:$AR$1147,6,0)</f>
        <v>Obec Lehnice</v>
      </c>
      <c r="D51" s="2" t="str">
        <f>VLOOKUP($A51,[2]Projekty!$A$2:$AR$1147,7,0)</f>
        <v>Zvýšenie kvantitatívnej a kvalitatívnej úrovne separácie odpadov v obci Lehnice</v>
      </c>
      <c r="E51" s="2" t="str">
        <f>VLOOKUP($A51,[2]Projekty!$A$2:$AR$1147,9,0)</f>
        <v>TT</v>
      </c>
      <c r="F51" s="2" t="str">
        <f>VLOOKUP($A51,[2]Projekty!$A$2:$AR$1147,14,0)</f>
        <v>Realizácia</v>
      </c>
      <c r="G51" s="61">
        <f>VLOOKUP($A51,'[2]Dĺžka realizácie'!$A$2:$AR$1148,8,0)</f>
        <v>43251</v>
      </c>
      <c r="H51" s="18"/>
      <c r="I51" s="18"/>
      <c r="J51" s="18" t="str">
        <f t="shared" si="0"/>
        <v/>
      </c>
      <c r="K51" s="18"/>
      <c r="L51" s="18"/>
      <c r="M51" s="18" t="str">
        <f t="shared" si="1"/>
        <v/>
      </c>
      <c r="N51" s="18"/>
      <c r="O51" s="18"/>
      <c r="P51" s="18" t="str">
        <f t="shared" si="2"/>
        <v/>
      </c>
      <c r="Q51" s="18"/>
      <c r="R51" s="18"/>
      <c r="S51" s="18" t="str">
        <f t="shared" si="3"/>
        <v/>
      </c>
      <c r="T51" s="18">
        <v>117</v>
      </c>
      <c r="U51" s="18"/>
      <c r="V51" s="18">
        <f t="shared" si="4"/>
        <v>117</v>
      </c>
      <c r="W51" s="18"/>
      <c r="X51" s="18"/>
      <c r="Y51" s="18" t="str">
        <f t="shared" si="5"/>
        <v/>
      </c>
      <c r="Z51" s="18"/>
      <c r="AA51" s="18"/>
      <c r="AB51" s="18" t="str">
        <f t="shared" si="6"/>
        <v/>
      </c>
      <c r="AC51" s="18"/>
      <c r="AD51" s="18"/>
      <c r="AE51" s="18" t="str">
        <f t="shared" si="7"/>
        <v/>
      </c>
      <c r="AF51" s="18"/>
      <c r="AG51" s="18"/>
      <c r="AH51" s="18" t="str">
        <f t="shared" si="8"/>
        <v/>
      </c>
      <c r="AI51" s="18"/>
      <c r="AJ51" s="18"/>
      <c r="AK51" s="18" t="str">
        <f t="shared" si="9"/>
        <v/>
      </c>
      <c r="AL51" s="18"/>
      <c r="AM51" s="18"/>
      <c r="AN51" s="18" t="str">
        <f t="shared" si="10"/>
        <v/>
      </c>
      <c r="AO51" s="18"/>
      <c r="AP51" s="18"/>
      <c r="AQ51" s="18" t="str">
        <f t="shared" si="11"/>
        <v/>
      </c>
      <c r="AR51" s="18"/>
      <c r="AS51" s="18"/>
      <c r="AT51" s="18" t="str">
        <f t="shared" si="12"/>
        <v/>
      </c>
      <c r="AU51" s="18"/>
      <c r="AV51" s="18"/>
      <c r="AW51" s="18" t="str">
        <f t="shared" si="13"/>
        <v/>
      </c>
      <c r="AX51" s="18"/>
      <c r="AY51" s="18"/>
      <c r="AZ51" s="18" t="str">
        <f t="shared" si="14"/>
        <v/>
      </c>
      <c r="BA51" s="18">
        <v>117</v>
      </c>
      <c r="BB51" s="18"/>
      <c r="BC51" s="18">
        <f t="shared" si="15"/>
        <v>117</v>
      </c>
      <c r="BD51" s="18"/>
      <c r="BE51" s="18"/>
      <c r="BF51" s="18" t="str">
        <f t="shared" si="16"/>
        <v/>
      </c>
      <c r="BG51" s="18"/>
      <c r="BH51" s="18"/>
      <c r="BI51" s="18" t="str">
        <f t="shared" si="17"/>
        <v/>
      </c>
      <c r="BJ51" s="18"/>
      <c r="BK51" s="18"/>
      <c r="BL51" s="18" t="str">
        <f t="shared" si="18"/>
        <v/>
      </c>
      <c r="BM51" s="18"/>
      <c r="BN51" s="18"/>
      <c r="BO51" s="18" t="str">
        <f t="shared" si="19"/>
        <v/>
      </c>
      <c r="BP51" s="18"/>
      <c r="BQ51" s="18"/>
      <c r="BR51" s="18" t="str">
        <f t="shared" si="20"/>
        <v/>
      </c>
    </row>
    <row r="52" spans="1:70" x14ac:dyDescent="0.25">
      <c r="A52" s="2" t="s">
        <v>738</v>
      </c>
      <c r="B52" s="2" t="str">
        <f>VLOOKUP($A52,[2]Projekty!$A$2:$AR$1147,4,0)</f>
        <v>OPKZP-PO1-SC111-2016-10</v>
      </c>
      <c r="C52" s="2" t="str">
        <f>VLOOKUP($A52,[2]Projekty!$A$2:$AR$1147,6,0)</f>
        <v>Obec Brestovec</v>
      </c>
      <c r="D52" s="2" t="str">
        <f>VLOOKUP($A52,[2]Projekty!$A$2:$AR$1147,7,0)</f>
        <v>Eko dvor Brestovec</v>
      </c>
      <c r="E52" s="2" t="str">
        <f>VLOOKUP($A52,[2]Projekty!$A$2:$AR$1147,9,0)</f>
        <v>NR</v>
      </c>
      <c r="F52" s="2" t="str">
        <f>VLOOKUP($A52,[2]Projekty!$A$2:$AR$1147,14,0)</f>
        <v>Realizácia</v>
      </c>
      <c r="G52" s="61">
        <f>VLOOKUP($A52,'[2]Dĺžka realizácie'!$A$2:$AR$1148,8,0)</f>
        <v>43465</v>
      </c>
      <c r="H52" s="18"/>
      <c r="I52" s="18"/>
      <c r="J52" s="18" t="str">
        <f t="shared" si="0"/>
        <v/>
      </c>
      <c r="K52" s="18"/>
      <c r="L52" s="18"/>
      <c r="M52" s="18" t="str">
        <f t="shared" si="1"/>
        <v/>
      </c>
      <c r="N52" s="18"/>
      <c r="O52" s="18"/>
      <c r="P52" s="18" t="str">
        <f t="shared" si="2"/>
        <v/>
      </c>
      <c r="Q52" s="18"/>
      <c r="R52" s="18"/>
      <c r="S52" s="18" t="str">
        <f t="shared" si="3"/>
        <v/>
      </c>
      <c r="T52" s="18">
        <v>145</v>
      </c>
      <c r="U52" s="18"/>
      <c r="V52" s="18">
        <f t="shared" si="4"/>
        <v>145</v>
      </c>
      <c r="W52" s="18"/>
      <c r="X52" s="18"/>
      <c r="Y52" s="18" t="str">
        <f t="shared" si="5"/>
        <v/>
      </c>
      <c r="Z52" s="18"/>
      <c r="AA52" s="18"/>
      <c r="AB52" s="18" t="str">
        <f t="shared" si="6"/>
        <v/>
      </c>
      <c r="AC52" s="18">
        <v>95</v>
      </c>
      <c r="AD52" s="18"/>
      <c r="AE52" s="18">
        <f t="shared" si="7"/>
        <v>95</v>
      </c>
      <c r="AF52" s="18"/>
      <c r="AG52" s="18"/>
      <c r="AH52" s="18" t="str">
        <f t="shared" si="8"/>
        <v/>
      </c>
      <c r="AI52" s="18"/>
      <c r="AJ52" s="18"/>
      <c r="AK52" s="18" t="str">
        <f t="shared" si="9"/>
        <v/>
      </c>
      <c r="AL52" s="18"/>
      <c r="AM52" s="18"/>
      <c r="AN52" s="18" t="str">
        <f t="shared" si="10"/>
        <v/>
      </c>
      <c r="AO52" s="18"/>
      <c r="AP52" s="18"/>
      <c r="AQ52" s="18" t="str">
        <f t="shared" si="11"/>
        <v/>
      </c>
      <c r="AR52" s="18">
        <v>6</v>
      </c>
      <c r="AS52" s="18"/>
      <c r="AT52" s="18">
        <f t="shared" si="12"/>
        <v>6</v>
      </c>
      <c r="AU52" s="18"/>
      <c r="AV52" s="18"/>
      <c r="AW52" s="18" t="str">
        <f t="shared" si="13"/>
        <v/>
      </c>
      <c r="AX52" s="18"/>
      <c r="AY52" s="18"/>
      <c r="AZ52" s="18" t="str">
        <f t="shared" si="14"/>
        <v/>
      </c>
      <c r="BA52" s="18">
        <v>145</v>
      </c>
      <c r="BB52" s="18"/>
      <c r="BC52" s="18">
        <f t="shared" si="15"/>
        <v>145</v>
      </c>
      <c r="BD52" s="18"/>
      <c r="BE52" s="18"/>
      <c r="BF52" s="18" t="str">
        <f t="shared" si="16"/>
        <v/>
      </c>
      <c r="BG52" s="18"/>
      <c r="BH52" s="18"/>
      <c r="BI52" s="18" t="str">
        <f t="shared" si="17"/>
        <v/>
      </c>
      <c r="BJ52" s="18"/>
      <c r="BK52" s="18"/>
      <c r="BL52" s="18" t="str">
        <f t="shared" si="18"/>
        <v/>
      </c>
      <c r="BM52" s="18"/>
      <c r="BN52" s="18"/>
      <c r="BO52" s="18" t="str">
        <f t="shared" si="19"/>
        <v/>
      </c>
      <c r="BP52" s="18"/>
      <c r="BQ52" s="18"/>
      <c r="BR52" s="18" t="str">
        <f t="shared" si="20"/>
        <v/>
      </c>
    </row>
    <row r="53" spans="1:70" ht="25.5" x14ac:dyDescent="0.25">
      <c r="A53" s="2" t="s">
        <v>780</v>
      </c>
      <c r="B53" s="2" t="str">
        <f>VLOOKUP($A53,[2]Projekty!$A$2:$AR$1147,4,0)</f>
        <v>OPKZP-PO1-SC111-2016-10</v>
      </c>
      <c r="C53" s="2" t="str">
        <f>VLOOKUP($A53,[2]Projekty!$A$2:$AR$1147,6,0)</f>
        <v>Obec Trhovište</v>
      </c>
      <c r="D53" s="2" t="str">
        <f>VLOOKUP($A53,[2]Projekty!$A$2:$AR$1147,7,0)</f>
        <v>Strojové vybavenie zberného dvora v obci Trhovište</v>
      </c>
      <c r="E53" s="2" t="str">
        <f>VLOOKUP($A53,[2]Projekty!$A$2:$AR$1147,9,0)</f>
        <v>KE</v>
      </c>
      <c r="F53" s="2" t="str">
        <f>VLOOKUP($A53,[2]Projekty!$A$2:$AR$1147,14,0)</f>
        <v>Aktivity nezačaté</v>
      </c>
      <c r="G53" s="61">
        <f>VLOOKUP($A53,'[2]Dĺžka realizácie'!$A$2:$AR$1148,8,0)</f>
        <v>43343</v>
      </c>
      <c r="H53" s="18"/>
      <c r="I53" s="18"/>
      <c r="J53" s="18" t="str">
        <f t="shared" si="0"/>
        <v/>
      </c>
      <c r="K53" s="18"/>
      <c r="L53" s="18"/>
      <c r="M53" s="18" t="str">
        <f t="shared" si="1"/>
        <v/>
      </c>
      <c r="N53" s="18"/>
      <c r="O53" s="18"/>
      <c r="P53" s="18" t="str">
        <f t="shared" si="2"/>
        <v/>
      </c>
      <c r="Q53" s="18"/>
      <c r="R53" s="18"/>
      <c r="S53" s="18" t="str">
        <f t="shared" si="3"/>
        <v/>
      </c>
      <c r="T53" s="18">
        <v>120.49</v>
      </c>
      <c r="U53" s="18"/>
      <c r="V53" s="18">
        <f t="shared" si="4"/>
        <v>120.49</v>
      </c>
      <c r="W53" s="18"/>
      <c r="X53" s="18"/>
      <c r="Y53" s="18" t="str">
        <f t="shared" si="5"/>
        <v/>
      </c>
      <c r="Z53" s="18"/>
      <c r="AA53" s="18"/>
      <c r="AB53" s="18" t="str">
        <f t="shared" si="6"/>
        <v/>
      </c>
      <c r="AC53" s="18"/>
      <c r="AD53" s="18"/>
      <c r="AE53" s="18" t="str">
        <f t="shared" si="7"/>
        <v/>
      </c>
      <c r="AF53" s="18"/>
      <c r="AG53" s="18"/>
      <c r="AH53" s="18" t="str">
        <f t="shared" si="8"/>
        <v/>
      </c>
      <c r="AI53" s="18"/>
      <c r="AJ53" s="18"/>
      <c r="AK53" s="18" t="str">
        <f t="shared" si="9"/>
        <v/>
      </c>
      <c r="AL53" s="18"/>
      <c r="AM53" s="18"/>
      <c r="AN53" s="18" t="str">
        <f t="shared" si="10"/>
        <v/>
      </c>
      <c r="AO53" s="18"/>
      <c r="AP53" s="18"/>
      <c r="AQ53" s="18" t="str">
        <f t="shared" si="11"/>
        <v/>
      </c>
      <c r="AR53" s="18"/>
      <c r="AS53" s="18"/>
      <c r="AT53" s="18" t="str">
        <f t="shared" si="12"/>
        <v/>
      </c>
      <c r="AU53" s="18"/>
      <c r="AV53" s="18"/>
      <c r="AW53" s="18" t="str">
        <f t="shared" si="13"/>
        <v/>
      </c>
      <c r="AX53" s="18"/>
      <c r="AY53" s="18"/>
      <c r="AZ53" s="18" t="str">
        <f t="shared" si="14"/>
        <v/>
      </c>
      <c r="BA53" s="18">
        <v>120.49</v>
      </c>
      <c r="BB53" s="18"/>
      <c r="BC53" s="18">
        <f t="shared" si="15"/>
        <v>120.49</v>
      </c>
      <c r="BD53" s="18"/>
      <c r="BE53" s="18"/>
      <c r="BF53" s="18" t="str">
        <f t="shared" si="16"/>
        <v/>
      </c>
      <c r="BG53" s="18"/>
      <c r="BH53" s="18"/>
      <c r="BI53" s="18" t="str">
        <f t="shared" si="17"/>
        <v/>
      </c>
      <c r="BJ53" s="18"/>
      <c r="BK53" s="18"/>
      <c r="BL53" s="18" t="str">
        <f t="shared" si="18"/>
        <v/>
      </c>
      <c r="BM53" s="18"/>
      <c r="BN53" s="18"/>
      <c r="BO53" s="18" t="str">
        <f t="shared" si="19"/>
        <v/>
      </c>
      <c r="BP53" s="18"/>
      <c r="BQ53" s="18"/>
      <c r="BR53" s="18" t="str">
        <f t="shared" si="20"/>
        <v/>
      </c>
    </row>
    <row r="54" spans="1:70" x14ac:dyDescent="0.25">
      <c r="A54" s="2" t="s">
        <v>739</v>
      </c>
      <c r="B54" s="2" t="str">
        <f>VLOOKUP($A54,[2]Projekty!$A$2:$AR$1147,4,0)</f>
        <v>OPKZP-PO1-SC111-2016-10</v>
      </c>
      <c r="C54" s="2" t="str">
        <f>VLOOKUP($A54,[2]Projekty!$A$2:$AR$1147,6,0)</f>
        <v>Obec Horná Poruba</v>
      </c>
      <c r="D54" s="2" t="str">
        <f>VLOOKUP($A54,[2]Projekty!$A$2:$AR$1147,7,0)</f>
        <v>Zberný dvor v obci Horná Poruba</v>
      </c>
      <c r="E54" s="2" t="str">
        <f>VLOOKUP($A54,[2]Projekty!$A$2:$AR$1147,9,0)</f>
        <v>TN</v>
      </c>
      <c r="F54" s="2" t="str">
        <f>VLOOKUP($A54,[2]Projekty!$A$2:$AR$1147,14,0)</f>
        <v>Realizácia</v>
      </c>
      <c r="G54" s="61">
        <f>VLOOKUP($A54,'[2]Dĺžka realizácie'!$A$2:$AR$1148,8,0)</f>
        <v>43220</v>
      </c>
      <c r="H54" s="18"/>
      <c r="I54" s="18"/>
      <c r="J54" s="18" t="str">
        <f t="shared" si="0"/>
        <v/>
      </c>
      <c r="K54" s="18"/>
      <c r="L54" s="18"/>
      <c r="M54" s="18" t="str">
        <f t="shared" si="1"/>
        <v/>
      </c>
      <c r="N54" s="18"/>
      <c r="O54" s="18"/>
      <c r="P54" s="18" t="str">
        <f t="shared" si="2"/>
        <v/>
      </c>
      <c r="Q54" s="18"/>
      <c r="R54" s="18"/>
      <c r="S54" s="18" t="str">
        <f t="shared" si="3"/>
        <v/>
      </c>
      <c r="T54" s="18">
        <v>50.4</v>
      </c>
      <c r="U54" s="18"/>
      <c r="V54" s="18">
        <f t="shared" si="4"/>
        <v>50.4</v>
      </c>
      <c r="W54" s="18"/>
      <c r="X54" s="18"/>
      <c r="Y54" s="18" t="str">
        <f t="shared" si="5"/>
        <v/>
      </c>
      <c r="Z54" s="18"/>
      <c r="AA54" s="18"/>
      <c r="AB54" s="18" t="str">
        <f t="shared" si="6"/>
        <v/>
      </c>
      <c r="AC54" s="18"/>
      <c r="AD54" s="18"/>
      <c r="AE54" s="18" t="str">
        <f t="shared" si="7"/>
        <v/>
      </c>
      <c r="AF54" s="18"/>
      <c r="AG54" s="18"/>
      <c r="AH54" s="18" t="str">
        <f t="shared" si="8"/>
        <v/>
      </c>
      <c r="AI54" s="18"/>
      <c r="AJ54" s="18"/>
      <c r="AK54" s="18" t="str">
        <f t="shared" si="9"/>
        <v/>
      </c>
      <c r="AL54" s="18"/>
      <c r="AM54" s="18"/>
      <c r="AN54" s="18" t="str">
        <f t="shared" si="10"/>
        <v/>
      </c>
      <c r="AO54" s="18"/>
      <c r="AP54" s="18"/>
      <c r="AQ54" s="18" t="str">
        <f t="shared" si="11"/>
        <v/>
      </c>
      <c r="AR54" s="18"/>
      <c r="AS54" s="18"/>
      <c r="AT54" s="18" t="str">
        <f t="shared" si="12"/>
        <v/>
      </c>
      <c r="AU54" s="18"/>
      <c r="AV54" s="18"/>
      <c r="AW54" s="18" t="str">
        <f t="shared" si="13"/>
        <v/>
      </c>
      <c r="AX54" s="18"/>
      <c r="AY54" s="18"/>
      <c r="AZ54" s="18" t="str">
        <f t="shared" si="14"/>
        <v/>
      </c>
      <c r="BA54" s="18">
        <v>50.4</v>
      </c>
      <c r="BB54" s="18"/>
      <c r="BC54" s="18">
        <f t="shared" si="15"/>
        <v>50.4</v>
      </c>
      <c r="BD54" s="18"/>
      <c r="BE54" s="18"/>
      <c r="BF54" s="18" t="str">
        <f t="shared" si="16"/>
        <v/>
      </c>
      <c r="BG54" s="18"/>
      <c r="BH54" s="18"/>
      <c r="BI54" s="18" t="str">
        <f t="shared" si="17"/>
        <v/>
      </c>
      <c r="BJ54" s="18"/>
      <c r="BK54" s="18"/>
      <c r="BL54" s="18" t="str">
        <f t="shared" si="18"/>
        <v/>
      </c>
      <c r="BM54" s="18"/>
      <c r="BN54" s="18"/>
      <c r="BO54" s="18" t="str">
        <f t="shared" si="19"/>
        <v/>
      </c>
      <c r="BP54" s="18"/>
      <c r="BQ54" s="18"/>
      <c r="BR54" s="18" t="str">
        <f t="shared" si="20"/>
        <v/>
      </c>
    </row>
    <row r="55" spans="1:70" ht="38.25" x14ac:dyDescent="0.25">
      <c r="A55" s="2" t="s">
        <v>740</v>
      </c>
      <c r="B55" s="2" t="str">
        <f>VLOOKUP($A55,[2]Projekty!$A$2:$AR$1147,4,0)</f>
        <v>OPKZP-PO1-SC111-2016-11</v>
      </c>
      <c r="C55" s="2" t="str">
        <f>VLOOKUP($A55,[2]Projekty!$A$2:$AR$1147,6,0)</f>
        <v>Mestský podnik Dudince s.r.o.</v>
      </c>
      <c r="D55" s="2" t="str">
        <f>VLOOKUP($A55,[2]Projekty!$A$2:$AR$1147,7,0)</f>
        <v>Triedený zber komunálnych odpadov a zhodnocovanie biologicky rozložiteľného komunálneho odpadu</v>
      </c>
      <c r="E55" s="2" t="str">
        <f>VLOOKUP($A55,[2]Projekty!$A$2:$AR$1147,9,0)</f>
        <v>BB</v>
      </c>
      <c r="F55" s="2" t="str">
        <f>VLOOKUP($A55,[2]Projekty!$A$2:$AR$1147,14,0)</f>
        <v>Realizácia</v>
      </c>
      <c r="G55" s="61">
        <f>VLOOKUP($A55,'[2]Dĺžka realizácie'!$A$2:$AR$1148,8,0)</f>
        <v>43100</v>
      </c>
      <c r="H55" s="18"/>
      <c r="I55" s="18"/>
      <c r="J55" s="18" t="str">
        <f t="shared" si="0"/>
        <v/>
      </c>
      <c r="K55" s="18"/>
      <c r="L55" s="18"/>
      <c r="M55" s="18" t="str">
        <f t="shared" si="1"/>
        <v/>
      </c>
      <c r="N55" s="18"/>
      <c r="O55" s="18"/>
      <c r="P55" s="18" t="str">
        <f t="shared" si="2"/>
        <v/>
      </c>
      <c r="Q55" s="18"/>
      <c r="R55" s="18"/>
      <c r="S55" s="18" t="str">
        <f t="shared" si="3"/>
        <v/>
      </c>
      <c r="T55" s="18">
        <v>1130</v>
      </c>
      <c r="U55" s="18"/>
      <c r="V55" s="18">
        <f t="shared" si="4"/>
        <v>1130</v>
      </c>
      <c r="W55" s="18">
        <v>950</v>
      </c>
      <c r="X55" s="18"/>
      <c r="Y55" s="18">
        <f t="shared" si="5"/>
        <v>950</v>
      </c>
      <c r="Z55" s="18"/>
      <c r="AA55" s="18"/>
      <c r="AB55" s="18" t="str">
        <f t="shared" si="6"/>
        <v/>
      </c>
      <c r="AC55" s="18"/>
      <c r="AD55" s="18"/>
      <c r="AE55" s="18" t="str">
        <f t="shared" si="7"/>
        <v/>
      </c>
      <c r="AF55" s="18"/>
      <c r="AG55" s="18"/>
      <c r="AH55" s="18" t="str">
        <f t="shared" si="8"/>
        <v/>
      </c>
      <c r="AI55" s="18"/>
      <c r="AJ55" s="18"/>
      <c r="AK55" s="18" t="str">
        <f t="shared" si="9"/>
        <v/>
      </c>
      <c r="AL55" s="18"/>
      <c r="AM55" s="18"/>
      <c r="AN55" s="18" t="str">
        <f t="shared" si="10"/>
        <v/>
      </c>
      <c r="AO55" s="18"/>
      <c r="AP55" s="18"/>
      <c r="AQ55" s="18" t="str">
        <f t="shared" si="11"/>
        <v/>
      </c>
      <c r="AR55" s="18"/>
      <c r="AS55" s="18"/>
      <c r="AT55" s="18" t="str">
        <f t="shared" si="12"/>
        <v/>
      </c>
      <c r="AU55" s="18"/>
      <c r="AV55" s="18"/>
      <c r="AW55" s="18" t="str">
        <f t="shared" si="13"/>
        <v/>
      </c>
      <c r="AX55" s="18"/>
      <c r="AY55" s="18"/>
      <c r="AZ55" s="18" t="str">
        <f t="shared" si="14"/>
        <v/>
      </c>
      <c r="BA55" s="18">
        <v>1130</v>
      </c>
      <c r="BB55" s="18"/>
      <c r="BC55" s="18">
        <f t="shared" si="15"/>
        <v>1130</v>
      </c>
      <c r="BD55" s="18">
        <v>1200</v>
      </c>
      <c r="BE55" s="18"/>
      <c r="BF55" s="18">
        <f t="shared" si="16"/>
        <v>1200</v>
      </c>
      <c r="BG55" s="18"/>
      <c r="BH55" s="18"/>
      <c r="BI55" s="18" t="str">
        <f t="shared" si="17"/>
        <v/>
      </c>
      <c r="BJ55" s="18"/>
      <c r="BK55" s="18"/>
      <c r="BL55" s="18" t="str">
        <f t="shared" si="18"/>
        <v/>
      </c>
      <c r="BM55" s="18"/>
      <c r="BN55" s="18"/>
      <c r="BO55" s="18" t="str">
        <f t="shared" si="19"/>
        <v/>
      </c>
      <c r="BP55" s="18"/>
      <c r="BQ55" s="18"/>
      <c r="BR55" s="18" t="str">
        <f t="shared" si="20"/>
        <v/>
      </c>
    </row>
    <row r="56" spans="1:70" ht="25.5" x14ac:dyDescent="0.25">
      <c r="A56" s="2" t="s">
        <v>781</v>
      </c>
      <c r="B56" s="2" t="str">
        <f>VLOOKUP($A56,[2]Projekty!$A$2:$AR$1147,4,0)</f>
        <v>OPKZP-PO1-SC111-2016-10</v>
      </c>
      <c r="C56" s="2" t="str">
        <f>VLOOKUP($A56,[2]Projekty!$A$2:$AR$1147,6,0)</f>
        <v>Obec Fričovce</v>
      </c>
      <c r="D56" s="2" t="str">
        <f>VLOOKUP($A56,[2]Projekty!$A$2:$AR$1147,7,0)</f>
        <v>Zavedenie zberu biologicky rozložiteľného komunálneho odpadu v obci Fričovce</v>
      </c>
      <c r="E56" s="2" t="str">
        <f>VLOOKUP($A56,[2]Projekty!$A$2:$AR$1147,9,0)</f>
        <v>PO</v>
      </c>
      <c r="F56" s="2" t="str">
        <f>VLOOKUP($A56,[2]Projekty!$A$2:$AR$1147,14,0)</f>
        <v>Realizácia</v>
      </c>
      <c r="G56" s="61">
        <f>VLOOKUP($A56,'[2]Dĺžka realizácie'!$A$2:$AR$1148,8,0)</f>
        <v>42978</v>
      </c>
      <c r="H56" s="18"/>
      <c r="I56" s="18"/>
      <c r="J56" s="18" t="str">
        <f t="shared" si="0"/>
        <v/>
      </c>
      <c r="K56" s="18"/>
      <c r="L56" s="18"/>
      <c r="M56" s="18" t="str">
        <f t="shared" si="1"/>
        <v/>
      </c>
      <c r="N56" s="18"/>
      <c r="O56" s="18"/>
      <c r="P56" s="18" t="str">
        <f t="shared" si="2"/>
        <v/>
      </c>
      <c r="Q56" s="18"/>
      <c r="R56" s="18"/>
      <c r="S56" s="18" t="str">
        <f t="shared" si="3"/>
        <v/>
      </c>
      <c r="T56" s="18">
        <v>90</v>
      </c>
      <c r="U56" s="18"/>
      <c r="V56" s="18">
        <f t="shared" si="4"/>
        <v>90</v>
      </c>
      <c r="W56" s="18"/>
      <c r="X56" s="18"/>
      <c r="Y56" s="18" t="str">
        <f t="shared" si="5"/>
        <v/>
      </c>
      <c r="Z56" s="18"/>
      <c r="AA56" s="18"/>
      <c r="AB56" s="18" t="str">
        <f t="shared" si="6"/>
        <v/>
      </c>
      <c r="AC56" s="18"/>
      <c r="AD56" s="18"/>
      <c r="AE56" s="18" t="str">
        <f t="shared" si="7"/>
        <v/>
      </c>
      <c r="AF56" s="18"/>
      <c r="AG56" s="18"/>
      <c r="AH56" s="18" t="str">
        <f t="shared" si="8"/>
        <v/>
      </c>
      <c r="AI56" s="18"/>
      <c r="AJ56" s="18"/>
      <c r="AK56" s="18" t="str">
        <f t="shared" si="9"/>
        <v/>
      </c>
      <c r="AL56" s="18"/>
      <c r="AM56" s="18"/>
      <c r="AN56" s="18" t="str">
        <f t="shared" si="10"/>
        <v/>
      </c>
      <c r="AO56" s="18"/>
      <c r="AP56" s="18"/>
      <c r="AQ56" s="18" t="str">
        <f t="shared" si="11"/>
        <v/>
      </c>
      <c r="AR56" s="18"/>
      <c r="AS56" s="18"/>
      <c r="AT56" s="18" t="str">
        <f t="shared" si="12"/>
        <v/>
      </c>
      <c r="AU56" s="18"/>
      <c r="AV56" s="18"/>
      <c r="AW56" s="18" t="str">
        <f t="shared" si="13"/>
        <v/>
      </c>
      <c r="AX56" s="18"/>
      <c r="AY56" s="18"/>
      <c r="AZ56" s="18" t="str">
        <f t="shared" si="14"/>
        <v/>
      </c>
      <c r="BA56" s="18">
        <v>90</v>
      </c>
      <c r="BB56" s="18"/>
      <c r="BC56" s="18">
        <f t="shared" si="15"/>
        <v>90</v>
      </c>
      <c r="BD56" s="18"/>
      <c r="BE56" s="18"/>
      <c r="BF56" s="18" t="str">
        <f t="shared" si="16"/>
        <v/>
      </c>
      <c r="BG56" s="18"/>
      <c r="BH56" s="18"/>
      <c r="BI56" s="18" t="str">
        <f t="shared" si="17"/>
        <v/>
      </c>
      <c r="BJ56" s="18"/>
      <c r="BK56" s="18"/>
      <c r="BL56" s="18" t="str">
        <f t="shared" si="18"/>
        <v/>
      </c>
      <c r="BM56" s="18"/>
      <c r="BN56" s="18"/>
      <c r="BO56" s="18" t="str">
        <f t="shared" si="19"/>
        <v/>
      </c>
      <c r="BP56" s="18"/>
      <c r="BQ56" s="18"/>
      <c r="BR56" s="18" t="str">
        <f t="shared" si="20"/>
        <v/>
      </c>
    </row>
    <row r="57" spans="1:70" ht="25.5" x14ac:dyDescent="0.25">
      <c r="A57" s="15" t="s">
        <v>718</v>
      </c>
      <c r="B57" s="2" t="str">
        <f>VLOOKUP($A57,[2]Projekty!$A$2:$AR$1147,4,0)</f>
        <v>OPKZP-PO1-SC111-2016-11</v>
      </c>
      <c r="C57" s="2" t="str">
        <f>VLOOKUP($A57,[2]Projekty!$A$2:$AR$1147,6,0)</f>
        <v>Obec Diviacka Nová Ves</v>
      </c>
      <c r="D57" s="2" t="str">
        <f>VLOOKUP($A57,[2]Projekty!$A$2:$AR$1147,7,0)</f>
        <v>Zhodnotenie biologicky rozložiteľného komunálneho odpadu v obci Diviacka Nová Ves</v>
      </c>
      <c r="E57" s="2" t="str">
        <f>VLOOKUP($A57,[2]Projekty!$A$2:$AR$1147,9,0)</f>
        <v>TN</v>
      </c>
      <c r="F57" s="2" t="str">
        <f>VLOOKUP($A57,[2]Projekty!$A$2:$AR$1147,14,0)</f>
        <v>Realizácia</v>
      </c>
      <c r="G57" s="61">
        <f>VLOOKUP($A57,'[2]Dĺžka realizácie'!$A$2:$AR$1148,8,0)</f>
        <v>43100</v>
      </c>
      <c r="H57" s="18"/>
      <c r="I57" s="18"/>
      <c r="J57" s="18" t="str">
        <f t="shared" si="0"/>
        <v/>
      </c>
      <c r="K57" s="18"/>
      <c r="L57" s="18"/>
      <c r="M57" s="18" t="str">
        <f t="shared" si="1"/>
        <v/>
      </c>
      <c r="N57" s="18"/>
      <c r="O57" s="18"/>
      <c r="P57" s="18" t="str">
        <f t="shared" si="2"/>
        <v/>
      </c>
      <c r="Q57" s="18"/>
      <c r="R57" s="18"/>
      <c r="S57" s="18" t="str">
        <f t="shared" si="3"/>
        <v/>
      </c>
      <c r="T57" s="18"/>
      <c r="U57" s="18"/>
      <c r="V57" s="18" t="str">
        <f t="shared" si="4"/>
        <v/>
      </c>
      <c r="W57" s="18">
        <v>100</v>
      </c>
      <c r="X57" s="18"/>
      <c r="Y57" s="18">
        <f t="shared" si="5"/>
        <v>100</v>
      </c>
      <c r="Z57" s="18"/>
      <c r="AA57" s="18"/>
      <c r="AB57" s="18" t="str">
        <f t="shared" si="6"/>
        <v/>
      </c>
      <c r="AC57" s="18"/>
      <c r="AD57" s="18"/>
      <c r="AE57" s="18" t="str">
        <f t="shared" si="7"/>
        <v/>
      </c>
      <c r="AF57" s="18"/>
      <c r="AG57" s="18"/>
      <c r="AH57" s="18" t="str">
        <f t="shared" si="8"/>
        <v/>
      </c>
      <c r="AI57" s="18"/>
      <c r="AJ57" s="18"/>
      <c r="AK57" s="18" t="str">
        <f t="shared" si="9"/>
        <v/>
      </c>
      <c r="AL57" s="18"/>
      <c r="AM57" s="18"/>
      <c r="AN57" s="18" t="str">
        <f t="shared" si="10"/>
        <v/>
      </c>
      <c r="AO57" s="18"/>
      <c r="AP57" s="18"/>
      <c r="AQ57" s="18" t="str">
        <f t="shared" si="11"/>
        <v/>
      </c>
      <c r="AR57" s="18"/>
      <c r="AS57" s="18"/>
      <c r="AT57" s="18" t="str">
        <f t="shared" si="12"/>
        <v/>
      </c>
      <c r="AU57" s="18"/>
      <c r="AV57" s="18"/>
      <c r="AW57" s="18" t="str">
        <f t="shared" si="13"/>
        <v/>
      </c>
      <c r="AX57" s="18"/>
      <c r="AY57" s="18"/>
      <c r="AZ57" s="18" t="str">
        <f t="shared" si="14"/>
        <v/>
      </c>
      <c r="BA57" s="18"/>
      <c r="BB57" s="18"/>
      <c r="BC57" s="18" t="str">
        <f t="shared" si="15"/>
        <v/>
      </c>
      <c r="BD57" s="18">
        <v>100</v>
      </c>
      <c r="BE57" s="18"/>
      <c r="BF57" s="18">
        <f t="shared" si="16"/>
        <v>100</v>
      </c>
      <c r="BG57" s="18"/>
      <c r="BH57" s="18"/>
      <c r="BI57" s="18" t="str">
        <f t="shared" si="17"/>
        <v/>
      </c>
      <c r="BJ57" s="18"/>
      <c r="BK57" s="18"/>
      <c r="BL57" s="18" t="str">
        <f t="shared" si="18"/>
        <v/>
      </c>
      <c r="BM57" s="18"/>
      <c r="BN57" s="18"/>
      <c r="BO57" s="18" t="str">
        <f t="shared" si="19"/>
        <v/>
      </c>
      <c r="BP57" s="18"/>
      <c r="BQ57" s="18"/>
      <c r="BR57" s="18" t="str">
        <f t="shared" si="20"/>
        <v/>
      </c>
    </row>
    <row r="58" spans="1:70" ht="25.5" x14ac:dyDescent="0.25">
      <c r="A58" s="2" t="s">
        <v>741</v>
      </c>
      <c r="B58" s="2" t="str">
        <f>VLOOKUP($A58,[2]Projekty!$A$2:$AR$1147,4,0)</f>
        <v>OPKZP-PO1-SC111-2016-10</v>
      </c>
      <c r="C58" s="2" t="str">
        <f>VLOOKUP($A58,[2]Projekty!$A$2:$AR$1147,6,0)</f>
        <v>Obec Krajné</v>
      </c>
      <c r="D58" s="2" t="str">
        <f>VLOOKUP($A58,[2]Projekty!$A$2:$AR$1147,7,0)</f>
        <v>Zefektívnenie systému triedeného zberu v obci Krajné</v>
      </c>
      <c r="E58" s="2" t="str">
        <f>VLOOKUP($A58,[2]Projekty!$A$2:$AR$1147,9,0)</f>
        <v>TN</v>
      </c>
      <c r="F58" s="2" t="str">
        <f>VLOOKUP($A58,[2]Projekty!$A$2:$AR$1147,14,0)</f>
        <v>Realizácia</v>
      </c>
      <c r="G58" s="61">
        <f>VLOOKUP($A58,'[2]Dĺžka realizácie'!$A$2:$AR$1148,8,0)</f>
        <v>43312</v>
      </c>
      <c r="H58" s="18"/>
      <c r="I58" s="18"/>
      <c r="J58" s="18" t="str">
        <f t="shared" si="0"/>
        <v/>
      </c>
      <c r="K58" s="18"/>
      <c r="L58" s="18"/>
      <c r="M58" s="18" t="str">
        <f t="shared" si="1"/>
        <v/>
      </c>
      <c r="N58" s="18"/>
      <c r="O58" s="18"/>
      <c r="P58" s="18" t="str">
        <f t="shared" si="2"/>
        <v/>
      </c>
      <c r="Q58" s="18"/>
      <c r="R58" s="18"/>
      <c r="S58" s="18" t="str">
        <f t="shared" si="3"/>
        <v/>
      </c>
      <c r="T58" s="18">
        <v>128</v>
      </c>
      <c r="U58" s="18"/>
      <c r="V58" s="18">
        <f t="shared" si="4"/>
        <v>128</v>
      </c>
      <c r="W58" s="18"/>
      <c r="X58" s="18"/>
      <c r="Y58" s="18" t="str">
        <f t="shared" si="5"/>
        <v/>
      </c>
      <c r="Z58" s="18"/>
      <c r="AA58" s="18"/>
      <c r="AB58" s="18" t="str">
        <f t="shared" si="6"/>
        <v/>
      </c>
      <c r="AC58" s="18"/>
      <c r="AD58" s="18"/>
      <c r="AE58" s="18" t="str">
        <f t="shared" si="7"/>
        <v/>
      </c>
      <c r="AF58" s="18"/>
      <c r="AG58" s="18"/>
      <c r="AH58" s="18" t="str">
        <f t="shared" si="8"/>
        <v/>
      </c>
      <c r="AI58" s="18"/>
      <c r="AJ58" s="18"/>
      <c r="AK58" s="18" t="str">
        <f t="shared" si="9"/>
        <v/>
      </c>
      <c r="AL58" s="18"/>
      <c r="AM58" s="18"/>
      <c r="AN58" s="18" t="str">
        <f t="shared" si="10"/>
        <v/>
      </c>
      <c r="AO58" s="18"/>
      <c r="AP58" s="18"/>
      <c r="AQ58" s="18" t="str">
        <f t="shared" si="11"/>
        <v/>
      </c>
      <c r="AR58" s="18"/>
      <c r="AS58" s="18"/>
      <c r="AT58" s="18" t="str">
        <f t="shared" si="12"/>
        <v/>
      </c>
      <c r="AU58" s="18"/>
      <c r="AV58" s="18"/>
      <c r="AW58" s="18" t="str">
        <f t="shared" si="13"/>
        <v/>
      </c>
      <c r="AX58" s="18"/>
      <c r="AY58" s="18"/>
      <c r="AZ58" s="18" t="str">
        <f t="shared" si="14"/>
        <v/>
      </c>
      <c r="BA58" s="18">
        <v>128</v>
      </c>
      <c r="BB58" s="18"/>
      <c r="BC58" s="18">
        <f t="shared" si="15"/>
        <v>128</v>
      </c>
      <c r="BD58" s="18"/>
      <c r="BE58" s="18"/>
      <c r="BF58" s="18" t="str">
        <f t="shared" si="16"/>
        <v/>
      </c>
      <c r="BG58" s="18"/>
      <c r="BH58" s="18"/>
      <c r="BI58" s="18" t="str">
        <f t="shared" si="17"/>
        <v/>
      </c>
      <c r="BJ58" s="18"/>
      <c r="BK58" s="18"/>
      <c r="BL58" s="18" t="str">
        <f t="shared" si="18"/>
        <v/>
      </c>
      <c r="BM58" s="18"/>
      <c r="BN58" s="18"/>
      <c r="BO58" s="18" t="str">
        <f t="shared" si="19"/>
        <v/>
      </c>
      <c r="BP58" s="18"/>
      <c r="BQ58" s="18"/>
      <c r="BR58" s="18" t="str">
        <f t="shared" si="20"/>
        <v/>
      </c>
    </row>
    <row r="59" spans="1:70" ht="25.5" x14ac:dyDescent="0.25">
      <c r="A59" s="2" t="s">
        <v>671</v>
      </c>
      <c r="B59" s="2" t="str">
        <f>VLOOKUP($A59,[2]Projekty!$A$2:$AR$1147,4,0)</f>
        <v>OPKZP-PO1-SC111-2016-11</v>
      </c>
      <c r="C59" s="2" t="str">
        <f>VLOOKUP($A59,[2]Projekty!$A$2:$AR$1147,6,0)</f>
        <v>Obec Ráztočno</v>
      </c>
      <c r="D59" s="2" t="str">
        <f>VLOOKUP($A59,[2]Projekty!$A$2:$AR$1147,7,0)</f>
        <v>Zhodnocovanie biologicky rozložiteľného komunálneho odpadu v obci Ráztočno</v>
      </c>
      <c r="E59" s="2" t="str">
        <f>VLOOKUP($A59,[2]Projekty!$A$2:$AR$1147,9,0)</f>
        <v>TN</v>
      </c>
      <c r="F59" s="2" t="str">
        <f>VLOOKUP($A59,[2]Projekty!$A$2:$AR$1147,14,0)</f>
        <v>Realizácia</v>
      </c>
      <c r="G59" s="61">
        <f>VLOOKUP($A59,'[2]Dĺžka realizácie'!$A$2:$AR$1148,8,0)</f>
        <v>43100</v>
      </c>
      <c r="H59" s="18"/>
      <c r="I59" s="18"/>
      <c r="J59" s="18" t="str">
        <f t="shared" si="0"/>
        <v/>
      </c>
      <c r="K59" s="18"/>
      <c r="L59" s="18"/>
      <c r="M59" s="18" t="str">
        <f t="shared" si="1"/>
        <v/>
      </c>
      <c r="N59" s="18"/>
      <c r="O59" s="18"/>
      <c r="P59" s="18" t="str">
        <f t="shared" si="2"/>
        <v/>
      </c>
      <c r="Q59" s="18"/>
      <c r="R59" s="18"/>
      <c r="S59" s="18" t="str">
        <f t="shared" si="3"/>
        <v/>
      </c>
      <c r="T59" s="18"/>
      <c r="U59" s="18"/>
      <c r="V59" s="18" t="str">
        <f t="shared" si="4"/>
        <v/>
      </c>
      <c r="W59" s="18">
        <v>100</v>
      </c>
      <c r="X59" s="18"/>
      <c r="Y59" s="18">
        <f t="shared" si="5"/>
        <v>100</v>
      </c>
      <c r="Z59" s="18"/>
      <c r="AA59" s="18"/>
      <c r="AB59" s="18" t="str">
        <f t="shared" si="6"/>
        <v/>
      </c>
      <c r="AC59" s="18"/>
      <c r="AD59" s="18"/>
      <c r="AE59" s="18" t="str">
        <f t="shared" si="7"/>
        <v/>
      </c>
      <c r="AF59" s="18"/>
      <c r="AG59" s="18"/>
      <c r="AH59" s="18" t="str">
        <f t="shared" si="8"/>
        <v/>
      </c>
      <c r="AI59" s="18"/>
      <c r="AJ59" s="18"/>
      <c r="AK59" s="18" t="str">
        <f t="shared" si="9"/>
        <v/>
      </c>
      <c r="AL59" s="18"/>
      <c r="AM59" s="18"/>
      <c r="AN59" s="18" t="str">
        <f t="shared" si="10"/>
        <v/>
      </c>
      <c r="AO59" s="18"/>
      <c r="AP59" s="18"/>
      <c r="AQ59" s="18" t="str">
        <f t="shared" si="11"/>
        <v/>
      </c>
      <c r="AR59" s="18"/>
      <c r="AS59" s="18"/>
      <c r="AT59" s="18" t="str">
        <f t="shared" si="12"/>
        <v/>
      </c>
      <c r="AU59" s="18"/>
      <c r="AV59" s="18"/>
      <c r="AW59" s="18" t="str">
        <f t="shared" si="13"/>
        <v/>
      </c>
      <c r="AX59" s="18"/>
      <c r="AY59" s="18"/>
      <c r="AZ59" s="18" t="str">
        <f t="shared" si="14"/>
        <v/>
      </c>
      <c r="BA59" s="18"/>
      <c r="BB59" s="18"/>
      <c r="BC59" s="18" t="str">
        <f t="shared" si="15"/>
        <v/>
      </c>
      <c r="BD59" s="18">
        <v>100</v>
      </c>
      <c r="BE59" s="18"/>
      <c r="BF59" s="18">
        <f t="shared" si="16"/>
        <v>100</v>
      </c>
      <c r="BG59" s="18"/>
      <c r="BH59" s="18"/>
      <c r="BI59" s="18" t="str">
        <f t="shared" si="17"/>
        <v/>
      </c>
      <c r="BJ59" s="18"/>
      <c r="BK59" s="18"/>
      <c r="BL59" s="18" t="str">
        <f t="shared" si="18"/>
        <v/>
      </c>
      <c r="BM59" s="18"/>
      <c r="BN59" s="18"/>
      <c r="BO59" s="18" t="str">
        <f t="shared" si="19"/>
        <v/>
      </c>
      <c r="BP59" s="18"/>
      <c r="BQ59" s="18"/>
      <c r="BR59" s="18" t="str">
        <f t="shared" si="20"/>
        <v/>
      </c>
    </row>
    <row r="60" spans="1:70" ht="25.5" x14ac:dyDescent="0.25">
      <c r="A60" s="2" t="s">
        <v>742</v>
      </c>
      <c r="B60" s="2" t="str">
        <f>VLOOKUP($A60,[2]Projekty!$A$2:$AR$1147,4,0)</f>
        <v>OPKZP-PO1-SC111-2016-10</v>
      </c>
      <c r="C60" s="2" t="str">
        <f>VLOOKUP($A60,[2]Projekty!$A$2:$AR$1147,6,0)</f>
        <v>Obec Hranovnica</v>
      </c>
      <c r="D60" s="2" t="str">
        <f>VLOOKUP($A60,[2]Projekty!$A$2:$AR$1147,7,0)</f>
        <v>Triedený zber komunálnych odpadov v obci Hranovnica</v>
      </c>
      <c r="E60" s="2" t="str">
        <f>VLOOKUP($A60,[2]Projekty!$A$2:$AR$1147,9,0)</f>
        <v>PO</v>
      </c>
      <c r="F60" s="2" t="str">
        <f>VLOOKUP($A60,[2]Projekty!$A$2:$AR$1147,14,0)</f>
        <v>Realizácia</v>
      </c>
      <c r="G60" s="61">
        <f>VLOOKUP($A60,'[2]Dĺžka realizácie'!$A$2:$AR$1148,8,0)</f>
        <v>43069</v>
      </c>
      <c r="H60" s="18"/>
      <c r="I60" s="18"/>
      <c r="J60" s="18" t="str">
        <f t="shared" si="0"/>
        <v/>
      </c>
      <c r="K60" s="18"/>
      <c r="L60" s="18"/>
      <c r="M60" s="18" t="str">
        <f t="shared" si="1"/>
        <v/>
      </c>
      <c r="N60" s="18"/>
      <c r="O60" s="18"/>
      <c r="P60" s="18" t="str">
        <f t="shared" si="2"/>
        <v/>
      </c>
      <c r="Q60" s="18"/>
      <c r="R60" s="18"/>
      <c r="S60" s="18" t="str">
        <f t="shared" si="3"/>
        <v/>
      </c>
      <c r="T60" s="18">
        <v>164.98</v>
      </c>
      <c r="U60" s="18"/>
      <c r="V60" s="18">
        <f t="shared" si="4"/>
        <v>164.98</v>
      </c>
      <c r="W60" s="18"/>
      <c r="X60" s="18"/>
      <c r="Y60" s="18" t="str">
        <f t="shared" si="5"/>
        <v/>
      </c>
      <c r="Z60" s="18"/>
      <c r="AA60" s="18"/>
      <c r="AB60" s="18" t="str">
        <f t="shared" si="6"/>
        <v/>
      </c>
      <c r="AC60" s="18">
        <v>3037</v>
      </c>
      <c r="AD60" s="18">
        <v>3037</v>
      </c>
      <c r="AE60" s="18">
        <f t="shared" si="7"/>
        <v>3037</v>
      </c>
      <c r="AF60" s="18"/>
      <c r="AG60" s="18"/>
      <c r="AH60" s="18" t="str">
        <f t="shared" si="8"/>
        <v/>
      </c>
      <c r="AI60" s="18"/>
      <c r="AJ60" s="18"/>
      <c r="AK60" s="18" t="str">
        <f t="shared" si="9"/>
        <v/>
      </c>
      <c r="AL60" s="18"/>
      <c r="AM60" s="18"/>
      <c r="AN60" s="18" t="str">
        <f t="shared" si="10"/>
        <v/>
      </c>
      <c r="AO60" s="18"/>
      <c r="AP60" s="18"/>
      <c r="AQ60" s="18" t="str">
        <f t="shared" si="11"/>
        <v/>
      </c>
      <c r="AR60" s="18">
        <v>5</v>
      </c>
      <c r="AS60" s="18">
        <v>5</v>
      </c>
      <c r="AT60" s="18">
        <f t="shared" si="12"/>
        <v>5</v>
      </c>
      <c r="AU60" s="18"/>
      <c r="AV60" s="18"/>
      <c r="AW60" s="18" t="str">
        <f t="shared" si="13"/>
        <v/>
      </c>
      <c r="AX60" s="18"/>
      <c r="AY60" s="18"/>
      <c r="AZ60" s="18" t="str">
        <f t="shared" si="14"/>
        <v/>
      </c>
      <c r="BA60" s="18">
        <v>164.98</v>
      </c>
      <c r="BB60" s="18"/>
      <c r="BC60" s="18">
        <f t="shared" si="15"/>
        <v>164.98</v>
      </c>
      <c r="BD60" s="18"/>
      <c r="BE60" s="18"/>
      <c r="BF60" s="18" t="str">
        <f t="shared" si="16"/>
        <v/>
      </c>
      <c r="BG60" s="18"/>
      <c r="BH60" s="18"/>
      <c r="BI60" s="18" t="str">
        <f t="shared" si="17"/>
        <v/>
      </c>
      <c r="BJ60" s="18"/>
      <c r="BK60" s="18"/>
      <c r="BL60" s="18" t="str">
        <f t="shared" si="18"/>
        <v/>
      </c>
      <c r="BM60" s="18"/>
      <c r="BN60" s="18"/>
      <c r="BO60" s="18" t="str">
        <f t="shared" si="19"/>
        <v/>
      </c>
      <c r="BP60" s="18"/>
      <c r="BQ60" s="18"/>
      <c r="BR60" s="18" t="str">
        <f t="shared" si="20"/>
        <v/>
      </c>
    </row>
    <row r="61" spans="1:70" x14ac:dyDescent="0.25">
      <c r="A61" s="2" t="s">
        <v>809</v>
      </c>
      <c r="B61" s="2" t="str">
        <f>VLOOKUP($A61,[2]Projekty!$A$2:$AR$1147,4,0)</f>
        <v>OPKZP-PO1-SC111-2016-10</v>
      </c>
      <c r="C61" s="2" t="str">
        <f>VLOOKUP($A61,[2]Projekty!$A$2:$AR$1147,6,0)</f>
        <v>Obec Hul</v>
      </c>
      <c r="D61" s="2" t="str">
        <f>VLOOKUP($A61,[2]Projekty!$A$2:$AR$1147,7,0)</f>
        <v>Separovaný zber komunálneho odpadu v obci Hul</v>
      </c>
      <c r="E61" s="2" t="str">
        <f>VLOOKUP($A61,[2]Projekty!$A$2:$AR$1147,9,0)</f>
        <v>NR</v>
      </c>
      <c r="F61" s="2" t="str">
        <f>VLOOKUP($A61,[2]Projekty!$A$2:$AR$1147,14,0)</f>
        <v>Realizácia</v>
      </c>
      <c r="G61" s="61">
        <f>VLOOKUP($A61,'[2]Dĺžka realizácie'!$A$2:$AR$1148,8,0)</f>
        <v>43190</v>
      </c>
      <c r="H61" s="18"/>
      <c r="I61" s="18"/>
      <c r="J61" s="18" t="str">
        <f t="shared" si="0"/>
        <v/>
      </c>
      <c r="K61" s="18"/>
      <c r="L61" s="18"/>
      <c r="M61" s="18" t="str">
        <f t="shared" si="1"/>
        <v/>
      </c>
      <c r="N61" s="18"/>
      <c r="O61" s="18"/>
      <c r="P61" s="18" t="str">
        <f t="shared" si="2"/>
        <v/>
      </c>
      <c r="Q61" s="18"/>
      <c r="R61" s="18"/>
      <c r="S61" s="18" t="str">
        <f t="shared" si="3"/>
        <v/>
      </c>
      <c r="T61" s="18">
        <v>195.7</v>
      </c>
      <c r="U61" s="18"/>
      <c r="V61" s="18">
        <f t="shared" si="4"/>
        <v>195.7</v>
      </c>
      <c r="W61" s="18"/>
      <c r="X61" s="18"/>
      <c r="Y61" s="18" t="str">
        <f t="shared" si="5"/>
        <v/>
      </c>
      <c r="Z61" s="18"/>
      <c r="AA61" s="18"/>
      <c r="AB61" s="18" t="str">
        <f t="shared" si="6"/>
        <v/>
      </c>
      <c r="AC61" s="18">
        <v>1000</v>
      </c>
      <c r="AD61" s="18"/>
      <c r="AE61" s="18">
        <f t="shared" si="7"/>
        <v>1000</v>
      </c>
      <c r="AF61" s="18"/>
      <c r="AG61" s="18"/>
      <c r="AH61" s="18" t="str">
        <f t="shared" si="8"/>
        <v/>
      </c>
      <c r="AI61" s="18"/>
      <c r="AJ61" s="18"/>
      <c r="AK61" s="18" t="str">
        <f t="shared" si="9"/>
        <v/>
      </c>
      <c r="AL61" s="18"/>
      <c r="AM61" s="18"/>
      <c r="AN61" s="18" t="str">
        <f t="shared" si="10"/>
        <v/>
      </c>
      <c r="AO61" s="18"/>
      <c r="AP61" s="18"/>
      <c r="AQ61" s="18" t="str">
        <f t="shared" si="11"/>
        <v/>
      </c>
      <c r="AR61" s="18">
        <v>4</v>
      </c>
      <c r="AS61" s="18"/>
      <c r="AT61" s="18">
        <f t="shared" si="12"/>
        <v>4</v>
      </c>
      <c r="AU61" s="18"/>
      <c r="AV61" s="18"/>
      <c r="AW61" s="18" t="str">
        <f t="shared" si="13"/>
        <v/>
      </c>
      <c r="AX61" s="18"/>
      <c r="AY61" s="18"/>
      <c r="AZ61" s="18" t="str">
        <f t="shared" si="14"/>
        <v/>
      </c>
      <c r="BA61" s="18">
        <v>195.7</v>
      </c>
      <c r="BB61" s="18"/>
      <c r="BC61" s="18">
        <f t="shared" si="15"/>
        <v>195.7</v>
      </c>
      <c r="BD61" s="18"/>
      <c r="BE61" s="18"/>
      <c r="BF61" s="18" t="str">
        <f t="shared" si="16"/>
        <v/>
      </c>
      <c r="BG61" s="18"/>
      <c r="BH61" s="18"/>
      <c r="BI61" s="18" t="str">
        <f t="shared" si="17"/>
        <v/>
      </c>
      <c r="BJ61" s="18"/>
      <c r="BK61" s="18"/>
      <c r="BL61" s="18" t="str">
        <f t="shared" si="18"/>
        <v/>
      </c>
      <c r="BM61" s="18"/>
      <c r="BN61" s="18"/>
      <c r="BO61" s="18" t="str">
        <f t="shared" si="19"/>
        <v/>
      </c>
      <c r="BP61" s="18"/>
      <c r="BQ61" s="18"/>
      <c r="BR61" s="18" t="str">
        <f t="shared" si="20"/>
        <v/>
      </c>
    </row>
    <row r="62" spans="1:70" ht="25.5" x14ac:dyDescent="0.25">
      <c r="A62" s="2" t="s">
        <v>743</v>
      </c>
      <c r="B62" s="2" t="str">
        <f>VLOOKUP($A62,[2]Projekty!$A$2:$AR$1147,4,0)</f>
        <v>OPKZP-PO1-SC111-2016-10</v>
      </c>
      <c r="C62" s="2" t="str">
        <f>VLOOKUP($A62,[2]Projekty!$A$2:$AR$1147,6,0)</f>
        <v>Obec Marcelová</v>
      </c>
      <c r="D62" s="2" t="str">
        <f>VLOOKUP($A62,[2]Projekty!$A$2:$AR$1147,7,0)</f>
        <v>Triedený zber komunálnych odpadov v obci Marcelová</v>
      </c>
      <c r="E62" s="2" t="str">
        <f>VLOOKUP($A62,[2]Projekty!$A$2:$AR$1147,9,0)</f>
        <v>NR</v>
      </c>
      <c r="F62" s="2" t="str">
        <f>VLOOKUP($A62,[2]Projekty!$A$2:$AR$1147,14,0)</f>
        <v>Aktivity nezačaté</v>
      </c>
      <c r="G62" s="61">
        <f>VLOOKUP($A62,'[2]Dĺžka realizácie'!$A$2:$AR$1148,8,0)</f>
        <v>43281</v>
      </c>
      <c r="H62" s="18"/>
      <c r="I62" s="18"/>
      <c r="J62" s="18" t="str">
        <f t="shared" si="0"/>
        <v/>
      </c>
      <c r="K62" s="18"/>
      <c r="L62" s="18"/>
      <c r="M62" s="18" t="str">
        <f t="shared" si="1"/>
        <v/>
      </c>
      <c r="N62" s="18"/>
      <c r="O62" s="18"/>
      <c r="P62" s="18" t="str">
        <f t="shared" si="2"/>
        <v/>
      </c>
      <c r="Q62" s="18"/>
      <c r="R62" s="18"/>
      <c r="S62" s="18" t="str">
        <f t="shared" si="3"/>
        <v/>
      </c>
      <c r="T62" s="18">
        <v>72.3</v>
      </c>
      <c r="U62" s="18"/>
      <c r="V62" s="18">
        <f t="shared" si="4"/>
        <v>72.3</v>
      </c>
      <c r="W62" s="18"/>
      <c r="X62" s="18"/>
      <c r="Y62" s="18" t="str">
        <f t="shared" si="5"/>
        <v/>
      </c>
      <c r="Z62" s="18"/>
      <c r="AA62" s="18"/>
      <c r="AB62" s="18" t="str">
        <f t="shared" si="6"/>
        <v/>
      </c>
      <c r="AC62" s="18"/>
      <c r="AD62" s="18"/>
      <c r="AE62" s="18" t="str">
        <f t="shared" si="7"/>
        <v/>
      </c>
      <c r="AF62" s="18"/>
      <c r="AG62" s="18"/>
      <c r="AH62" s="18" t="str">
        <f t="shared" si="8"/>
        <v/>
      </c>
      <c r="AI62" s="18"/>
      <c r="AJ62" s="18"/>
      <c r="AK62" s="18" t="str">
        <f t="shared" si="9"/>
        <v/>
      </c>
      <c r="AL62" s="18"/>
      <c r="AM62" s="18"/>
      <c r="AN62" s="18" t="str">
        <f t="shared" si="10"/>
        <v/>
      </c>
      <c r="AO62" s="18"/>
      <c r="AP62" s="18"/>
      <c r="AQ62" s="18" t="str">
        <f t="shared" si="11"/>
        <v/>
      </c>
      <c r="AR62" s="18"/>
      <c r="AS62" s="18"/>
      <c r="AT62" s="18" t="str">
        <f t="shared" si="12"/>
        <v/>
      </c>
      <c r="AU62" s="18"/>
      <c r="AV62" s="18"/>
      <c r="AW62" s="18" t="str">
        <f t="shared" si="13"/>
        <v/>
      </c>
      <c r="AX62" s="18"/>
      <c r="AY62" s="18"/>
      <c r="AZ62" s="18" t="str">
        <f t="shared" si="14"/>
        <v/>
      </c>
      <c r="BA62" s="18">
        <v>72.3</v>
      </c>
      <c r="BB62" s="18"/>
      <c r="BC62" s="18">
        <f t="shared" si="15"/>
        <v>72.3</v>
      </c>
      <c r="BD62" s="18"/>
      <c r="BE62" s="18"/>
      <c r="BF62" s="18" t="str">
        <f t="shared" si="16"/>
        <v/>
      </c>
      <c r="BG62" s="18"/>
      <c r="BH62" s="18"/>
      <c r="BI62" s="18" t="str">
        <f t="shared" si="17"/>
        <v/>
      </c>
      <c r="BJ62" s="18"/>
      <c r="BK62" s="18"/>
      <c r="BL62" s="18" t="str">
        <f t="shared" si="18"/>
        <v/>
      </c>
      <c r="BM62" s="18"/>
      <c r="BN62" s="18"/>
      <c r="BO62" s="18" t="str">
        <f t="shared" si="19"/>
        <v/>
      </c>
      <c r="BP62" s="18"/>
      <c r="BQ62" s="18"/>
      <c r="BR62" s="18" t="str">
        <f t="shared" si="20"/>
        <v/>
      </c>
    </row>
    <row r="63" spans="1:70" ht="25.5" x14ac:dyDescent="0.25">
      <c r="A63" s="2" t="s">
        <v>991</v>
      </c>
      <c r="B63" s="2" t="str">
        <f>VLOOKUP($A63,[2]Projekty!$A$2:$AR$1147,4,0)</f>
        <v>OPKZP-PO1-SC111-2016-10</v>
      </c>
      <c r="C63" s="2" t="str">
        <f>VLOOKUP($A63,[2]Projekty!$A$2:$AR$1147,6,0)</f>
        <v>Obec Dobrá Niva</v>
      </c>
      <c r="D63" s="2" t="str">
        <f>VLOOKUP($A63,[2]Projekty!$A$2:$AR$1147,7,0)</f>
        <v>Zberný dvor Dobrá Niva</v>
      </c>
      <c r="E63" s="2" t="str">
        <f>VLOOKUP($A63,[2]Projekty!$A$2:$AR$1147,9,0)</f>
        <v>BB</v>
      </c>
      <c r="F63" s="2" t="str">
        <f>VLOOKUP($A63,[2]Projekty!$A$2:$AR$1147,14,0)</f>
        <v>Aktivity nezačaté</v>
      </c>
      <c r="G63" s="61">
        <f>VLOOKUP($A63,'[2]Dĺžka realizácie'!$A$2:$AR$1148,8,0)</f>
        <v>43281</v>
      </c>
      <c r="H63" s="18"/>
      <c r="I63" s="18"/>
      <c r="J63" s="18" t="str">
        <f t="shared" si="0"/>
        <v/>
      </c>
      <c r="K63" s="18"/>
      <c r="L63" s="18"/>
      <c r="M63" s="18" t="str">
        <f t="shared" si="1"/>
        <v/>
      </c>
      <c r="N63" s="18"/>
      <c r="O63" s="18"/>
      <c r="P63" s="18" t="str">
        <f t="shared" si="2"/>
        <v/>
      </c>
      <c r="Q63" s="18"/>
      <c r="R63" s="18"/>
      <c r="S63" s="18" t="str">
        <f t="shared" si="3"/>
        <v/>
      </c>
      <c r="T63" s="18">
        <v>145.5</v>
      </c>
      <c r="U63" s="18"/>
      <c r="V63" s="18">
        <f t="shared" si="4"/>
        <v>145.5</v>
      </c>
      <c r="W63" s="18"/>
      <c r="X63" s="18"/>
      <c r="Y63" s="18" t="str">
        <f t="shared" si="5"/>
        <v/>
      </c>
      <c r="Z63" s="18"/>
      <c r="AA63" s="18"/>
      <c r="AB63" s="18" t="str">
        <f t="shared" si="6"/>
        <v/>
      </c>
      <c r="AC63" s="18"/>
      <c r="AD63" s="18"/>
      <c r="AE63" s="18" t="str">
        <f t="shared" si="7"/>
        <v/>
      </c>
      <c r="AF63" s="18"/>
      <c r="AG63" s="18"/>
      <c r="AH63" s="18" t="str">
        <f t="shared" si="8"/>
        <v/>
      </c>
      <c r="AI63" s="18"/>
      <c r="AJ63" s="18"/>
      <c r="AK63" s="18" t="str">
        <f t="shared" si="9"/>
        <v/>
      </c>
      <c r="AL63" s="18"/>
      <c r="AM63" s="18"/>
      <c r="AN63" s="18" t="str">
        <f t="shared" si="10"/>
        <v/>
      </c>
      <c r="AO63" s="18"/>
      <c r="AP63" s="18"/>
      <c r="AQ63" s="18" t="str">
        <f t="shared" si="11"/>
        <v/>
      </c>
      <c r="AR63" s="18"/>
      <c r="AS63" s="18"/>
      <c r="AT63" s="18" t="str">
        <f t="shared" si="12"/>
        <v/>
      </c>
      <c r="AU63" s="18"/>
      <c r="AV63" s="18"/>
      <c r="AW63" s="18" t="str">
        <f t="shared" si="13"/>
        <v/>
      </c>
      <c r="AX63" s="18"/>
      <c r="AY63" s="18"/>
      <c r="AZ63" s="18" t="str">
        <f t="shared" si="14"/>
        <v/>
      </c>
      <c r="BA63" s="18">
        <v>145.5</v>
      </c>
      <c r="BB63" s="18"/>
      <c r="BC63" s="18">
        <f t="shared" si="15"/>
        <v>145.5</v>
      </c>
      <c r="BD63" s="18"/>
      <c r="BE63" s="18"/>
      <c r="BF63" s="18" t="str">
        <f t="shared" si="16"/>
        <v/>
      </c>
      <c r="BG63" s="18"/>
      <c r="BH63" s="18"/>
      <c r="BI63" s="18" t="str">
        <f t="shared" si="17"/>
        <v/>
      </c>
      <c r="BJ63" s="18"/>
      <c r="BK63" s="18"/>
      <c r="BL63" s="18" t="str">
        <f t="shared" si="18"/>
        <v/>
      </c>
      <c r="BM63" s="18"/>
      <c r="BN63" s="18"/>
      <c r="BO63" s="18" t="str">
        <f t="shared" si="19"/>
        <v/>
      </c>
      <c r="BP63" s="18"/>
      <c r="BQ63" s="18"/>
      <c r="BR63" s="18" t="str">
        <f t="shared" si="20"/>
        <v/>
      </c>
    </row>
    <row r="64" spans="1:70" ht="25.5" x14ac:dyDescent="0.25">
      <c r="A64" s="2" t="s">
        <v>829</v>
      </c>
      <c r="B64" s="2" t="str">
        <f>VLOOKUP($A64,[2]Projekty!$A$2:$AR$1147,4,0)</f>
        <v>OPKZP-PO1-SC111-2016-10</v>
      </c>
      <c r="C64" s="2" t="str">
        <f>VLOOKUP($A64,[2]Projekty!$A$2:$AR$1147,6,0)</f>
        <v>Obec Boleráz</v>
      </c>
      <c r="D64" s="2" t="str">
        <f>VLOOKUP($A64,[2]Projekty!$A$2:$AR$1147,7,0)</f>
        <v>Zberný dvor triedeného komunálneho odpadu v obci Boleráz</v>
      </c>
      <c r="E64" s="2" t="str">
        <f>VLOOKUP($A64,[2]Projekty!$A$2:$AR$1147,9,0)</f>
        <v>TT</v>
      </c>
      <c r="F64" s="2" t="str">
        <f>VLOOKUP($A64,[2]Projekty!$A$2:$AR$1147,14,0)</f>
        <v>Realizácia</v>
      </c>
      <c r="G64" s="61">
        <f>VLOOKUP($A64,'[2]Dĺžka realizácie'!$A$2:$AR$1148,8,0)</f>
        <v>43465</v>
      </c>
      <c r="H64" s="18"/>
      <c r="I64" s="18"/>
      <c r="J64" s="18" t="str">
        <f t="shared" si="0"/>
        <v/>
      </c>
      <c r="K64" s="18"/>
      <c r="L64" s="18"/>
      <c r="M64" s="18" t="str">
        <f t="shared" si="1"/>
        <v/>
      </c>
      <c r="N64" s="18"/>
      <c r="O64" s="18"/>
      <c r="P64" s="18" t="str">
        <f t="shared" si="2"/>
        <v/>
      </c>
      <c r="Q64" s="18"/>
      <c r="R64" s="18"/>
      <c r="S64" s="18" t="str">
        <f t="shared" si="3"/>
        <v/>
      </c>
      <c r="T64" s="18">
        <v>133</v>
      </c>
      <c r="U64" s="18"/>
      <c r="V64" s="18">
        <f t="shared" si="4"/>
        <v>133</v>
      </c>
      <c r="W64" s="18"/>
      <c r="X64" s="18"/>
      <c r="Y64" s="18" t="str">
        <f t="shared" si="5"/>
        <v/>
      </c>
      <c r="Z64" s="18"/>
      <c r="AA64" s="18"/>
      <c r="AB64" s="18" t="str">
        <f t="shared" si="6"/>
        <v/>
      </c>
      <c r="AC64" s="18"/>
      <c r="AD64" s="18"/>
      <c r="AE64" s="18" t="str">
        <f t="shared" si="7"/>
        <v/>
      </c>
      <c r="AF64" s="18"/>
      <c r="AG64" s="18"/>
      <c r="AH64" s="18" t="str">
        <f t="shared" si="8"/>
        <v/>
      </c>
      <c r="AI64" s="18"/>
      <c r="AJ64" s="18"/>
      <c r="AK64" s="18" t="str">
        <f t="shared" si="9"/>
        <v/>
      </c>
      <c r="AL64" s="18"/>
      <c r="AM64" s="18"/>
      <c r="AN64" s="18" t="str">
        <f t="shared" si="10"/>
        <v/>
      </c>
      <c r="AO64" s="18"/>
      <c r="AP64" s="18"/>
      <c r="AQ64" s="18" t="str">
        <f t="shared" si="11"/>
        <v/>
      </c>
      <c r="AR64" s="18"/>
      <c r="AS64" s="18"/>
      <c r="AT64" s="18" t="str">
        <f t="shared" si="12"/>
        <v/>
      </c>
      <c r="AU64" s="18"/>
      <c r="AV64" s="18"/>
      <c r="AW64" s="18" t="str">
        <f t="shared" si="13"/>
        <v/>
      </c>
      <c r="AX64" s="18"/>
      <c r="AY64" s="18"/>
      <c r="AZ64" s="18" t="str">
        <f t="shared" si="14"/>
        <v/>
      </c>
      <c r="BA64" s="18">
        <v>133</v>
      </c>
      <c r="BB64" s="18"/>
      <c r="BC64" s="18">
        <f t="shared" si="15"/>
        <v>133</v>
      </c>
      <c r="BD64" s="18"/>
      <c r="BE64" s="18"/>
      <c r="BF64" s="18" t="str">
        <f t="shared" si="16"/>
        <v/>
      </c>
      <c r="BG64" s="18"/>
      <c r="BH64" s="18"/>
      <c r="BI64" s="18" t="str">
        <f t="shared" si="17"/>
        <v/>
      </c>
      <c r="BJ64" s="18"/>
      <c r="BK64" s="18"/>
      <c r="BL64" s="18" t="str">
        <f t="shared" si="18"/>
        <v/>
      </c>
      <c r="BM64" s="18"/>
      <c r="BN64" s="18"/>
      <c r="BO64" s="18" t="str">
        <f t="shared" si="19"/>
        <v/>
      </c>
      <c r="BP64" s="18"/>
      <c r="BQ64" s="18"/>
      <c r="BR64" s="18" t="str">
        <f t="shared" si="20"/>
        <v/>
      </c>
    </row>
    <row r="65" spans="1:70" ht="25.5" x14ac:dyDescent="0.25">
      <c r="A65" s="2" t="s">
        <v>782</v>
      </c>
      <c r="B65" s="2" t="str">
        <f>VLOOKUP($A65,[2]Projekty!$A$2:$AR$1147,4,0)</f>
        <v>OPKZP-PO1-SC111-2016-10</v>
      </c>
      <c r="C65" s="2" t="str">
        <f>VLOOKUP($A65,[2]Projekty!$A$2:$AR$1147,6,0)</f>
        <v>Mesto Liptovský Mikuláš</v>
      </c>
      <c r="D65" s="2" t="str">
        <f>VLOOKUP($A65,[2]Projekty!$A$2:$AR$1147,7,0)</f>
        <v>Zber BRO pre kompostáreň v Liptovskom Mikuláši</v>
      </c>
      <c r="E65" s="2" t="str">
        <f>VLOOKUP($A65,[2]Projekty!$A$2:$AR$1147,9,0)</f>
        <v>ZA</v>
      </c>
      <c r="F65" s="2" t="str">
        <f>VLOOKUP($A65,[2]Projekty!$A$2:$AR$1147,14,0)</f>
        <v>Aktivity nezačaté</v>
      </c>
      <c r="G65" s="61">
        <f>VLOOKUP($A65,'[2]Dĺžka realizácie'!$A$2:$AR$1148,8,0)</f>
        <v>43343</v>
      </c>
      <c r="H65" s="18"/>
      <c r="I65" s="18"/>
      <c r="J65" s="18" t="str">
        <f t="shared" si="0"/>
        <v/>
      </c>
      <c r="K65" s="18"/>
      <c r="L65" s="18"/>
      <c r="M65" s="18" t="str">
        <f t="shared" si="1"/>
        <v/>
      </c>
      <c r="N65" s="18"/>
      <c r="O65" s="18"/>
      <c r="P65" s="18" t="str">
        <f t="shared" si="2"/>
        <v/>
      </c>
      <c r="Q65" s="18"/>
      <c r="R65" s="18"/>
      <c r="S65" s="18" t="str">
        <f t="shared" si="3"/>
        <v/>
      </c>
      <c r="T65" s="18">
        <v>1500</v>
      </c>
      <c r="U65" s="18"/>
      <c r="V65" s="18">
        <f t="shared" si="4"/>
        <v>1500</v>
      </c>
      <c r="W65" s="18"/>
      <c r="X65" s="18"/>
      <c r="Y65" s="18" t="str">
        <f t="shared" si="5"/>
        <v/>
      </c>
      <c r="Z65" s="18"/>
      <c r="AA65" s="18"/>
      <c r="AB65" s="18" t="str">
        <f t="shared" si="6"/>
        <v/>
      </c>
      <c r="AC65" s="18"/>
      <c r="AD65" s="18"/>
      <c r="AE65" s="18" t="str">
        <f t="shared" si="7"/>
        <v/>
      </c>
      <c r="AF65" s="18"/>
      <c r="AG65" s="18"/>
      <c r="AH65" s="18" t="str">
        <f t="shared" si="8"/>
        <v/>
      </c>
      <c r="AI65" s="18"/>
      <c r="AJ65" s="18"/>
      <c r="AK65" s="18" t="str">
        <f t="shared" si="9"/>
        <v/>
      </c>
      <c r="AL65" s="18"/>
      <c r="AM65" s="18"/>
      <c r="AN65" s="18" t="str">
        <f t="shared" si="10"/>
        <v/>
      </c>
      <c r="AO65" s="18"/>
      <c r="AP65" s="18"/>
      <c r="AQ65" s="18" t="str">
        <f t="shared" si="11"/>
        <v/>
      </c>
      <c r="AR65" s="18"/>
      <c r="AS65" s="18"/>
      <c r="AT65" s="18" t="str">
        <f t="shared" si="12"/>
        <v/>
      </c>
      <c r="AU65" s="18"/>
      <c r="AV65" s="18"/>
      <c r="AW65" s="18" t="str">
        <f t="shared" si="13"/>
        <v/>
      </c>
      <c r="AX65" s="18"/>
      <c r="AY65" s="18"/>
      <c r="AZ65" s="18" t="str">
        <f t="shared" si="14"/>
        <v/>
      </c>
      <c r="BA65" s="18">
        <v>1500</v>
      </c>
      <c r="BB65" s="18"/>
      <c r="BC65" s="18">
        <f t="shared" si="15"/>
        <v>1500</v>
      </c>
      <c r="BD65" s="18"/>
      <c r="BE65" s="18"/>
      <c r="BF65" s="18" t="str">
        <f t="shared" si="16"/>
        <v/>
      </c>
      <c r="BG65" s="18"/>
      <c r="BH65" s="18"/>
      <c r="BI65" s="18" t="str">
        <f t="shared" si="17"/>
        <v/>
      </c>
      <c r="BJ65" s="18"/>
      <c r="BK65" s="18"/>
      <c r="BL65" s="18" t="str">
        <f t="shared" si="18"/>
        <v/>
      </c>
      <c r="BM65" s="18"/>
      <c r="BN65" s="18"/>
      <c r="BO65" s="18" t="str">
        <f t="shared" si="19"/>
        <v/>
      </c>
      <c r="BP65" s="18"/>
      <c r="BQ65" s="18"/>
      <c r="BR65" s="18" t="str">
        <f t="shared" si="20"/>
        <v/>
      </c>
    </row>
    <row r="66" spans="1:70" ht="25.5" x14ac:dyDescent="0.25">
      <c r="A66" s="2" t="s">
        <v>783</v>
      </c>
      <c r="B66" s="2" t="str">
        <f>VLOOKUP($A66,[2]Projekty!$A$2:$AR$1147,4,0)</f>
        <v>OPKZP-PO1-SC111-2016-10</v>
      </c>
      <c r="C66" s="2" t="str">
        <f>VLOOKUP($A66,[2]Projekty!$A$2:$AR$1147,6,0)</f>
        <v>Mesto Nováky</v>
      </c>
      <c r="D66" s="2" t="str">
        <f>VLOOKUP($A66,[2]Projekty!$A$2:$AR$1147,7,0)</f>
        <v>Triedený zber a zhodnotenie BRO v meste Nováky</v>
      </c>
      <c r="E66" s="2" t="str">
        <f>VLOOKUP($A66,[2]Projekty!$A$2:$AR$1147,9,0)</f>
        <v>TN</v>
      </c>
      <c r="F66" s="2" t="str">
        <f>VLOOKUP($A66,[2]Projekty!$A$2:$AR$1147,14,0)</f>
        <v>Aktivity nezačaté</v>
      </c>
      <c r="G66" s="61">
        <f>VLOOKUP($A66,'[2]Dĺžka realizácie'!$A$2:$AR$1148,8,0)</f>
        <v>43465</v>
      </c>
      <c r="H66" s="18"/>
      <c r="I66" s="18"/>
      <c r="J66" s="18" t="str">
        <f t="shared" si="0"/>
        <v/>
      </c>
      <c r="K66" s="18"/>
      <c r="L66" s="18"/>
      <c r="M66" s="18" t="str">
        <f t="shared" si="1"/>
        <v/>
      </c>
      <c r="N66" s="18"/>
      <c r="O66" s="18"/>
      <c r="P66" s="18" t="str">
        <f t="shared" si="2"/>
        <v/>
      </c>
      <c r="Q66" s="18"/>
      <c r="R66" s="18"/>
      <c r="S66" s="18" t="str">
        <f t="shared" si="3"/>
        <v/>
      </c>
      <c r="T66" s="18">
        <v>850</v>
      </c>
      <c r="U66" s="18"/>
      <c r="V66" s="18">
        <f t="shared" si="4"/>
        <v>850</v>
      </c>
      <c r="W66" s="18"/>
      <c r="X66" s="18"/>
      <c r="Y66" s="18" t="str">
        <f t="shared" si="5"/>
        <v/>
      </c>
      <c r="Z66" s="18"/>
      <c r="AA66" s="18"/>
      <c r="AB66" s="18" t="str">
        <f t="shared" si="6"/>
        <v/>
      </c>
      <c r="AC66" s="18"/>
      <c r="AD66" s="18"/>
      <c r="AE66" s="18" t="str">
        <f t="shared" si="7"/>
        <v/>
      </c>
      <c r="AF66" s="18"/>
      <c r="AG66" s="18"/>
      <c r="AH66" s="18" t="str">
        <f t="shared" si="8"/>
        <v/>
      </c>
      <c r="AI66" s="18"/>
      <c r="AJ66" s="18"/>
      <c r="AK66" s="18" t="str">
        <f t="shared" si="9"/>
        <v/>
      </c>
      <c r="AL66" s="18"/>
      <c r="AM66" s="18"/>
      <c r="AN66" s="18" t="str">
        <f t="shared" si="10"/>
        <v/>
      </c>
      <c r="AO66" s="18"/>
      <c r="AP66" s="18"/>
      <c r="AQ66" s="18" t="str">
        <f t="shared" si="11"/>
        <v/>
      </c>
      <c r="AR66" s="18"/>
      <c r="AS66" s="18"/>
      <c r="AT66" s="18" t="str">
        <f t="shared" si="12"/>
        <v/>
      </c>
      <c r="AU66" s="18"/>
      <c r="AV66" s="18"/>
      <c r="AW66" s="18" t="str">
        <f t="shared" si="13"/>
        <v/>
      </c>
      <c r="AX66" s="18"/>
      <c r="AY66" s="18"/>
      <c r="AZ66" s="18" t="str">
        <f t="shared" si="14"/>
        <v/>
      </c>
      <c r="BA66" s="18">
        <v>850</v>
      </c>
      <c r="BB66" s="18"/>
      <c r="BC66" s="18">
        <f t="shared" si="15"/>
        <v>850</v>
      </c>
      <c r="BD66" s="18"/>
      <c r="BE66" s="18"/>
      <c r="BF66" s="18" t="str">
        <f t="shared" si="16"/>
        <v/>
      </c>
      <c r="BG66" s="18"/>
      <c r="BH66" s="18"/>
      <c r="BI66" s="18" t="str">
        <f t="shared" si="17"/>
        <v/>
      </c>
      <c r="BJ66" s="18"/>
      <c r="BK66" s="18"/>
      <c r="BL66" s="18" t="str">
        <f t="shared" si="18"/>
        <v/>
      </c>
      <c r="BM66" s="18"/>
      <c r="BN66" s="18"/>
      <c r="BO66" s="18" t="str">
        <f t="shared" si="19"/>
        <v/>
      </c>
      <c r="BP66" s="18"/>
      <c r="BQ66" s="18"/>
      <c r="BR66" s="18" t="str">
        <f t="shared" si="20"/>
        <v/>
      </c>
    </row>
    <row r="67" spans="1:70" ht="25.5" x14ac:dyDescent="0.25">
      <c r="A67" s="2" t="s">
        <v>810</v>
      </c>
      <c r="B67" s="2" t="str">
        <f>VLOOKUP($A67,[2]Projekty!$A$2:$AR$1147,4,0)</f>
        <v>OPKZP-PO1-SC111-2016-10</v>
      </c>
      <c r="C67" s="2" t="str">
        <f>VLOOKUP($A67,[2]Projekty!$A$2:$AR$1147,6,0)</f>
        <v>Obec Bystričany</v>
      </c>
      <c r="D67" s="2" t="str">
        <f>VLOOKUP($A67,[2]Projekty!$A$2:$AR$1147,7,0)</f>
        <v>Zhodnocovanie biologicky rozložiteľného komunálneho odpadu v obci Bystričany</v>
      </c>
      <c r="E67" s="2" t="str">
        <f>VLOOKUP($A67,[2]Projekty!$A$2:$AR$1147,9,0)</f>
        <v>TN</v>
      </c>
      <c r="F67" s="2" t="str">
        <f>VLOOKUP($A67,[2]Projekty!$A$2:$AR$1147,14,0)</f>
        <v>Realizácia</v>
      </c>
      <c r="G67" s="61">
        <f>VLOOKUP($A67,'[2]Dĺžka realizácie'!$A$2:$AR$1148,8,0)</f>
        <v>43100</v>
      </c>
      <c r="H67" s="18"/>
      <c r="I67" s="18"/>
      <c r="J67" s="18" t="str">
        <f t="shared" si="0"/>
        <v/>
      </c>
      <c r="K67" s="18"/>
      <c r="L67" s="18"/>
      <c r="M67" s="18" t="str">
        <f t="shared" si="1"/>
        <v/>
      </c>
      <c r="N67" s="18"/>
      <c r="O67" s="18"/>
      <c r="P67" s="18" t="str">
        <f t="shared" si="2"/>
        <v/>
      </c>
      <c r="Q67" s="18"/>
      <c r="R67" s="18"/>
      <c r="S67" s="18" t="str">
        <f t="shared" si="3"/>
        <v/>
      </c>
      <c r="T67" s="18">
        <v>90</v>
      </c>
      <c r="U67" s="18"/>
      <c r="V67" s="18">
        <f t="shared" si="4"/>
        <v>90</v>
      </c>
      <c r="W67" s="18"/>
      <c r="X67" s="18"/>
      <c r="Y67" s="18" t="str">
        <f t="shared" si="5"/>
        <v/>
      </c>
      <c r="Z67" s="18"/>
      <c r="AA67" s="18"/>
      <c r="AB67" s="18" t="str">
        <f t="shared" si="6"/>
        <v/>
      </c>
      <c r="AC67" s="18">
        <v>600</v>
      </c>
      <c r="AD67" s="18"/>
      <c r="AE67" s="18">
        <f t="shared" si="7"/>
        <v>600</v>
      </c>
      <c r="AF67" s="18"/>
      <c r="AG67" s="18"/>
      <c r="AH67" s="18" t="str">
        <f t="shared" si="8"/>
        <v/>
      </c>
      <c r="AI67" s="18"/>
      <c r="AJ67" s="18"/>
      <c r="AK67" s="18" t="str">
        <f t="shared" si="9"/>
        <v/>
      </c>
      <c r="AL67" s="18"/>
      <c r="AM67" s="18"/>
      <c r="AN67" s="18" t="str">
        <f t="shared" si="10"/>
        <v/>
      </c>
      <c r="AO67" s="18"/>
      <c r="AP67" s="18"/>
      <c r="AQ67" s="18" t="str">
        <f t="shared" si="11"/>
        <v/>
      </c>
      <c r="AR67" s="18">
        <v>7</v>
      </c>
      <c r="AS67" s="18"/>
      <c r="AT67" s="18">
        <f t="shared" si="12"/>
        <v>7</v>
      </c>
      <c r="AU67" s="18"/>
      <c r="AV67" s="18"/>
      <c r="AW67" s="18" t="str">
        <f t="shared" si="13"/>
        <v/>
      </c>
      <c r="AX67" s="18"/>
      <c r="AY67" s="18"/>
      <c r="AZ67" s="18" t="str">
        <f t="shared" si="14"/>
        <v/>
      </c>
      <c r="BA67" s="18">
        <v>90</v>
      </c>
      <c r="BB67" s="18"/>
      <c r="BC67" s="18">
        <f t="shared" si="15"/>
        <v>90</v>
      </c>
      <c r="BD67" s="18"/>
      <c r="BE67" s="18"/>
      <c r="BF67" s="18" t="str">
        <f t="shared" si="16"/>
        <v/>
      </c>
      <c r="BG67" s="18"/>
      <c r="BH67" s="18"/>
      <c r="BI67" s="18" t="str">
        <f t="shared" si="17"/>
        <v/>
      </c>
      <c r="BJ67" s="18"/>
      <c r="BK67" s="18"/>
      <c r="BL67" s="18" t="str">
        <f t="shared" si="18"/>
        <v/>
      </c>
      <c r="BM67" s="18"/>
      <c r="BN67" s="18"/>
      <c r="BO67" s="18" t="str">
        <f t="shared" si="19"/>
        <v/>
      </c>
      <c r="BP67" s="18"/>
      <c r="BQ67" s="18"/>
      <c r="BR67" s="18" t="str">
        <f t="shared" si="20"/>
        <v/>
      </c>
    </row>
    <row r="68" spans="1:70" ht="25.5" x14ac:dyDescent="0.25">
      <c r="A68" s="2" t="s">
        <v>811</v>
      </c>
      <c r="B68" s="2" t="str">
        <f>VLOOKUP($A68,[2]Projekty!$A$2:$AR$1147,4,0)</f>
        <v>OPKZP-PO1-SC111-2016-10</v>
      </c>
      <c r="C68" s="2" t="str">
        <f>VLOOKUP($A68,[2]Projekty!$A$2:$AR$1147,6,0)</f>
        <v>Obec Plevník-Drienové</v>
      </c>
      <c r="D68" s="2" t="str">
        <f>VLOOKUP($A68,[2]Projekty!$A$2:$AR$1147,7,0)</f>
        <v>Intenzifikácia triedeného zberu v obci Plevník-Drienové</v>
      </c>
      <c r="E68" s="2" t="str">
        <f>VLOOKUP($A68,[2]Projekty!$A$2:$AR$1147,9,0)</f>
        <v>TN</v>
      </c>
      <c r="F68" s="2" t="str">
        <f>VLOOKUP($A68,[2]Projekty!$A$2:$AR$1147,14,0)</f>
        <v>Realizácia</v>
      </c>
      <c r="G68" s="61">
        <f>VLOOKUP($A68,'[2]Dĺžka realizácie'!$A$2:$AR$1148,8,0)</f>
        <v>43524</v>
      </c>
      <c r="H68" s="18"/>
      <c r="I68" s="18"/>
      <c r="J68" s="18" t="str">
        <f t="shared" si="0"/>
        <v/>
      </c>
      <c r="K68" s="18"/>
      <c r="L68" s="18"/>
      <c r="M68" s="18" t="str">
        <f t="shared" si="1"/>
        <v/>
      </c>
      <c r="N68" s="18"/>
      <c r="O68" s="18"/>
      <c r="P68" s="18" t="str">
        <f t="shared" si="2"/>
        <v/>
      </c>
      <c r="Q68" s="18"/>
      <c r="R68" s="18"/>
      <c r="S68" s="18" t="str">
        <f t="shared" si="3"/>
        <v/>
      </c>
      <c r="T68" s="18">
        <v>528.76099999999997</v>
      </c>
      <c r="U68" s="18"/>
      <c r="V68" s="18">
        <f t="shared" si="4"/>
        <v>0</v>
      </c>
      <c r="W68" s="18"/>
      <c r="X68" s="18"/>
      <c r="Y68" s="18" t="str">
        <f t="shared" si="5"/>
        <v/>
      </c>
      <c r="Z68" s="18"/>
      <c r="AA68" s="18"/>
      <c r="AB68" s="18" t="str">
        <f t="shared" si="6"/>
        <v/>
      </c>
      <c r="AC68" s="18"/>
      <c r="AD68" s="18"/>
      <c r="AE68" s="18" t="str">
        <f t="shared" si="7"/>
        <v/>
      </c>
      <c r="AF68" s="18"/>
      <c r="AG68" s="18"/>
      <c r="AH68" s="18" t="str">
        <f t="shared" si="8"/>
        <v/>
      </c>
      <c r="AI68" s="18"/>
      <c r="AJ68" s="18"/>
      <c r="AK68" s="18" t="str">
        <f t="shared" si="9"/>
        <v/>
      </c>
      <c r="AL68" s="18"/>
      <c r="AM68" s="18"/>
      <c r="AN68" s="18" t="str">
        <f t="shared" si="10"/>
        <v/>
      </c>
      <c r="AO68" s="18"/>
      <c r="AP68" s="18"/>
      <c r="AQ68" s="18" t="str">
        <f t="shared" si="11"/>
        <v/>
      </c>
      <c r="AR68" s="18"/>
      <c r="AS68" s="18"/>
      <c r="AT68" s="18" t="str">
        <f t="shared" si="12"/>
        <v/>
      </c>
      <c r="AU68" s="18"/>
      <c r="AV68" s="18"/>
      <c r="AW68" s="18" t="str">
        <f t="shared" si="13"/>
        <v/>
      </c>
      <c r="AX68" s="18"/>
      <c r="AY68" s="18"/>
      <c r="AZ68" s="18" t="str">
        <f t="shared" si="14"/>
        <v/>
      </c>
      <c r="BA68" s="18">
        <v>528.76099999999997</v>
      </c>
      <c r="BB68" s="18"/>
      <c r="BC68" s="18">
        <f t="shared" si="15"/>
        <v>0</v>
      </c>
      <c r="BD68" s="18"/>
      <c r="BE68" s="18"/>
      <c r="BF68" s="18" t="str">
        <f t="shared" si="16"/>
        <v/>
      </c>
      <c r="BG68" s="18"/>
      <c r="BH68" s="18"/>
      <c r="BI68" s="18" t="str">
        <f t="shared" si="17"/>
        <v/>
      </c>
      <c r="BJ68" s="18"/>
      <c r="BK68" s="18"/>
      <c r="BL68" s="18" t="str">
        <f t="shared" si="18"/>
        <v/>
      </c>
      <c r="BM68" s="18"/>
      <c r="BN68" s="18"/>
      <c r="BO68" s="18" t="str">
        <f t="shared" si="19"/>
        <v/>
      </c>
      <c r="BP68" s="18"/>
      <c r="BQ68" s="18"/>
      <c r="BR68" s="18" t="str">
        <f t="shared" si="20"/>
        <v/>
      </c>
    </row>
    <row r="69" spans="1:70" x14ac:dyDescent="0.25">
      <c r="A69" s="2" t="s">
        <v>784</v>
      </c>
      <c r="B69" s="2" t="str">
        <f>VLOOKUP($A69,[2]Projekty!$A$2:$AR$1147,4,0)</f>
        <v>OPKZP-PO1-SC111-2016-10</v>
      </c>
      <c r="C69" s="2" t="str">
        <f>VLOOKUP($A69,[2]Projekty!$A$2:$AR$1147,6,0)</f>
        <v>Obec Vlčkovce</v>
      </c>
      <c r="D69" s="2" t="str">
        <f>VLOOKUP($A69,[2]Projekty!$A$2:$AR$1147,7,0)</f>
        <v>Zberný dvor Vlčkovce</v>
      </c>
      <c r="E69" s="2" t="str">
        <f>VLOOKUP($A69,[2]Projekty!$A$2:$AR$1147,9,0)</f>
        <v>TT</v>
      </c>
      <c r="F69" s="2" t="str">
        <f>VLOOKUP($A69,[2]Projekty!$A$2:$AR$1147,14,0)</f>
        <v>Realizácia</v>
      </c>
      <c r="G69" s="61">
        <f>VLOOKUP($A69,'[2]Dĺžka realizácie'!$A$2:$AR$1148,8,0)</f>
        <v>43251</v>
      </c>
      <c r="H69" s="18"/>
      <c r="I69" s="18"/>
      <c r="J69" s="18" t="str">
        <f t="shared" si="0"/>
        <v/>
      </c>
      <c r="K69" s="18"/>
      <c r="L69" s="18"/>
      <c r="M69" s="18" t="str">
        <f t="shared" si="1"/>
        <v/>
      </c>
      <c r="N69" s="18"/>
      <c r="O69" s="18"/>
      <c r="P69" s="18" t="str">
        <f t="shared" si="2"/>
        <v/>
      </c>
      <c r="Q69" s="18"/>
      <c r="R69" s="18"/>
      <c r="S69" s="18" t="str">
        <f t="shared" si="3"/>
        <v/>
      </c>
      <c r="T69" s="18">
        <v>100</v>
      </c>
      <c r="U69" s="18"/>
      <c r="V69" s="18">
        <f t="shared" si="4"/>
        <v>100</v>
      </c>
      <c r="W69" s="18"/>
      <c r="X69" s="18"/>
      <c r="Y69" s="18" t="str">
        <f t="shared" si="5"/>
        <v/>
      </c>
      <c r="Z69" s="18"/>
      <c r="AA69" s="18"/>
      <c r="AB69" s="18" t="str">
        <f t="shared" si="6"/>
        <v/>
      </c>
      <c r="AC69" s="18"/>
      <c r="AD69" s="18"/>
      <c r="AE69" s="18" t="str">
        <f t="shared" si="7"/>
        <v/>
      </c>
      <c r="AF69" s="18"/>
      <c r="AG69" s="18"/>
      <c r="AH69" s="18" t="str">
        <f t="shared" si="8"/>
        <v/>
      </c>
      <c r="AI69" s="18"/>
      <c r="AJ69" s="18"/>
      <c r="AK69" s="18" t="str">
        <f t="shared" si="9"/>
        <v/>
      </c>
      <c r="AL69" s="18"/>
      <c r="AM69" s="18"/>
      <c r="AN69" s="18" t="str">
        <f t="shared" si="10"/>
        <v/>
      </c>
      <c r="AO69" s="18"/>
      <c r="AP69" s="18"/>
      <c r="AQ69" s="18" t="str">
        <f t="shared" si="11"/>
        <v/>
      </c>
      <c r="AR69" s="18"/>
      <c r="AS69" s="18"/>
      <c r="AT69" s="18" t="str">
        <f t="shared" si="12"/>
        <v/>
      </c>
      <c r="AU69" s="18"/>
      <c r="AV69" s="18"/>
      <c r="AW69" s="18" t="str">
        <f t="shared" si="13"/>
        <v/>
      </c>
      <c r="AX69" s="18"/>
      <c r="AY69" s="18"/>
      <c r="AZ69" s="18" t="str">
        <f t="shared" si="14"/>
        <v/>
      </c>
      <c r="BA69" s="18">
        <v>100</v>
      </c>
      <c r="BB69" s="18"/>
      <c r="BC69" s="18">
        <f t="shared" si="15"/>
        <v>100</v>
      </c>
      <c r="BD69" s="18"/>
      <c r="BE69" s="18"/>
      <c r="BF69" s="18" t="str">
        <f t="shared" si="16"/>
        <v/>
      </c>
      <c r="BG69" s="18"/>
      <c r="BH69" s="18"/>
      <c r="BI69" s="18" t="str">
        <f t="shared" si="17"/>
        <v/>
      </c>
      <c r="BJ69" s="18"/>
      <c r="BK69" s="18"/>
      <c r="BL69" s="18" t="str">
        <f t="shared" si="18"/>
        <v/>
      </c>
      <c r="BM69" s="18"/>
      <c r="BN69" s="18"/>
      <c r="BO69" s="18" t="str">
        <f t="shared" si="19"/>
        <v/>
      </c>
      <c r="BP69" s="18"/>
      <c r="BQ69" s="18"/>
      <c r="BR69" s="18" t="str">
        <f t="shared" si="20"/>
        <v/>
      </c>
    </row>
    <row r="70" spans="1:70" x14ac:dyDescent="0.25">
      <c r="A70" s="2" t="s">
        <v>785</v>
      </c>
      <c r="B70" s="2" t="str">
        <f>VLOOKUP($A70,[2]Projekty!$A$2:$AR$1147,4,0)</f>
        <v>OPKZP-PO1-SC111-2016-10</v>
      </c>
      <c r="C70" s="2" t="str">
        <f>VLOOKUP($A70,[2]Projekty!$A$2:$AR$1147,6,0)</f>
        <v>Obec Vozokany</v>
      </c>
      <c r="D70" s="2" t="str">
        <f>VLOOKUP($A70,[2]Projekty!$A$2:$AR$1147,7,0)</f>
        <v>Zberný dvor v obci Vozokany</v>
      </c>
      <c r="E70" s="2" t="str">
        <f>VLOOKUP($A70,[2]Projekty!$A$2:$AR$1147,9,0)</f>
        <v>TT</v>
      </c>
      <c r="F70" s="2" t="str">
        <f>VLOOKUP($A70,[2]Projekty!$A$2:$AR$1147,14,0)</f>
        <v>Realizácia</v>
      </c>
      <c r="G70" s="61">
        <f>VLOOKUP($A70,'[2]Dĺžka realizácie'!$A$2:$AR$1148,8,0)</f>
        <v>43131</v>
      </c>
      <c r="H70" s="18"/>
      <c r="I70" s="18"/>
      <c r="J70" s="18" t="str">
        <f t="shared" ref="J70:J133" si="21">IF(H70="","",IF($F70="riadne ukončený",I70,IF($G70&lt;=J$4,H70,0)))</f>
        <v/>
      </c>
      <c r="K70" s="18"/>
      <c r="L70" s="18"/>
      <c r="M70" s="18" t="str">
        <f t="shared" ref="M70:M133" si="22">IF(K70="","",IF($F70="riadne ukončený",L70,IF($G70&lt;=M$4,K70,0)))</f>
        <v/>
      </c>
      <c r="N70" s="18"/>
      <c r="O70" s="18"/>
      <c r="P70" s="18" t="str">
        <f t="shared" ref="P70:P133" si="23">IF(N70="","",IF($F70="riadne ukončený",O70,IF($G70&lt;=P$4,N70,0)))</f>
        <v/>
      </c>
      <c r="Q70" s="18"/>
      <c r="R70" s="18"/>
      <c r="S70" s="18" t="str">
        <f t="shared" ref="S70:S133" si="24">IF(Q70="","",IF($F70="riadne ukončený",R70,IF($G70&lt;=S$4,Q70,0)))</f>
        <v/>
      </c>
      <c r="T70" s="18">
        <v>125</v>
      </c>
      <c r="U70" s="18"/>
      <c r="V70" s="18">
        <f t="shared" ref="V70:V133" si="25">IF(T70="","",IF($F70="riadne ukončený",U70,IF($G70&lt;=V$4,T70,0)))</f>
        <v>125</v>
      </c>
      <c r="W70" s="18"/>
      <c r="X70" s="18"/>
      <c r="Y70" s="18" t="str">
        <f t="shared" ref="Y70:Y133" si="26">IF(W70="","",IF($F70="riadne ukončený",X70,IF($G70&lt;=Y$4,W70,0)))</f>
        <v/>
      </c>
      <c r="Z70" s="18"/>
      <c r="AA70" s="18"/>
      <c r="AB70" s="18" t="str">
        <f t="shared" ref="AB70:AB133" si="27">IF(Z70="","",IF($F70="riadne ukončený",AA70,IF($G70&lt;=AB$4,Z70,0)))</f>
        <v/>
      </c>
      <c r="AC70" s="18"/>
      <c r="AD70" s="18"/>
      <c r="AE70" s="18" t="str">
        <f t="shared" ref="AE70:AE133" si="28">IF(AC70="","",IF($F70="riadne ukončený",AD70,IF($G70&lt;=AE$4,AC70,0)))</f>
        <v/>
      </c>
      <c r="AF70" s="18"/>
      <c r="AG70" s="18"/>
      <c r="AH70" s="18" t="str">
        <f t="shared" ref="AH70:AH133" si="29">IF(AF70="","",IF($F70="riadne ukončený",AG70,IF($G70&lt;=AH$4,AF70,0)))</f>
        <v/>
      </c>
      <c r="AI70" s="18"/>
      <c r="AJ70" s="18"/>
      <c r="AK70" s="18" t="str">
        <f t="shared" ref="AK70:AK133" si="30">IF(AI70="","",IF($F70="riadne ukončený",AJ70,IF($G70&lt;=AK$4,AI70,0)))</f>
        <v/>
      </c>
      <c r="AL70" s="18"/>
      <c r="AM70" s="18"/>
      <c r="AN70" s="18" t="str">
        <f t="shared" ref="AN70:AN133" si="31">IF(AL70="","",IF($F70="riadne ukončený",AM70,IF($G70&lt;=AN$4,AL70,0)))</f>
        <v/>
      </c>
      <c r="AO70" s="18"/>
      <c r="AP70" s="18"/>
      <c r="AQ70" s="18" t="str">
        <f t="shared" ref="AQ70:AQ133" si="32">IF(AO70="","",IF($F70="riadne ukončený",AP70,IF($G70&lt;=AQ$4,AO70,0)))</f>
        <v/>
      </c>
      <c r="AR70" s="18"/>
      <c r="AS70" s="18"/>
      <c r="AT70" s="18" t="str">
        <f t="shared" ref="AT70:AT133" si="33">IF(AR70="","",IF($F70="riadne ukončený",AS70,IF($G70&lt;=AT$4,AR70,0)))</f>
        <v/>
      </c>
      <c r="AU70" s="18"/>
      <c r="AV70" s="18"/>
      <c r="AW70" s="18" t="str">
        <f t="shared" ref="AW70:AW133" si="34">IF(AU70="","",IF($F70="riadne ukončený",AV70,IF($G70&lt;=AW$4,AU70,0)))</f>
        <v/>
      </c>
      <c r="AX70" s="18"/>
      <c r="AY70" s="18"/>
      <c r="AZ70" s="18" t="str">
        <f t="shared" ref="AZ70:AZ133" si="35">IF(AX70="","",IF($F70="riadne ukončený",AY70,IF($G70&lt;=AZ$4,AX70,0)))</f>
        <v/>
      </c>
      <c r="BA70" s="18">
        <v>125</v>
      </c>
      <c r="BB70" s="18"/>
      <c r="BC70" s="18">
        <f t="shared" ref="BC70:BC133" si="36">IF(BA70="","",IF($F70="riadne ukončený",BB70,IF($G70&lt;=BC$4,BA70,0)))</f>
        <v>125</v>
      </c>
      <c r="BD70" s="18"/>
      <c r="BE70" s="18"/>
      <c r="BF70" s="18" t="str">
        <f t="shared" ref="BF70:BF133" si="37">IF(BD70="","",IF($F70="riadne ukončený",BE70,IF($G70&lt;=BF$4,BD70,0)))</f>
        <v/>
      </c>
      <c r="BG70" s="18"/>
      <c r="BH70" s="18"/>
      <c r="BI70" s="18" t="str">
        <f t="shared" ref="BI70:BI133" si="38">IF(BG70="","",IF($F70="riadne ukončený",BH70,IF($G70&lt;=BI$4,BG70,0)))</f>
        <v/>
      </c>
      <c r="BJ70" s="18"/>
      <c r="BK70" s="18"/>
      <c r="BL70" s="18" t="str">
        <f t="shared" ref="BL70:BL133" si="39">IF(BJ70="","",IF($F70="riadne ukončený",BK70,IF($G70&lt;=BL$4,BJ70,0)))</f>
        <v/>
      </c>
      <c r="BM70" s="18"/>
      <c r="BN70" s="18"/>
      <c r="BO70" s="18" t="str">
        <f t="shared" ref="BO70:BO133" si="40">IF(BM70="","",IF($F70="riadne ukončený",BN70,IF($G70&lt;=BO$4,BM70,0)))</f>
        <v/>
      </c>
      <c r="BP70" s="18"/>
      <c r="BQ70" s="18"/>
      <c r="BR70" s="18" t="str">
        <f t="shared" ref="BR70:BR133" si="41">IF(BP70="","",IF($F70="riadne ukončený",BQ70,IF($G70&lt;=BR$4,BP70,0)))</f>
        <v/>
      </c>
    </row>
    <row r="71" spans="1:70" ht="25.5" x14ac:dyDescent="0.25">
      <c r="A71" s="2" t="s">
        <v>800</v>
      </c>
      <c r="B71" s="2" t="str">
        <f>VLOOKUP($A71,[2]Projekty!$A$2:$AR$1147,4,0)</f>
        <v>OPKZP-PO1-SC111-2016-10</v>
      </c>
      <c r="C71" s="2" t="str">
        <f>VLOOKUP($A71,[2]Projekty!$A$2:$AR$1147,6,0)</f>
        <v>Obec Unín</v>
      </c>
      <c r="D71" s="2" t="str">
        <f>VLOOKUP($A71,[2]Projekty!$A$2:$AR$1147,7,0)</f>
        <v>Navýšenie technickej kapacity pre triedený zber Komunálnych odpadov v obci Unín</v>
      </c>
      <c r="E71" s="2" t="str">
        <f>VLOOKUP($A71,[2]Projekty!$A$2:$AR$1147,9,0)</f>
        <v>TT</v>
      </c>
      <c r="F71" s="2" t="str">
        <f>VLOOKUP($A71,[2]Projekty!$A$2:$AR$1147,14,0)</f>
        <v>Realizácia</v>
      </c>
      <c r="G71" s="61">
        <f>VLOOKUP($A71,'[2]Dĺžka realizácie'!$A$2:$AR$1148,8,0)</f>
        <v>43100</v>
      </c>
      <c r="H71" s="18"/>
      <c r="I71" s="18"/>
      <c r="J71" s="18" t="str">
        <f t="shared" si="21"/>
        <v/>
      </c>
      <c r="K71" s="18"/>
      <c r="L71" s="18"/>
      <c r="M71" s="18" t="str">
        <f t="shared" si="22"/>
        <v/>
      </c>
      <c r="N71" s="18"/>
      <c r="O71" s="18"/>
      <c r="P71" s="18" t="str">
        <f t="shared" si="23"/>
        <v/>
      </c>
      <c r="Q71" s="18"/>
      <c r="R71" s="18"/>
      <c r="S71" s="18" t="str">
        <f t="shared" si="24"/>
        <v/>
      </c>
      <c r="T71" s="18">
        <v>120</v>
      </c>
      <c r="U71" s="18"/>
      <c r="V71" s="18">
        <f t="shared" si="25"/>
        <v>120</v>
      </c>
      <c r="W71" s="18"/>
      <c r="X71" s="18"/>
      <c r="Y71" s="18" t="str">
        <f t="shared" si="26"/>
        <v/>
      </c>
      <c r="Z71" s="18"/>
      <c r="AA71" s="18"/>
      <c r="AB71" s="18" t="str">
        <f t="shared" si="27"/>
        <v/>
      </c>
      <c r="AC71" s="18"/>
      <c r="AD71" s="18"/>
      <c r="AE71" s="18" t="str">
        <f t="shared" si="28"/>
        <v/>
      </c>
      <c r="AF71" s="18"/>
      <c r="AG71" s="18"/>
      <c r="AH71" s="18" t="str">
        <f t="shared" si="29"/>
        <v/>
      </c>
      <c r="AI71" s="18"/>
      <c r="AJ71" s="18"/>
      <c r="AK71" s="18" t="str">
        <f t="shared" si="30"/>
        <v/>
      </c>
      <c r="AL71" s="18"/>
      <c r="AM71" s="18"/>
      <c r="AN71" s="18" t="str">
        <f t="shared" si="31"/>
        <v/>
      </c>
      <c r="AO71" s="18"/>
      <c r="AP71" s="18"/>
      <c r="AQ71" s="18" t="str">
        <f t="shared" si="32"/>
        <v/>
      </c>
      <c r="AR71" s="18"/>
      <c r="AS71" s="18"/>
      <c r="AT71" s="18" t="str">
        <f t="shared" si="33"/>
        <v/>
      </c>
      <c r="AU71" s="18"/>
      <c r="AV71" s="18"/>
      <c r="AW71" s="18" t="str">
        <f t="shared" si="34"/>
        <v/>
      </c>
      <c r="AX71" s="18"/>
      <c r="AY71" s="18"/>
      <c r="AZ71" s="18" t="str">
        <f t="shared" si="35"/>
        <v/>
      </c>
      <c r="BA71" s="18">
        <v>120</v>
      </c>
      <c r="BB71" s="18"/>
      <c r="BC71" s="18">
        <f t="shared" si="36"/>
        <v>120</v>
      </c>
      <c r="BD71" s="18"/>
      <c r="BE71" s="18"/>
      <c r="BF71" s="18" t="str">
        <f t="shared" si="37"/>
        <v/>
      </c>
      <c r="BG71" s="18"/>
      <c r="BH71" s="18"/>
      <c r="BI71" s="18" t="str">
        <f t="shared" si="38"/>
        <v/>
      </c>
      <c r="BJ71" s="18"/>
      <c r="BK71" s="18"/>
      <c r="BL71" s="18" t="str">
        <f t="shared" si="39"/>
        <v/>
      </c>
      <c r="BM71" s="18"/>
      <c r="BN71" s="18"/>
      <c r="BO71" s="18" t="str">
        <f t="shared" si="40"/>
        <v/>
      </c>
      <c r="BP71" s="18"/>
      <c r="BQ71" s="18"/>
      <c r="BR71" s="18" t="str">
        <f t="shared" si="41"/>
        <v/>
      </c>
    </row>
    <row r="72" spans="1:70" x14ac:dyDescent="0.25">
      <c r="A72" s="2" t="s">
        <v>876</v>
      </c>
      <c r="B72" s="2" t="str">
        <f>VLOOKUP($A72,[2]Projekty!$A$2:$AR$1147,4,0)</f>
        <v>OPKZP-PO1-SC111-2016-10</v>
      </c>
      <c r="C72" s="2" t="str">
        <f>VLOOKUP($A72,[2]Projekty!$A$2:$AR$1147,6,0)</f>
        <v>Obec Svätý Kríž</v>
      </c>
      <c r="D72" s="2" t="str">
        <f>VLOOKUP($A72,[2]Projekty!$A$2:$AR$1147,7,0)</f>
        <v>Zberný dvor v obci Svätý Kríž</v>
      </c>
      <c r="E72" s="2" t="str">
        <f>VLOOKUP($A72,[2]Projekty!$A$2:$AR$1147,9,0)</f>
        <v>ZA</v>
      </c>
      <c r="F72" s="2" t="str">
        <f>VLOOKUP($A72,[2]Projekty!$A$2:$AR$1147,14,0)</f>
        <v>Realizácia</v>
      </c>
      <c r="G72" s="61">
        <f>VLOOKUP($A72,'[2]Dĺžka realizácie'!$A$2:$AR$1148,8,0)</f>
        <v>43159</v>
      </c>
      <c r="H72" s="18"/>
      <c r="I72" s="18"/>
      <c r="J72" s="18" t="str">
        <f t="shared" si="21"/>
        <v/>
      </c>
      <c r="K72" s="18"/>
      <c r="L72" s="18"/>
      <c r="M72" s="18" t="str">
        <f t="shared" si="22"/>
        <v/>
      </c>
      <c r="N72" s="18"/>
      <c r="O72" s="18"/>
      <c r="P72" s="18" t="str">
        <f t="shared" si="23"/>
        <v/>
      </c>
      <c r="Q72" s="18"/>
      <c r="R72" s="18"/>
      <c r="S72" s="18" t="str">
        <f t="shared" si="24"/>
        <v/>
      </c>
      <c r="T72" s="18">
        <v>332.12</v>
      </c>
      <c r="U72" s="18"/>
      <c r="V72" s="18">
        <f t="shared" si="25"/>
        <v>332.12</v>
      </c>
      <c r="W72" s="18"/>
      <c r="X72" s="18"/>
      <c r="Y72" s="18" t="str">
        <f t="shared" si="26"/>
        <v/>
      </c>
      <c r="Z72" s="18"/>
      <c r="AA72" s="18"/>
      <c r="AB72" s="18" t="str">
        <f t="shared" si="27"/>
        <v/>
      </c>
      <c r="AC72" s="18">
        <v>400</v>
      </c>
      <c r="AD72" s="18"/>
      <c r="AE72" s="18">
        <f t="shared" si="28"/>
        <v>400</v>
      </c>
      <c r="AF72" s="18"/>
      <c r="AG72" s="18"/>
      <c r="AH72" s="18" t="str">
        <f t="shared" si="29"/>
        <v/>
      </c>
      <c r="AI72" s="18"/>
      <c r="AJ72" s="18"/>
      <c r="AK72" s="18" t="str">
        <f t="shared" si="30"/>
        <v/>
      </c>
      <c r="AL72" s="18"/>
      <c r="AM72" s="18"/>
      <c r="AN72" s="18" t="str">
        <f t="shared" si="31"/>
        <v/>
      </c>
      <c r="AO72" s="18"/>
      <c r="AP72" s="18"/>
      <c r="AQ72" s="18" t="str">
        <f t="shared" si="32"/>
        <v/>
      </c>
      <c r="AR72" s="18">
        <v>4</v>
      </c>
      <c r="AS72" s="18"/>
      <c r="AT72" s="18">
        <f t="shared" si="33"/>
        <v>4</v>
      </c>
      <c r="AU72" s="18"/>
      <c r="AV72" s="18"/>
      <c r="AW72" s="18" t="str">
        <f t="shared" si="34"/>
        <v/>
      </c>
      <c r="AX72" s="18"/>
      <c r="AY72" s="18"/>
      <c r="AZ72" s="18" t="str">
        <f t="shared" si="35"/>
        <v/>
      </c>
      <c r="BA72" s="18">
        <v>332.12</v>
      </c>
      <c r="BB72" s="18"/>
      <c r="BC72" s="18">
        <f t="shared" si="36"/>
        <v>332.12</v>
      </c>
      <c r="BD72" s="18"/>
      <c r="BE72" s="18"/>
      <c r="BF72" s="18" t="str">
        <f t="shared" si="37"/>
        <v/>
      </c>
      <c r="BG72" s="18"/>
      <c r="BH72" s="18"/>
      <c r="BI72" s="18" t="str">
        <f t="shared" si="38"/>
        <v/>
      </c>
      <c r="BJ72" s="18"/>
      <c r="BK72" s="18"/>
      <c r="BL72" s="18" t="str">
        <f t="shared" si="39"/>
        <v/>
      </c>
      <c r="BM72" s="18"/>
      <c r="BN72" s="18"/>
      <c r="BO72" s="18" t="str">
        <f t="shared" si="40"/>
        <v/>
      </c>
      <c r="BP72" s="18"/>
      <c r="BQ72" s="18"/>
      <c r="BR72" s="18" t="str">
        <f t="shared" si="41"/>
        <v/>
      </c>
    </row>
    <row r="73" spans="1:70" x14ac:dyDescent="0.25">
      <c r="A73" s="2" t="s">
        <v>744</v>
      </c>
      <c r="B73" s="2" t="str">
        <f>VLOOKUP($A73,[2]Projekty!$A$2:$AR$1147,4,0)</f>
        <v>OPKZP-PO1-SC111-2016-10</v>
      </c>
      <c r="C73" s="2" t="str">
        <f>VLOOKUP($A73,[2]Projekty!$A$2:$AR$1147,6,0)</f>
        <v>obec Brvnište</v>
      </c>
      <c r="D73" s="2" t="str">
        <f>VLOOKUP($A73,[2]Projekty!$A$2:$AR$1147,7,0)</f>
        <v>Zberný dvor v obci Brvnište</v>
      </c>
      <c r="E73" s="2" t="str">
        <f>VLOOKUP($A73,[2]Projekty!$A$2:$AR$1147,9,0)</f>
        <v>TN</v>
      </c>
      <c r="F73" s="2" t="str">
        <f>VLOOKUP($A73,[2]Projekty!$A$2:$AR$1147,14,0)</f>
        <v>Realizácia</v>
      </c>
      <c r="G73" s="61">
        <f>VLOOKUP($A73,'[2]Dĺžka realizácie'!$A$2:$AR$1148,8,0)</f>
        <v>43131</v>
      </c>
      <c r="H73" s="18"/>
      <c r="I73" s="18"/>
      <c r="J73" s="18" t="str">
        <f t="shared" si="21"/>
        <v/>
      </c>
      <c r="K73" s="18"/>
      <c r="L73" s="18"/>
      <c r="M73" s="18" t="str">
        <f t="shared" si="22"/>
        <v/>
      </c>
      <c r="N73" s="18"/>
      <c r="O73" s="18"/>
      <c r="P73" s="18" t="str">
        <f t="shared" si="23"/>
        <v/>
      </c>
      <c r="Q73" s="18"/>
      <c r="R73" s="18"/>
      <c r="S73" s="18" t="str">
        <f t="shared" si="24"/>
        <v/>
      </c>
      <c r="T73" s="18">
        <v>199.46</v>
      </c>
      <c r="U73" s="18"/>
      <c r="V73" s="18">
        <f t="shared" si="25"/>
        <v>199.46</v>
      </c>
      <c r="W73" s="18"/>
      <c r="X73" s="18"/>
      <c r="Y73" s="18" t="str">
        <f t="shared" si="26"/>
        <v/>
      </c>
      <c r="Z73" s="18"/>
      <c r="AA73" s="18"/>
      <c r="AB73" s="18" t="str">
        <f t="shared" si="27"/>
        <v/>
      </c>
      <c r="AC73" s="18">
        <v>500</v>
      </c>
      <c r="AD73" s="18"/>
      <c r="AE73" s="18">
        <f t="shared" si="28"/>
        <v>500</v>
      </c>
      <c r="AF73" s="18"/>
      <c r="AG73" s="18"/>
      <c r="AH73" s="18" t="str">
        <f t="shared" si="29"/>
        <v/>
      </c>
      <c r="AI73" s="18"/>
      <c r="AJ73" s="18"/>
      <c r="AK73" s="18" t="str">
        <f t="shared" si="30"/>
        <v/>
      </c>
      <c r="AL73" s="18"/>
      <c r="AM73" s="18"/>
      <c r="AN73" s="18" t="str">
        <f t="shared" si="31"/>
        <v/>
      </c>
      <c r="AO73" s="18"/>
      <c r="AP73" s="18"/>
      <c r="AQ73" s="18" t="str">
        <f t="shared" si="32"/>
        <v/>
      </c>
      <c r="AR73" s="18">
        <v>4</v>
      </c>
      <c r="AS73" s="18"/>
      <c r="AT73" s="18">
        <f t="shared" si="33"/>
        <v>4</v>
      </c>
      <c r="AU73" s="18"/>
      <c r="AV73" s="18"/>
      <c r="AW73" s="18" t="str">
        <f t="shared" si="34"/>
        <v/>
      </c>
      <c r="AX73" s="18"/>
      <c r="AY73" s="18"/>
      <c r="AZ73" s="18" t="str">
        <f t="shared" si="35"/>
        <v/>
      </c>
      <c r="BA73" s="18">
        <v>199.46</v>
      </c>
      <c r="BB73" s="18"/>
      <c r="BC73" s="18">
        <f t="shared" si="36"/>
        <v>199.46</v>
      </c>
      <c r="BD73" s="18"/>
      <c r="BE73" s="18"/>
      <c r="BF73" s="18" t="str">
        <f t="shared" si="37"/>
        <v/>
      </c>
      <c r="BG73" s="18"/>
      <c r="BH73" s="18"/>
      <c r="BI73" s="18" t="str">
        <f t="shared" si="38"/>
        <v/>
      </c>
      <c r="BJ73" s="18"/>
      <c r="BK73" s="18"/>
      <c r="BL73" s="18" t="str">
        <f t="shared" si="39"/>
        <v/>
      </c>
      <c r="BM73" s="18"/>
      <c r="BN73" s="18"/>
      <c r="BO73" s="18" t="str">
        <f t="shared" si="40"/>
        <v/>
      </c>
      <c r="BP73" s="18"/>
      <c r="BQ73" s="18"/>
      <c r="BR73" s="18" t="str">
        <f t="shared" si="41"/>
        <v/>
      </c>
    </row>
    <row r="74" spans="1:70" ht="25.5" x14ac:dyDescent="0.25">
      <c r="A74" s="2" t="s">
        <v>786</v>
      </c>
      <c r="B74" s="2" t="str">
        <f>VLOOKUP($A74,[2]Projekty!$A$2:$AR$1147,4,0)</f>
        <v>OPKZP-PO1-SC111-2016-10</v>
      </c>
      <c r="C74" s="2" t="str">
        <f>VLOOKUP($A74,[2]Projekty!$A$2:$AR$1147,6,0)</f>
        <v>Obec Medzibrodie nad Oravou</v>
      </c>
      <c r="D74" s="2" t="str">
        <f>VLOOKUP($A74,[2]Projekty!$A$2:$AR$1147,7,0)</f>
        <v>Zberný dvor obce Medzibrodie nad Oravou</v>
      </c>
      <c r="E74" s="2" t="str">
        <f>VLOOKUP($A74,[2]Projekty!$A$2:$AR$1147,9,0)</f>
        <v>ZA</v>
      </c>
      <c r="F74" s="2" t="str">
        <f>VLOOKUP($A74,[2]Projekty!$A$2:$AR$1147,14,0)</f>
        <v>Realizácia</v>
      </c>
      <c r="G74" s="61">
        <f>VLOOKUP($A74,'[2]Dĺžka realizácie'!$A$2:$AR$1148,8,0)</f>
        <v>43159</v>
      </c>
      <c r="H74" s="18"/>
      <c r="I74" s="18"/>
      <c r="J74" s="18" t="str">
        <f t="shared" si="21"/>
        <v/>
      </c>
      <c r="K74" s="18"/>
      <c r="L74" s="18"/>
      <c r="M74" s="18" t="str">
        <f t="shared" si="22"/>
        <v/>
      </c>
      <c r="N74" s="18"/>
      <c r="O74" s="18"/>
      <c r="P74" s="18" t="str">
        <f t="shared" si="23"/>
        <v/>
      </c>
      <c r="Q74" s="18"/>
      <c r="R74" s="18"/>
      <c r="S74" s="18" t="str">
        <f t="shared" si="24"/>
        <v/>
      </c>
      <c r="T74" s="18">
        <v>185.7</v>
      </c>
      <c r="U74" s="18"/>
      <c r="V74" s="18">
        <f t="shared" si="25"/>
        <v>185.7</v>
      </c>
      <c r="W74" s="18"/>
      <c r="X74" s="18"/>
      <c r="Y74" s="18" t="str">
        <f t="shared" si="26"/>
        <v/>
      </c>
      <c r="Z74" s="18"/>
      <c r="AA74" s="18"/>
      <c r="AB74" s="18" t="str">
        <f t="shared" si="27"/>
        <v/>
      </c>
      <c r="AC74" s="18">
        <v>250</v>
      </c>
      <c r="AD74" s="18"/>
      <c r="AE74" s="18">
        <f t="shared" si="28"/>
        <v>250</v>
      </c>
      <c r="AF74" s="18"/>
      <c r="AG74" s="18"/>
      <c r="AH74" s="18" t="str">
        <f t="shared" si="29"/>
        <v/>
      </c>
      <c r="AI74" s="18"/>
      <c r="AJ74" s="18"/>
      <c r="AK74" s="18" t="str">
        <f t="shared" si="30"/>
        <v/>
      </c>
      <c r="AL74" s="18"/>
      <c r="AM74" s="18"/>
      <c r="AN74" s="18" t="str">
        <f t="shared" si="31"/>
        <v/>
      </c>
      <c r="AO74" s="18"/>
      <c r="AP74" s="18"/>
      <c r="AQ74" s="18" t="str">
        <f t="shared" si="32"/>
        <v/>
      </c>
      <c r="AR74" s="18">
        <v>3</v>
      </c>
      <c r="AS74" s="18"/>
      <c r="AT74" s="18">
        <f t="shared" si="33"/>
        <v>3</v>
      </c>
      <c r="AU74" s="18"/>
      <c r="AV74" s="18"/>
      <c r="AW74" s="18" t="str">
        <f t="shared" si="34"/>
        <v/>
      </c>
      <c r="AX74" s="18"/>
      <c r="AY74" s="18"/>
      <c r="AZ74" s="18" t="str">
        <f t="shared" si="35"/>
        <v/>
      </c>
      <c r="BA74" s="18">
        <v>185.7</v>
      </c>
      <c r="BB74" s="18"/>
      <c r="BC74" s="18">
        <f t="shared" si="36"/>
        <v>185.7</v>
      </c>
      <c r="BD74" s="18"/>
      <c r="BE74" s="18"/>
      <c r="BF74" s="18" t="str">
        <f t="shared" si="37"/>
        <v/>
      </c>
      <c r="BG74" s="18"/>
      <c r="BH74" s="18"/>
      <c r="BI74" s="18" t="str">
        <f t="shared" si="38"/>
        <v/>
      </c>
      <c r="BJ74" s="18"/>
      <c r="BK74" s="18"/>
      <c r="BL74" s="18" t="str">
        <f t="shared" si="39"/>
        <v/>
      </c>
      <c r="BM74" s="18"/>
      <c r="BN74" s="18"/>
      <c r="BO74" s="18" t="str">
        <f t="shared" si="40"/>
        <v/>
      </c>
      <c r="BP74" s="18"/>
      <c r="BQ74" s="18"/>
      <c r="BR74" s="18" t="str">
        <f t="shared" si="41"/>
        <v/>
      </c>
    </row>
    <row r="75" spans="1:70" ht="25.5" x14ac:dyDescent="0.25">
      <c r="A75" s="2" t="s">
        <v>787</v>
      </c>
      <c r="B75" s="2" t="str">
        <f>VLOOKUP($A75,[2]Projekty!$A$2:$AR$1147,4,0)</f>
        <v>OPKZP-PO1-SC111-2016-10</v>
      </c>
      <c r="C75" s="2" t="str">
        <f>VLOOKUP($A75,[2]Projekty!$A$2:$AR$1147,6,0)</f>
        <v>Obec Nesluša</v>
      </c>
      <c r="D75" s="2" t="str">
        <f>VLOOKUP($A75,[2]Projekty!$A$2:$AR$1147,7,0)</f>
        <v>Novostavba zberného dvora v obci Nesluša parcela č. 3221/1</v>
      </c>
      <c r="E75" s="2" t="str">
        <f>VLOOKUP($A75,[2]Projekty!$A$2:$AR$1147,9,0)</f>
        <v>ZA</v>
      </c>
      <c r="F75" s="2" t="str">
        <f>VLOOKUP($A75,[2]Projekty!$A$2:$AR$1147,14,0)</f>
        <v>Realizácia</v>
      </c>
      <c r="G75" s="61">
        <f>VLOOKUP($A75,'[2]Dĺžka realizácie'!$A$2:$AR$1148,8,0)</f>
        <v>43465</v>
      </c>
      <c r="H75" s="18"/>
      <c r="I75" s="18"/>
      <c r="J75" s="18" t="str">
        <f t="shared" si="21"/>
        <v/>
      </c>
      <c r="K75" s="18"/>
      <c r="L75" s="18"/>
      <c r="M75" s="18" t="str">
        <f t="shared" si="22"/>
        <v/>
      </c>
      <c r="N75" s="18"/>
      <c r="O75" s="18"/>
      <c r="P75" s="18" t="str">
        <f t="shared" si="23"/>
        <v/>
      </c>
      <c r="Q75" s="18"/>
      <c r="R75" s="18"/>
      <c r="S75" s="18" t="str">
        <f t="shared" si="24"/>
        <v/>
      </c>
      <c r="T75" s="18">
        <v>277</v>
      </c>
      <c r="U75" s="18"/>
      <c r="V75" s="18">
        <f t="shared" si="25"/>
        <v>277</v>
      </c>
      <c r="W75" s="18"/>
      <c r="X75" s="18"/>
      <c r="Y75" s="18" t="str">
        <f t="shared" si="26"/>
        <v/>
      </c>
      <c r="Z75" s="18"/>
      <c r="AA75" s="18"/>
      <c r="AB75" s="18" t="str">
        <f t="shared" si="27"/>
        <v/>
      </c>
      <c r="AC75" s="18">
        <v>3040</v>
      </c>
      <c r="AD75" s="18"/>
      <c r="AE75" s="18">
        <f t="shared" si="28"/>
        <v>3040</v>
      </c>
      <c r="AF75" s="18"/>
      <c r="AG75" s="18"/>
      <c r="AH75" s="18" t="str">
        <f t="shared" si="29"/>
        <v/>
      </c>
      <c r="AI75" s="18"/>
      <c r="AJ75" s="18"/>
      <c r="AK75" s="18" t="str">
        <f t="shared" si="30"/>
        <v/>
      </c>
      <c r="AL75" s="18"/>
      <c r="AM75" s="18"/>
      <c r="AN75" s="18" t="str">
        <f t="shared" si="31"/>
        <v/>
      </c>
      <c r="AO75" s="18"/>
      <c r="AP75" s="18"/>
      <c r="AQ75" s="18" t="str">
        <f t="shared" si="32"/>
        <v/>
      </c>
      <c r="AR75" s="18">
        <v>7</v>
      </c>
      <c r="AS75" s="18"/>
      <c r="AT75" s="18">
        <f t="shared" si="33"/>
        <v>7</v>
      </c>
      <c r="AU75" s="18"/>
      <c r="AV75" s="18"/>
      <c r="AW75" s="18" t="str">
        <f t="shared" si="34"/>
        <v/>
      </c>
      <c r="AX75" s="18"/>
      <c r="AY75" s="18"/>
      <c r="AZ75" s="18" t="str">
        <f t="shared" si="35"/>
        <v/>
      </c>
      <c r="BA75" s="18">
        <v>277</v>
      </c>
      <c r="BB75" s="18"/>
      <c r="BC75" s="18">
        <f t="shared" si="36"/>
        <v>277</v>
      </c>
      <c r="BD75" s="18"/>
      <c r="BE75" s="18"/>
      <c r="BF75" s="18" t="str">
        <f t="shared" si="37"/>
        <v/>
      </c>
      <c r="BG75" s="18"/>
      <c r="BH75" s="18"/>
      <c r="BI75" s="18" t="str">
        <f t="shared" si="38"/>
        <v/>
      </c>
      <c r="BJ75" s="18"/>
      <c r="BK75" s="18"/>
      <c r="BL75" s="18" t="str">
        <f t="shared" si="39"/>
        <v/>
      </c>
      <c r="BM75" s="18"/>
      <c r="BN75" s="18"/>
      <c r="BO75" s="18" t="str">
        <f t="shared" si="40"/>
        <v/>
      </c>
      <c r="BP75" s="18"/>
      <c r="BQ75" s="18"/>
      <c r="BR75" s="18" t="str">
        <f t="shared" si="41"/>
        <v/>
      </c>
    </row>
    <row r="76" spans="1:70" ht="25.5" x14ac:dyDescent="0.25">
      <c r="A76" s="2" t="s">
        <v>745</v>
      </c>
      <c r="B76" s="2" t="str">
        <f>VLOOKUP($A76,[2]Projekty!$A$2:$AR$1147,4,0)</f>
        <v>OPKZP-PO1-SC111-2016-10</v>
      </c>
      <c r="C76" s="2" t="str">
        <f>VLOOKUP($A76,[2]Projekty!$A$2:$AR$1147,6,0)</f>
        <v>Združenie obcí pre likvidáciu odpadu Poltár</v>
      </c>
      <c r="D76" s="2" t="str">
        <f>VLOOKUP($A76,[2]Projekty!$A$2:$AR$1147,7,0)</f>
        <v>Technológia zhodnotenia komunálneho odpadu výrobou TAP a BRO</v>
      </c>
      <c r="E76" s="2" t="str">
        <f>VLOOKUP($A76,[2]Projekty!$A$2:$AR$1147,9,0)</f>
        <v>BB</v>
      </c>
      <c r="F76" s="2" t="str">
        <f>VLOOKUP($A76,[2]Projekty!$A$2:$AR$1147,14,0)</f>
        <v>Realizácia</v>
      </c>
      <c r="G76" s="61">
        <f>VLOOKUP($A76,'[2]Dĺžka realizácie'!$A$2:$AR$1148,8,0)</f>
        <v>43159</v>
      </c>
      <c r="H76" s="18"/>
      <c r="I76" s="18"/>
      <c r="J76" s="18" t="str">
        <f t="shared" si="21"/>
        <v/>
      </c>
      <c r="K76" s="18"/>
      <c r="L76" s="18"/>
      <c r="M76" s="18" t="str">
        <f t="shared" si="22"/>
        <v/>
      </c>
      <c r="N76" s="18"/>
      <c r="O76" s="18"/>
      <c r="P76" s="18" t="str">
        <f t="shared" si="23"/>
        <v/>
      </c>
      <c r="Q76" s="18"/>
      <c r="R76" s="18"/>
      <c r="S76" s="18" t="str">
        <f t="shared" si="24"/>
        <v/>
      </c>
      <c r="T76" s="18"/>
      <c r="U76" s="18"/>
      <c r="V76" s="18" t="str">
        <f t="shared" si="25"/>
        <v/>
      </c>
      <c r="W76" s="18">
        <v>4500</v>
      </c>
      <c r="X76" s="18"/>
      <c r="Y76" s="18">
        <f t="shared" si="26"/>
        <v>4500</v>
      </c>
      <c r="Z76" s="18"/>
      <c r="AA76" s="18"/>
      <c r="AB76" s="18" t="str">
        <f t="shared" si="27"/>
        <v/>
      </c>
      <c r="AC76" s="18"/>
      <c r="AD76" s="18"/>
      <c r="AE76" s="18" t="str">
        <f t="shared" si="28"/>
        <v/>
      </c>
      <c r="AF76" s="18"/>
      <c r="AG76" s="18"/>
      <c r="AH76" s="18" t="str">
        <f t="shared" si="29"/>
        <v/>
      </c>
      <c r="AI76" s="18"/>
      <c r="AJ76" s="18"/>
      <c r="AK76" s="18" t="str">
        <f t="shared" si="30"/>
        <v/>
      </c>
      <c r="AL76" s="18"/>
      <c r="AM76" s="18"/>
      <c r="AN76" s="18" t="str">
        <f t="shared" si="31"/>
        <v/>
      </c>
      <c r="AO76" s="18"/>
      <c r="AP76" s="18"/>
      <c r="AQ76" s="18" t="str">
        <f t="shared" si="32"/>
        <v/>
      </c>
      <c r="AR76" s="18"/>
      <c r="AS76" s="18"/>
      <c r="AT76" s="18" t="str">
        <f t="shared" si="33"/>
        <v/>
      </c>
      <c r="AU76" s="18"/>
      <c r="AV76" s="18"/>
      <c r="AW76" s="18" t="str">
        <f t="shared" si="34"/>
        <v/>
      </c>
      <c r="AX76" s="18"/>
      <c r="AY76" s="18"/>
      <c r="AZ76" s="18" t="str">
        <f t="shared" si="35"/>
        <v/>
      </c>
      <c r="BA76" s="18"/>
      <c r="BB76" s="18"/>
      <c r="BC76" s="18" t="str">
        <f t="shared" si="36"/>
        <v/>
      </c>
      <c r="BD76" s="18">
        <v>5400</v>
      </c>
      <c r="BE76" s="18"/>
      <c r="BF76" s="18">
        <f t="shared" si="37"/>
        <v>5400</v>
      </c>
      <c r="BG76" s="18"/>
      <c r="BH76" s="18"/>
      <c r="BI76" s="18" t="str">
        <f t="shared" si="38"/>
        <v/>
      </c>
      <c r="BJ76" s="18"/>
      <c r="BK76" s="18"/>
      <c r="BL76" s="18" t="str">
        <f t="shared" si="39"/>
        <v/>
      </c>
      <c r="BM76" s="18"/>
      <c r="BN76" s="18"/>
      <c r="BO76" s="18" t="str">
        <f t="shared" si="40"/>
        <v/>
      </c>
      <c r="BP76" s="18"/>
      <c r="BQ76" s="18"/>
      <c r="BR76" s="18" t="str">
        <f t="shared" si="41"/>
        <v/>
      </c>
    </row>
    <row r="77" spans="1:70" ht="25.5" x14ac:dyDescent="0.25">
      <c r="A77" s="2" t="s">
        <v>746</v>
      </c>
      <c r="B77" s="2" t="str">
        <f>VLOOKUP($A77,[2]Projekty!$A$2:$AR$1147,4,0)</f>
        <v>OPKZP-PO1-SC111-2016-10</v>
      </c>
      <c r="C77" s="2" t="str">
        <f>VLOOKUP($A77,[2]Projekty!$A$2:$AR$1147,6,0)</f>
        <v>Obec Spišský Štiavnik</v>
      </c>
      <c r="D77" s="2" t="str">
        <f>VLOOKUP($A77,[2]Projekty!$A$2:$AR$1147,7,0)</f>
        <v>Zlepšenie nakladania s odpadmi v obci Spišský Štiavnik</v>
      </c>
      <c r="E77" s="2" t="str">
        <f>VLOOKUP($A77,[2]Projekty!$A$2:$AR$1147,9,0)</f>
        <v>PO</v>
      </c>
      <c r="F77" s="2" t="str">
        <f>VLOOKUP($A77,[2]Projekty!$A$2:$AR$1147,14,0)</f>
        <v>Mimoriadne ukončený</v>
      </c>
      <c r="G77" s="61">
        <f>VLOOKUP($A77,'[2]Dĺžka realizácie'!$A$2:$AR$1148,8,0)</f>
        <v>43069</v>
      </c>
      <c r="H77" s="18"/>
      <c r="I77" s="18"/>
      <c r="J77" s="18" t="str">
        <f t="shared" si="21"/>
        <v/>
      </c>
      <c r="K77" s="18"/>
      <c r="L77" s="18"/>
      <c r="M77" s="18" t="str">
        <f t="shared" si="22"/>
        <v/>
      </c>
      <c r="N77" s="18"/>
      <c r="O77" s="18"/>
      <c r="P77" s="18" t="str">
        <f t="shared" si="23"/>
        <v/>
      </c>
      <c r="Q77" s="18"/>
      <c r="R77" s="18"/>
      <c r="S77" s="18" t="str">
        <f t="shared" si="24"/>
        <v/>
      </c>
      <c r="T77" s="18">
        <v>145</v>
      </c>
      <c r="U77" s="18"/>
      <c r="V77" s="18">
        <f t="shared" si="25"/>
        <v>145</v>
      </c>
      <c r="W77" s="18"/>
      <c r="X77" s="18"/>
      <c r="Y77" s="18" t="str">
        <f t="shared" si="26"/>
        <v/>
      </c>
      <c r="Z77" s="18"/>
      <c r="AA77" s="18"/>
      <c r="AB77" s="18" t="str">
        <f t="shared" si="27"/>
        <v/>
      </c>
      <c r="AC77" s="18">
        <v>2574</v>
      </c>
      <c r="AD77" s="18"/>
      <c r="AE77" s="18">
        <f t="shared" si="28"/>
        <v>2574</v>
      </c>
      <c r="AF77" s="18"/>
      <c r="AG77" s="18"/>
      <c r="AH77" s="18" t="str">
        <f t="shared" si="29"/>
        <v/>
      </c>
      <c r="AI77" s="18"/>
      <c r="AJ77" s="18"/>
      <c r="AK77" s="18" t="str">
        <f t="shared" si="30"/>
        <v/>
      </c>
      <c r="AL77" s="18"/>
      <c r="AM77" s="18"/>
      <c r="AN77" s="18" t="str">
        <f t="shared" si="31"/>
        <v/>
      </c>
      <c r="AO77" s="18"/>
      <c r="AP77" s="18"/>
      <c r="AQ77" s="18" t="str">
        <f t="shared" si="32"/>
        <v/>
      </c>
      <c r="AR77" s="18">
        <v>5</v>
      </c>
      <c r="AS77" s="18"/>
      <c r="AT77" s="18">
        <f t="shared" si="33"/>
        <v>5</v>
      </c>
      <c r="AU77" s="18"/>
      <c r="AV77" s="18"/>
      <c r="AW77" s="18" t="str">
        <f t="shared" si="34"/>
        <v/>
      </c>
      <c r="AX77" s="18"/>
      <c r="AY77" s="18"/>
      <c r="AZ77" s="18" t="str">
        <f t="shared" si="35"/>
        <v/>
      </c>
      <c r="BA77" s="18">
        <v>145</v>
      </c>
      <c r="BB77" s="18"/>
      <c r="BC77" s="18">
        <f t="shared" si="36"/>
        <v>145</v>
      </c>
      <c r="BD77" s="18"/>
      <c r="BE77" s="18"/>
      <c r="BF77" s="18" t="str">
        <f t="shared" si="37"/>
        <v/>
      </c>
      <c r="BG77" s="18"/>
      <c r="BH77" s="18"/>
      <c r="BI77" s="18" t="str">
        <f t="shared" si="38"/>
        <v/>
      </c>
      <c r="BJ77" s="18"/>
      <c r="BK77" s="18"/>
      <c r="BL77" s="18" t="str">
        <f t="shared" si="39"/>
        <v/>
      </c>
      <c r="BM77" s="18"/>
      <c r="BN77" s="18"/>
      <c r="BO77" s="18" t="str">
        <f t="shared" si="40"/>
        <v/>
      </c>
      <c r="BP77" s="18"/>
      <c r="BQ77" s="18"/>
      <c r="BR77" s="18" t="str">
        <f t="shared" si="41"/>
        <v/>
      </c>
    </row>
    <row r="78" spans="1:70" ht="25.5" x14ac:dyDescent="0.25">
      <c r="A78" s="2" t="s">
        <v>747</v>
      </c>
      <c r="B78" s="2" t="str">
        <f>VLOOKUP($A78,[2]Projekty!$A$2:$AR$1147,4,0)</f>
        <v>OPKZP-PO1-SC111-2016-10</v>
      </c>
      <c r="C78" s="2" t="str">
        <f>VLOOKUP($A78,[2]Projekty!$A$2:$AR$1147,6,0)</f>
        <v>Obec Mostová</v>
      </c>
      <c r="D78" s="2" t="str">
        <f>VLOOKUP($A78,[2]Projekty!$A$2:$AR$1147,7,0)</f>
        <v>Zberný dvor Mostová</v>
      </c>
      <c r="E78" s="2" t="str">
        <f>VLOOKUP($A78,[2]Projekty!$A$2:$AR$1147,9,0)</f>
        <v>TT</v>
      </c>
      <c r="F78" s="2" t="str">
        <f>VLOOKUP($A78,[2]Projekty!$A$2:$AR$1147,14,0)</f>
        <v>Aktivity nezačaté</v>
      </c>
      <c r="G78" s="61">
        <f>VLOOKUP($A78,'[2]Dĺžka realizácie'!$A$2:$AR$1148,8,0)</f>
        <v>43281</v>
      </c>
      <c r="H78" s="18"/>
      <c r="I78" s="18"/>
      <c r="J78" s="18" t="str">
        <f t="shared" si="21"/>
        <v/>
      </c>
      <c r="K78" s="18"/>
      <c r="L78" s="18"/>
      <c r="M78" s="18" t="str">
        <f t="shared" si="22"/>
        <v/>
      </c>
      <c r="N78" s="18"/>
      <c r="O78" s="18"/>
      <c r="P78" s="18" t="str">
        <f t="shared" si="23"/>
        <v/>
      </c>
      <c r="Q78" s="18"/>
      <c r="R78" s="18"/>
      <c r="S78" s="18" t="str">
        <f t="shared" si="24"/>
        <v/>
      </c>
      <c r="T78" s="18">
        <v>100</v>
      </c>
      <c r="U78" s="18"/>
      <c r="V78" s="18">
        <f t="shared" si="25"/>
        <v>100</v>
      </c>
      <c r="W78" s="18"/>
      <c r="X78" s="18"/>
      <c r="Y78" s="18" t="str">
        <f t="shared" si="26"/>
        <v/>
      </c>
      <c r="Z78" s="18"/>
      <c r="AA78" s="18"/>
      <c r="AB78" s="18" t="str">
        <f t="shared" si="27"/>
        <v/>
      </c>
      <c r="AC78" s="18"/>
      <c r="AD78" s="18"/>
      <c r="AE78" s="18" t="str">
        <f t="shared" si="28"/>
        <v/>
      </c>
      <c r="AF78" s="18"/>
      <c r="AG78" s="18"/>
      <c r="AH78" s="18" t="str">
        <f t="shared" si="29"/>
        <v/>
      </c>
      <c r="AI78" s="18"/>
      <c r="AJ78" s="18"/>
      <c r="AK78" s="18" t="str">
        <f t="shared" si="30"/>
        <v/>
      </c>
      <c r="AL78" s="18"/>
      <c r="AM78" s="18"/>
      <c r="AN78" s="18" t="str">
        <f t="shared" si="31"/>
        <v/>
      </c>
      <c r="AO78" s="18"/>
      <c r="AP78" s="18"/>
      <c r="AQ78" s="18" t="str">
        <f t="shared" si="32"/>
        <v/>
      </c>
      <c r="AR78" s="18"/>
      <c r="AS78" s="18"/>
      <c r="AT78" s="18" t="str">
        <f t="shared" si="33"/>
        <v/>
      </c>
      <c r="AU78" s="18"/>
      <c r="AV78" s="18"/>
      <c r="AW78" s="18" t="str">
        <f t="shared" si="34"/>
        <v/>
      </c>
      <c r="AX78" s="18"/>
      <c r="AY78" s="18"/>
      <c r="AZ78" s="18" t="str">
        <f t="shared" si="35"/>
        <v/>
      </c>
      <c r="BA78" s="18">
        <v>100</v>
      </c>
      <c r="BB78" s="18"/>
      <c r="BC78" s="18">
        <f t="shared" si="36"/>
        <v>100</v>
      </c>
      <c r="BD78" s="18"/>
      <c r="BE78" s="18"/>
      <c r="BF78" s="18" t="str">
        <f t="shared" si="37"/>
        <v/>
      </c>
      <c r="BG78" s="18"/>
      <c r="BH78" s="18"/>
      <c r="BI78" s="18" t="str">
        <f t="shared" si="38"/>
        <v/>
      </c>
      <c r="BJ78" s="18"/>
      <c r="BK78" s="18"/>
      <c r="BL78" s="18" t="str">
        <f t="shared" si="39"/>
        <v/>
      </c>
      <c r="BM78" s="18"/>
      <c r="BN78" s="18"/>
      <c r="BO78" s="18" t="str">
        <f t="shared" si="40"/>
        <v/>
      </c>
      <c r="BP78" s="18"/>
      <c r="BQ78" s="18"/>
      <c r="BR78" s="18" t="str">
        <f t="shared" si="41"/>
        <v/>
      </c>
    </row>
    <row r="79" spans="1:70" x14ac:dyDescent="0.25">
      <c r="A79" s="2" t="s">
        <v>710</v>
      </c>
      <c r="B79" s="2" t="str">
        <f>VLOOKUP($A79,[2]Projekty!$A$2:$AR$1147,4,0)</f>
        <v>OPKZP-PO1-SC111-2016-10</v>
      </c>
      <c r="C79" s="2" t="str">
        <f>VLOOKUP($A79,[2]Projekty!$A$2:$AR$1147,6,0)</f>
        <v>Obec Orechová Potôň</v>
      </c>
      <c r="D79" s="2" t="str">
        <f>VLOOKUP($A79,[2]Projekty!$A$2:$AR$1147,7,0)</f>
        <v>Zberný dvor Orechová Potôň</v>
      </c>
      <c r="E79" s="2" t="str">
        <f>VLOOKUP($A79,[2]Projekty!$A$2:$AR$1147,9,0)</f>
        <v>TT</v>
      </c>
      <c r="F79" s="2" t="str">
        <f>VLOOKUP($A79,[2]Projekty!$A$2:$AR$1147,14,0)</f>
        <v>Realizácia</v>
      </c>
      <c r="G79" s="61">
        <f>VLOOKUP($A79,'[2]Dĺžka realizácie'!$A$2:$AR$1148,8,0)</f>
        <v>43100</v>
      </c>
      <c r="H79" s="18"/>
      <c r="I79" s="18"/>
      <c r="J79" s="18" t="str">
        <f t="shared" si="21"/>
        <v/>
      </c>
      <c r="K79" s="18"/>
      <c r="L79" s="18"/>
      <c r="M79" s="18" t="str">
        <f t="shared" si="22"/>
        <v/>
      </c>
      <c r="N79" s="18"/>
      <c r="O79" s="18"/>
      <c r="P79" s="18" t="str">
        <f t="shared" si="23"/>
        <v/>
      </c>
      <c r="Q79" s="18"/>
      <c r="R79" s="18"/>
      <c r="S79" s="18" t="str">
        <f t="shared" si="24"/>
        <v/>
      </c>
      <c r="T79" s="18">
        <v>402.06</v>
      </c>
      <c r="U79" s="18"/>
      <c r="V79" s="18">
        <f t="shared" si="25"/>
        <v>402.06</v>
      </c>
      <c r="W79" s="18"/>
      <c r="X79" s="18"/>
      <c r="Y79" s="18" t="str">
        <f t="shared" si="26"/>
        <v/>
      </c>
      <c r="Z79" s="18"/>
      <c r="AA79" s="18"/>
      <c r="AB79" s="18" t="str">
        <f t="shared" si="27"/>
        <v/>
      </c>
      <c r="AC79" s="18"/>
      <c r="AD79" s="18"/>
      <c r="AE79" s="18" t="str">
        <f t="shared" si="28"/>
        <v/>
      </c>
      <c r="AF79" s="18"/>
      <c r="AG79" s="18"/>
      <c r="AH79" s="18" t="str">
        <f t="shared" si="29"/>
        <v/>
      </c>
      <c r="AI79" s="18"/>
      <c r="AJ79" s="18"/>
      <c r="AK79" s="18" t="str">
        <f t="shared" si="30"/>
        <v/>
      </c>
      <c r="AL79" s="18"/>
      <c r="AM79" s="18"/>
      <c r="AN79" s="18" t="str">
        <f t="shared" si="31"/>
        <v/>
      </c>
      <c r="AO79" s="18"/>
      <c r="AP79" s="18"/>
      <c r="AQ79" s="18" t="str">
        <f t="shared" si="32"/>
        <v/>
      </c>
      <c r="AR79" s="18"/>
      <c r="AS79" s="18"/>
      <c r="AT79" s="18" t="str">
        <f t="shared" si="33"/>
        <v/>
      </c>
      <c r="AU79" s="18"/>
      <c r="AV79" s="18"/>
      <c r="AW79" s="18" t="str">
        <f t="shared" si="34"/>
        <v/>
      </c>
      <c r="AX79" s="18"/>
      <c r="AY79" s="18"/>
      <c r="AZ79" s="18" t="str">
        <f t="shared" si="35"/>
        <v/>
      </c>
      <c r="BA79" s="18">
        <v>402.06</v>
      </c>
      <c r="BB79" s="18"/>
      <c r="BC79" s="18">
        <f t="shared" si="36"/>
        <v>402.06</v>
      </c>
      <c r="BD79" s="18"/>
      <c r="BE79" s="18"/>
      <c r="BF79" s="18" t="str">
        <f t="shared" si="37"/>
        <v/>
      </c>
      <c r="BG79" s="18"/>
      <c r="BH79" s="18"/>
      <c r="BI79" s="18" t="str">
        <f t="shared" si="38"/>
        <v/>
      </c>
      <c r="BJ79" s="18"/>
      <c r="BK79" s="18"/>
      <c r="BL79" s="18" t="str">
        <f t="shared" si="39"/>
        <v/>
      </c>
      <c r="BM79" s="18"/>
      <c r="BN79" s="18"/>
      <c r="BO79" s="18" t="str">
        <f t="shared" si="40"/>
        <v/>
      </c>
      <c r="BP79" s="18"/>
      <c r="BQ79" s="18"/>
      <c r="BR79" s="18" t="str">
        <f t="shared" si="41"/>
        <v/>
      </c>
    </row>
    <row r="80" spans="1:70" ht="25.5" x14ac:dyDescent="0.25">
      <c r="A80" s="2" t="s">
        <v>828</v>
      </c>
      <c r="B80" s="2" t="str">
        <f>VLOOKUP($A80,[2]Projekty!$A$2:$AR$1147,4,0)</f>
        <v>OPKZP-PO1-SC111-2016-10</v>
      </c>
      <c r="C80" s="2" t="str">
        <f>VLOOKUP($A80,[2]Projekty!$A$2:$AR$1147,6,0)</f>
        <v>Obec Močenok</v>
      </c>
      <c r="D80" s="2" t="str">
        <f>VLOOKUP($A80,[2]Projekty!$A$2:$AR$1147,7,0)</f>
        <v>Technologické vybavenie zberného dvora v obci Močenok</v>
      </c>
      <c r="E80" s="2" t="str">
        <f>VLOOKUP($A80,[2]Projekty!$A$2:$AR$1147,9,0)</f>
        <v>NR</v>
      </c>
      <c r="F80" s="2" t="str">
        <f>VLOOKUP($A80,[2]Projekty!$A$2:$AR$1147,14,0)</f>
        <v>Realizácia</v>
      </c>
      <c r="G80" s="61">
        <f>VLOOKUP($A80,'[2]Dĺžka realizácie'!$A$2:$AR$1148,8,0)</f>
        <v>42947</v>
      </c>
      <c r="H80" s="18"/>
      <c r="I80" s="18"/>
      <c r="J80" s="18" t="str">
        <f t="shared" si="21"/>
        <v/>
      </c>
      <c r="K80" s="18"/>
      <c r="L80" s="18"/>
      <c r="M80" s="18" t="str">
        <f t="shared" si="22"/>
        <v/>
      </c>
      <c r="N80" s="18"/>
      <c r="O80" s="18"/>
      <c r="P80" s="18" t="str">
        <f t="shared" si="23"/>
        <v/>
      </c>
      <c r="Q80" s="18"/>
      <c r="R80" s="18"/>
      <c r="S80" s="18" t="str">
        <f t="shared" si="24"/>
        <v/>
      </c>
      <c r="T80" s="18">
        <v>400</v>
      </c>
      <c r="U80" s="18"/>
      <c r="V80" s="18">
        <f t="shared" si="25"/>
        <v>400</v>
      </c>
      <c r="W80" s="18"/>
      <c r="X80" s="18"/>
      <c r="Y80" s="18" t="str">
        <f t="shared" si="26"/>
        <v/>
      </c>
      <c r="Z80" s="18"/>
      <c r="AA80" s="18"/>
      <c r="AB80" s="18" t="str">
        <f t="shared" si="27"/>
        <v/>
      </c>
      <c r="AC80" s="18"/>
      <c r="AD80" s="18"/>
      <c r="AE80" s="18" t="str">
        <f t="shared" si="28"/>
        <v/>
      </c>
      <c r="AF80" s="18"/>
      <c r="AG80" s="18"/>
      <c r="AH80" s="18" t="str">
        <f t="shared" si="29"/>
        <v/>
      </c>
      <c r="AI80" s="18"/>
      <c r="AJ80" s="18"/>
      <c r="AK80" s="18" t="str">
        <f t="shared" si="30"/>
        <v/>
      </c>
      <c r="AL80" s="18"/>
      <c r="AM80" s="18"/>
      <c r="AN80" s="18" t="str">
        <f t="shared" si="31"/>
        <v/>
      </c>
      <c r="AO80" s="18"/>
      <c r="AP80" s="18"/>
      <c r="AQ80" s="18" t="str">
        <f t="shared" si="32"/>
        <v/>
      </c>
      <c r="AR80" s="18"/>
      <c r="AS80" s="18"/>
      <c r="AT80" s="18" t="str">
        <f t="shared" si="33"/>
        <v/>
      </c>
      <c r="AU80" s="18"/>
      <c r="AV80" s="18"/>
      <c r="AW80" s="18" t="str">
        <f t="shared" si="34"/>
        <v/>
      </c>
      <c r="AX80" s="18"/>
      <c r="AY80" s="18"/>
      <c r="AZ80" s="18" t="str">
        <f t="shared" si="35"/>
        <v/>
      </c>
      <c r="BA80" s="18">
        <v>400</v>
      </c>
      <c r="BB80" s="18"/>
      <c r="BC80" s="18">
        <f t="shared" si="36"/>
        <v>400</v>
      </c>
      <c r="BD80" s="18"/>
      <c r="BE80" s="18"/>
      <c r="BF80" s="18" t="str">
        <f t="shared" si="37"/>
        <v/>
      </c>
      <c r="BG80" s="18"/>
      <c r="BH80" s="18"/>
      <c r="BI80" s="18" t="str">
        <f t="shared" si="38"/>
        <v/>
      </c>
      <c r="BJ80" s="18"/>
      <c r="BK80" s="18"/>
      <c r="BL80" s="18" t="str">
        <f t="shared" si="39"/>
        <v/>
      </c>
      <c r="BM80" s="18"/>
      <c r="BN80" s="18"/>
      <c r="BO80" s="18" t="str">
        <f t="shared" si="40"/>
        <v/>
      </c>
      <c r="BP80" s="18"/>
      <c r="BQ80" s="18"/>
      <c r="BR80" s="18" t="str">
        <f t="shared" si="41"/>
        <v/>
      </c>
    </row>
    <row r="81" spans="1:70" ht="25.5" x14ac:dyDescent="0.25">
      <c r="A81" s="2" t="s">
        <v>820</v>
      </c>
      <c r="B81" s="2" t="str">
        <f>VLOOKUP($A81,[2]Projekty!$A$2:$AR$1147,4,0)</f>
        <v>OPKZP-PO1-SC111-2016-10</v>
      </c>
      <c r="C81" s="2" t="str">
        <f>VLOOKUP($A81,[2]Projekty!$A$2:$AR$1147,6,0)</f>
        <v>Obec Lendak</v>
      </c>
      <c r="D81" s="2" t="str">
        <f>VLOOKUP($A81,[2]Projekty!$A$2:$AR$1147,7,0)</f>
        <v>Zabezpečenie triedeného zberu komunálnych odpadov v Lendaku</v>
      </c>
      <c r="E81" s="2" t="str">
        <f>VLOOKUP($A81,[2]Projekty!$A$2:$AR$1147,9,0)</f>
        <v>PO</v>
      </c>
      <c r="F81" s="2" t="str">
        <f>VLOOKUP($A81,[2]Projekty!$A$2:$AR$1147,14,0)</f>
        <v>Realizácia</v>
      </c>
      <c r="G81" s="61">
        <f>VLOOKUP($A81,'[2]Dĺžka realizácie'!$A$2:$AR$1148,8,0)</f>
        <v>43373</v>
      </c>
      <c r="H81" s="18"/>
      <c r="I81" s="18"/>
      <c r="J81" s="18" t="str">
        <f t="shared" si="21"/>
        <v/>
      </c>
      <c r="K81" s="18"/>
      <c r="L81" s="18"/>
      <c r="M81" s="18" t="str">
        <f t="shared" si="22"/>
        <v/>
      </c>
      <c r="N81" s="18"/>
      <c r="O81" s="18"/>
      <c r="P81" s="18" t="str">
        <f t="shared" si="23"/>
        <v/>
      </c>
      <c r="Q81" s="18"/>
      <c r="R81" s="18"/>
      <c r="S81" s="18" t="str">
        <f t="shared" si="24"/>
        <v/>
      </c>
      <c r="T81" s="18">
        <v>577</v>
      </c>
      <c r="U81" s="18"/>
      <c r="V81" s="18">
        <f t="shared" si="25"/>
        <v>577</v>
      </c>
      <c r="W81" s="18"/>
      <c r="X81" s="18"/>
      <c r="Y81" s="18" t="str">
        <f t="shared" si="26"/>
        <v/>
      </c>
      <c r="Z81" s="18"/>
      <c r="AA81" s="18"/>
      <c r="AB81" s="18" t="str">
        <f t="shared" si="27"/>
        <v/>
      </c>
      <c r="AC81" s="18">
        <v>1000</v>
      </c>
      <c r="AD81" s="18"/>
      <c r="AE81" s="18">
        <f t="shared" si="28"/>
        <v>1000</v>
      </c>
      <c r="AF81" s="18"/>
      <c r="AG81" s="18"/>
      <c r="AH81" s="18" t="str">
        <f t="shared" si="29"/>
        <v/>
      </c>
      <c r="AI81" s="18"/>
      <c r="AJ81" s="18"/>
      <c r="AK81" s="18" t="str">
        <f t="shared" si="30"/>
        <v/>
      </c>
      <c r="AL81" s="18"/>
      <c r="AM81" s="18"/>
      <c r="AN81" s="18" t="str">
        <f t="shared" si="31"/>
        <v/>
      </c>
      <c r="AO81" s="18"/>
      <c r="AP81" s="18"/>
      <c r="AQ81" s="18" t="str">
        <f t="shared" si="32"/>
        <v/>
      </c>
      <c r="AR81" s="18">
        <v>3</v>
      </c>
      <c r="AS81" s="18"/>
      <c r="AT81" s="18">
        <f t="shared" si="33"/>
        <v>3</v>
      </c>
      <c r="AU81" s="18"/>
      <c r="AV81" s="18"/>
      <c r="AW81" s="18" t="str">
        <f t="shared" si="34"/>
        <v/>
      </c>
      <c r="AX81" s="18"/>
      <c r="AY81" s="18"/>
      <c r="AZ81" s="18" t="str">
        <f t="shared" si="35"/>
        <v/>
      </c>
      <c r="BA81" s="18">
        <v>577</v>
      </c>
      <c r="BB81" s="18"/>
      <c r="BC81" s="18">
        <f t="shared" si="36"/>
        <v>577</v>
      </c>
      <c r="BD81" s="18"/>
      <c r="BE81" s="18"/>
      <c r="BF81" s="18" t="str">
        <f t="shared" si="37"/>
        <v/>
      </c>
      <c r="BG81" s="18"/>
      <c r="BH81" s="18"/>
      <c r="BI81" s="18" t="str">
        <f t="shared" si="38"/>
        <v/>
      </c>
      <c r="BJ81" s="18"/>
      <c r="BK81" s="18"/>
      <c r="BL81" s="18" t="str">
        <f t="shared" si="39"/>
        <v/>
      </c>
      <c r="BM81" s="18"/>
      <c r="BN81" s="18"/>
      <c r="BO81" s="18" t="str">
        <f t="shared" si="40"/>
        <v/>
      </c>
      <c r="BP81" s="18"/>
      <c r="BQ81" s="18"/>
      <c r="BR81" s="18" t="str">
        <f t="shared" si="41"/>
        <v/>
      </c>
    </row>
    <row r="82" spans="1:70" ht="25.5" x14ac:dyDescent="0.25">
      <c r="A82" s="2" t="s">
        <v>748</v>
      </c>
      <c r="B82" s="2" t="str">
        <f>VLOOKUP($A82,[2]Projekty!$A$2:$AR$1147,4,0)</f>
        <v>OPKZP-PO1-SC111-2016-10</v>
      </c>
      <c r="C82" s="2" t="str">
        <f>VLOOKUP($A82,[2]Projekty!$A$2:$AR$1147,6,0)</f>
        <v>Obec Prašník</v>
      </c>
      <c r="D82" s="2" t="str">
        <f>VLOOKUP($A82,[2]Projekty!$A$2:$AR$1147,7,0)</f>
        <v>Zefektívnenie separovaného zberu komunálneho odpadu v obci Prašník</v>
      </c>
      <c r="E82" s="2" t="str">
        <f>VLOOKUP($A82,[2]Projekty!$A$2:$AR$1147,9,0)</f>
        <v>TT</v>
      </c>
      <c r="F82" s="2" t="str">
        <f>VLOOKUP($A82,[2]Projekty!$A$2:$AR$1147,14,0)</f>
        <v>Aktivity nezačaté</v>
      </c>
      <c r="G82" s="61">
        <f>VLOOKUP($A82,'[2]Dĺžka realizácie'!$A$2:$AR$1148,8,0)</f>
        <v>43343</v>
      </c>
      <c r="H82" s="18"/>
      <c r="I82" s="18"/>
      <c r="J82" s="18" t="str">
        <f t="shared" si="21"/>
        <v/>
      </c>
      <c r="K82" s="18"/>
      <c r="L82" s="18"/>
      <c r="M82" s="18" t="str">
        <f t="shared" si="22"/>
        <v/>
      </c>
      <c r="N82" s="18"/>
      <c r="O82" s="18"/>
      <c r="P82" s="18" t="str">
        <f t="shared" si="23"/>
        <v/>
      </c>
      <c r="Q82" s="18"/>
      <c r="R82" s="18"/>
      <c r="S82" s="18" t="str">
        <f t="shared" si="24"/>
        <v/>
      </c>
      <c r="T82" s="18">
        <v>78</v>
      </c>
      <c r="U82" s="18"/>
      <c r="V82" s="18">
        <f t="shared" si="25"/>
        <v>78</v>
      </c>
      <c r="W82" s="18"/>
      <c r="X82" s="18"/>
      <c r="Y82" s="18" t="str">
        <f t="shared" si="26"/>
        <v/>
      </c>
      <c r="Z82" s="18"/>
      <c r="AA82" s="18"/>
      <c r="AB82" s="18" t="str">
        <f t="shared" si="27"/>
        <v/>
      </c>
      <c r="AC82" s="18"/>
      <c r="AD82" s="18"/>
      <c r="AE82" s="18" t="str">
        <f t="shared" si="28"/>
        <v/>
      </c>
      <c r="AF82" s="18"/>
      <c r="AG82" s="18"/>
      <c r="AH82" s="18" t="str">
        <f t="shared" si="29"/>
        <v/>
      </c>
      <c r="AI82" s="18"/>
      <c r="AJ82" s="18"/>
      <c r="AK82" s="18" t="str">
        <f t="shared" si="30"/>
        <v/>
      </c>
      <c r="AL82" s="18"/>
      <c r="AM82" s="18"/>
      <c r="AN82" s="18" t="str">
        <f t="shared" si="31"/>
        <v/>
      </c>
      <c r="AO82" s="18"/>
      <c r="AP82" s="18"/>
      <c r="AQ82" s="18" t="str">
        <f t="shared" si="32"/>
        <v/>
      </c>
      <c r="AR82" s="18"/>
      <c r="AS82" s="18"/>
      <c r="AT82" s="18" t="str">
        <f t="shared" si="33"/>
        <v/>
      </c>
      <c r="AU82" s="18"/>
      <c r="AV82" s="18"/>
      <c r="AW82" s="18" t="str">
        <f t="shared" si="34"/>
        <v/>
      </c>
      <c r="AX82" s="18"/>
      <c r="AY82" s="18"/>
      <c r="AZ82" s="18" t="str">
        <f t="shared" si="35"/>
        <v/>
      </c>
      <c r="BA82" s="18">
        <v>78</v>
      </c>
      <c r="BB82" s="18"/>
      <c r="BC82" s="18">
        <f t="shared" si="36"/>
        <v>78</v>
      </c>
      <c r="BD82" s="18"/>
      <c r="BE82" s="18"/>
      <c r="BF82" s="18" t="str">
        <f t="shared" si="37"/>
        <v/>
      </c>
      <c r="BG82" s="18"/>
      <c r="BH82" s="18"/>
      <c r="BI82" s="18" t="str">
        <f t="shared" si="38"/>
        <v/>
      </c>
      <c r="BJ82" s="18"/>
      <c r="BK82" s="18"/>
      <c r="BL82" s="18" t="str">
        <f t="shared" si="39"/>
        <v/>
      </c>
      <c r="BM82" s="18"/>
      <c r="BN82" s="18"/>
      <c r="BO82" s="18" t="str">
        <f t="shared" si="40"/>
        <v/>
      </c>
      <c r="BP82" s="18"/>
      <c r="BQ82" s="18"/>
      <c r="BR82" s="18" t="str">
        <f t="shared" si="41"/>
        <v/>
      </c>
    </row>
    <row r="83" spans="1:70" ht="25.5" x14ac:dyDescent="0.25">
      <c r="A83" s="2" t="s">
        <v>668</v>
      </c>
      <c r="B83" s="2" t="str">
        <f>VLOOKUP($A83,[2]Projekty!$A$2:$AR$1147,4,0)</f>
        <v>OPKZP-PO1-SC111-2016-11</v>
      </c>
      <c r="C83" s="2" t="str">
        <f>VLOOKUP($A83,[2]Projekty!$A$2:$AR$1147,6,0)</f>
        <v>Obec Beluša</v>
      </c>
      <c r="D83" s="2" t="str">
        <f>VLOOKUP($A83,[2]Projekty!$A$2:$AR$1147,7,0)</f>
        <v>Podpora zhodnocovania biologicky rozložiteľného komunálneho odpadu v obci Beluša</v>
      </c>
      <c r="E83" s="2" t="str">
        <f>VLOOKUP($A83,[2]Projekty!$A$2:$AR$1147,9,0)</f>
        <v>TN</v>
      </c>
      <c r="F83" s="2" t="str">
        <f>VLOOKUP($A83,[2]Projekty!$A$2:$AR$1147,14,0)</f>
        <v>Riadne ukončený</v>
      </c>
      <c r="G83" s="109">
        <f>VLOOKUP($A83,'[2]Dĺžka realizácie'!$A$2:$AR$1148,8,0)</f>
        <v>42978</v>
      </c>
      <c r="H83" s="18"/>
      <c r="I83" s="18"/>
      <c r="J83" s="18" t="str">
        <f t="shared" si="21"/>
        <v/>
      </c>
      <c r="K83" s="18"/>
      <c r="L83" s="18"/>
      <c r="M83" s="18" t="str">
        <f t="shared" si="22"/>
        <v/>
      </c>
      <c r="N83" s="18"/>
      <c r="O83" s="18"/>
      <c r="P83" s="18" t="str">
        <f t="shared" si="23"/>
        <v/>
      </c>
      <c r="Q83" s="18"/>
      <c r="R83" s="18"/>
      <c r="S83" s="18" t="str">
        <f t="shared" si="24"/>
        <v/>
      </c>
      <c r="T83" s="18"/>
      <c r="U83" s="18"/>
      <c r="V83" s="18" t="str">
        <f t="shared" si="25"/>
        <v/>
      </c>
      <c r="W83" s="18">
        <v>139.5</v>
      </c>
      <c r="X83" s="18"/>
      <c r="Y83" s="18">
        <f t="shared" si="26"/>
        <v>0</v>
      </c>
      <c r="Z83" s="18"/>
      <c r="AA83" s="18"/>
      <c r="AB83" s="18" t="str">
        <f t="shared" si="27"/>
        <v/>
      </c>
      <c r="AC83" s="18"/>
      <c r="AD83" s="18"/>
      <c r="AE83" s="18" t="str">
        <f t="shared" si="28"/>
        <v/>
      </c>
      <c r="AF83" s="18"/>
      <c r="AG83" s="18"/>
      <c r="AH83" s="18" t="str">
        <f t="shared" si="29"/>
        <v/>
      </c>
      <c r="AI83" s="18"/>
      <c r="AJ83" s="18"/>
      <c r="AK83" s="18" t="str">
        <f t="shared" si="30"/>
        <v/>
      </c>
      <c r="AL83" s="18"/>
      <c r="AM83" s="18"/>
      <c r="AN83" s="18" t="str">
        <f t="shared" si="31"/>
        <v/>
      </c>
      <c r="AO83" s="18"/>
      <c r="AP83" s="18"/>
      <c r="AQ83" s="18" t="str">
        <f t="shared" si="32"/>
        <v/>
      </c>
      <c r="AR83" s="18"/>
      <c r="AS83" s="18"/>
      <c r="AT83" s="18" t="str">
        <f t="shared" si="33"/>
        <v/>
      </c>
      <c r="AU83" s="18"/>
      <c r="AV83" s="18"/>
      <c r="AW83" s="18" t="str">
        <f t="shared" si="34"/>
        <v/>
      </c>
      <c r="AX83" s="18"/>
      <c r="AY83" s="18"/>
      <c r="AZ83" s="18" t="str">
        <f t="shared" si="35"/>
        <v/>
      </c>
      <c r="BA83" s="18"/>
      <c r="BB83" s="18"/>
      <c r="BC83" s="18" t="str">
        <f t="shared" si="36"/>
        <v/>
      </c>
      <c r="BD83" s="18">
        <v>120</v>
      </c>
      <c r="BE83" s="106">
        <v>120</v>
      </c>
      <c r="BF83" s="18">
        <f t="shared" si="37"/>
        <v>120</v>
      </c>
      <c r="BG83" s="18"/>
      <c r="BH83" s="18"/>
      <c r="BI83" s="18" t="str">
        <f t="shared" si="38"/>
        <v/>
      </c>
      <c r="BJ83" s="18"/>
      <c r="BK83" s="18"/>
      <c r="BL83" s="18" t="str">
        <f t="shared" si="39"/>
        <v/>
      </c>
      <c r="BM83" s="18"/>
      <c r="BN83" s="18"/>
      <c r="BO83" s="18" t="str">
        <f t="shared" si="40"/>
        <v/>
      </c>
      <c r="BP83" s="18"/>
      <c r="BQ83" s="18"/>
      <c r="BR83" s="18" t="str">
        <f t="shared" si="41"/>
        <v/>
      </c>
    </row>
    <row r="84" spans="1:70" ht="25.5" x14ac:dyDescent="0.25">
      <c r="A84" s="2" t="s">
        <v>788</v>
      </c>
      <c r="B84" s="2" t="str">
        <f>VLOOKUP($A84,[2]Projekty!$A$2:$AR$1147,4,0)</f>
        <v>OPKZP-PO1-SC111-2016-10</v>
      </c>
      <c r="C84" s="2" t="str">
        <f>VLOOKUP($A84,[2]Projekty!$A$2:$AR$1147,6,0)</f>
        <v>Obec Horná Mariková</v>
      </c>
      <c r="D84" s="2" t="str">
        <f>VLOOKUP($A84,[2]Projekty!$A$2:$AR$1147,7,0)</f>
        <v>Podpora triedeného zberu komunálnych odpadov v obci Horná Mariková</v>
      </c>
      <c r="E84" s="2" t="str">
        <f>VLOOKUP($A84,[2]Projekty!$A$2:$AR$1147,9,0)</f>
        <v>TN</v>
      </c>
      <c r="F84" s="2" t="str">
        <f>VLOOKUP($A84,[2]Projekty!$A$2:$AR$1147,14,0)</f>
        <v>Realizácia</v>
      </c>
      <c r="G84" s="108">
        <f>VLOOKUP($A84,'[2]Dĺžka realizácie'!$A$2:$AR$1148,8,0)</f>
        <v>42978</v>
      </c>
      <c r="H84" s="18"/>
      <c r="I84" s="18"/>
      <c r="J84" s="18" t="str">
        <f t="shared" si="21"/>
        <v/>
      </c>
      <c r="K84" s="18"/>
      <c r="L84" s="18"/>
      <c r="M84" s="18" t="str">
        <f t="shared" si="22"/>
        <v/>
      </c>
      <c r="N84" s="18"/>
      <c r="O84" s="18"/>
      <c r="P84" s="18" t="str">
        <f t="shared" si="23"/>
        <v/>
      </c>
      <c r="Q84" s="18"/>
      <c r="R84" s="18"/>
      <c r="S84" s="18" t="str">
        <f t="shared" si="24"/>
        <v/>
      </c>
      <c r="T84" s="18">
        <v>135.94</v>
      </c>
      <c r="U84" s="18"/>
      <c r="V84" s="18">
        <f t="shared" si="25"/>
        <v>135.94</v>
      </c>
      <c r="W84" s="18"/>
      <c r="X84" s="18"/>
      <c r="Y84" s="18" t="str">
        <f t="shared" si="26"/>
        <v/>
      </c>
      <c r="Z84" s="18"/>
      <c r="AA84" s="18"/>
      <c r="AB84" s="18" t="str">
        <f t="shared" si="27"/>
        <v/>
      </c>
      <c r="AC84" s="18"/>
      <c r="AD84" s="18"/>
      <c r="AE84" s="18" t="str">
        <f t="shared" si="28"/>
        <v/>
      </c>
      <c r="AF84" s="18"/>
      <c r="AG84" s="18"/>
      <c r="AH84" s="18" t="str">
        <f t="shared" si="29"/>
        <v/>
      </c>
      <c r="AI84" s="18"/>
      <c r="AJ84" s="18"/>
      <c r="AK84" s="18" t="str">
        <f t="shared" si="30"/>
        <v/>
      </c>
      <c r="AL84" s="18"/>
      <c r="AM84" s="18"/>
      <c r="AN84" s="18" t="str">
        <f t="shared" si="31"/>
        <v/>
      </c>
      <c r="AO84" s="18"/>
      <c r="AP84" s="18"/>
      <c r="AQ84" s="18" t="str">
        <f t="shared" si="32"/>
        <v/>
      </c>
      <c r="AR84" s="18"/>
      <c r="AS84" s="18"/>
      <c r="AT84" s="18" t="str">
        <f t="shared" si="33"/>
        <v/>
      </c>
      <c r="AU84" s="18"/>
      <c r="AV84" s="18"/>
      <c r="AW84" s="18" t="str">
        <f t="shared" si="34"/>
        <v/>
      </c>
      <c r="AX84" s="18"/>
      <c r="AY84" s="18"/>
      <c r="AZ84" s="18" t="str">
        <f t="shared" si="35"/>
        <v/>
      </c>
      <c r="BA84" s="18">
        <v>135.94</v>
      </c>
      <c r="BB84" s="107"/>
      <c r="BC84" s="18">
        <f t="shared" si="36"/>
        <v>135.94</v>
      </c>
      <c r="BD84" s="18"/>
      <c r="BE84" s="18"/>
      <c r="BF84" s="18" t="str">
        <f t="shared" si="37"/>
        <v/>
      </c>
      <c r="BG84" s="18"/>
      <c r="BH84" s="18"/>
      <c r="BI84" s="18" t="str">
        <f t="shared" si="38"/>
        <v/>
      </c>
      <c r="BJ84" s="18"/>
      <c r="BK84" s="18"/>
      <c r="BL84" s="18" t="str">
        <f t="shared" si="39"/>
        <v/>
      </c>
      <c r="BM84" s="18"/>
      <c r="BN84" s="18"/>
      <c r="BO84" s="18" t="str">
        <f t="shared" si="40"/>
        <v/>
      </c>
      <c r="BP84" s="18"/>
      <c r="BQ84" s="18"/>
      <c r="BR84" s="18" t="str">
        <f t="shared" si="41"/>
        <v/>
      </c>
    </row>
    <row r="85" spans="1:70" ht="25.5" x14ac:dyDescent="0.25">
      <c r="A85" s="2" t="s">
        <v>770</v>
      </c>
      <c r="B85" s="2" t="str">
        <f>VLOOKUP($A85,[2]Projekty!$A$2:$AR$1147,4,0)</f>
        <v>OPKZP-PO1-SC111-2016-11</v>
      </c>
      <c r="C85" s="2" t="str">
        <f>VLOOKUP($A85,[2]Projekty!$A$2:$AR$1147,6,0)</f>
        <v>Mesto Bardejov</v>
      </c>
      <c r="D85" s="2" t="str">
        <f>VLOOKUP($A85,[2]Projekty!$A$2:$AR$1147,7,0)</f>
        <v>Regionálne centrum zhodnocovania biologicky rozložiteľných odpadov</v>
      </c>
      <c r="E85" s="2" t="str">
        <f>VLOOKUP($A85,[2]Projekty!$A$2:$AR$1147,9,0)</f>
        <v>PO</v>
      </c>
      <c r="F85" s="2" t="str">
        <f>VLOOKUP($A85,[2]Projekty!$A$2:$AR$1147,14,0)</f>
        <v>Aktivity nezačaté</v>
      </c>
      <c r="G85" s="61">
        <f>VLOOKUP($A85,'[2]Dĺžka realizácie'!$A$2:$AR$1148,8,0)</f>
        <v>43404</v>
      </c>
      <c r="H85" s="18"/>
      <c r="I85" s="18"/>
      <c r="J85" s="18" t="str">
        <f t="shared" si="21"/>
        <v/>
      </c>
      <c r="K85" s="18"/>
      <c r="L85" s="18"/>
      <c r="M85" s="18" t="str">
        <f t="shared" si="22"/>
        <v/>
      </c>
      <c r="N85" s="18"/>
      <c r="O85" s="18"/>
      <c r="P85" s="18" t="str">
        <f t="shared" si="23"/>
        <v/>
      </c>
      <c r="Q85" s="18"/>
      <c r="R85" s="18"/>
      <c r="S85" s="18" t="str">
        <f t="shared" si="24"/>
        <v/>
      </c>
      <c r="T85" s="18"/>
      <c r="U85" s="18"/>
      <c r="V85" s="18" t="str">
        <f t="shared" si="25"/>
        <v/>
      </c>
      <c r="W85" s="18">
        <v>3000</v>
      </c>
      <c r="X85" s="18"/>
      <c r="Y85" s="18">
        <f t="shared" si="26"/>
        <v>3000</v>
      </c>
      <c r="Z85" s="18"/>
      <c r="AA85" s="18"/>
      <c r="AB85" s="18" t="str">
        <f t="shared" si="27"/>
        <v/>
      </c>
      <c r="AC85" s="18"/>
      <c r="AD85" s="18"/>
      <c r="AE85" s="18" t="str">
        <f t="shared" si="28"/>
        <v/>
      </c>
      <c r="AF85" s="18"/>
      <c r="AG85" s="18"/>
      <c r="AH85" s="18" t="str">
        <f t="shared" si="29"/>
        <v/>
      </c>
      <c r="AI85" s="18"/>
      <c r="AJ85" s="18"/>
      <c r="AK85" s="18" t="str">
        <f t="shared" si="30"/>
        <v/>
      </c>
      <c r="AL85" s="18"/>
      <c r="AM85" s="18"/>
      <c r="AN85" s="18" t="str">
        <f t="shared" si="31"/>
        <v/>
      </c>
      <c r="AO85" s="18"/>
      <c r="AP85" s="18"/>
      <c r="AQ85" s="18" t="str">
        <f t="shared" si="32"/>
        <v/>
      </c>
      <c r="AR85" s="18"/>
      <c r="AS85" s="18"/>
      <c r="AT85" s="18" t="str">
        <f t="shared" si="33"/>
        <v/>
      </c>
      <c r="AU85" s="18"/>
      <c r="AV85" s="18"/>
      <c r="AW85" s="18" t="str">
        <f t="shared" si="34"/>
        <v/>
      </c>
      <c r="AX85" s="18"/>
      <c r="AY85" s="18"/>
      <c r="AZ85" s="18" t="str">
        <f t="shared" si="35"/>
        <v/>
      </c>
      <c r="BA85" s="18"/>
      <c r="BB85" s="18"/>
      <c r="BC85" s="18" t="str">
        <f t="shared" si="36"/>
        <v/>
      </c>
      <c r="BD85" s="18">
        <v>4000</v>
      </c>
      <c r="BE85" s="18"/>
      <c r="BF85" s="18">
        <f t="shared" si="37"/>
        <v>4000</v>
      </c>
      <c r="BG85" s="18"/>
      <c r="BH85" s="18"/>
      <c r="BI85" s="18" t="str">
        <f t="shared" si="38"/>
        <v/>
      </c>
      <c r="BJ85" s="18"/>
      <c r="BK85" s="18"/>
      <c r="BL85" s="18" t="str">
        <f t="shared" si="39"/>
        <v/>
      </c>
      <c r="BM85" s="18"/>
      <c r="BN85" s="18"/>
      <c r="BO85" s="18" t="str">
        <f t="shared" si="40"/>
        <v/>
      </c>
      <c r="BP85" s="18"/>
      <c r="BQ85" s="18"/>
      <c r="BR85" s="18" t="str">
        <f t="shared" si="41"/>
        <v/>
      </c>
    </row>
    <row r="86" spans="1:70" x14ac:dyDescent="0.25">
      <c r="A86" s="2" t="s">
        <v>749</v>
      </c>
      <c r="B86" s="2" t="str">
        <f>VLOOKUP($A86,[2]Projekty!$A$2:$AR$1147,4,0)</f>
        <v>OPKZP-PO1-SC111-2016-10</v>
      </c>
      <c r="C86" s="2" t="str">
        <f>VLOOKUP($A86,[2]Projekty!$A$2:$AR$1147,6,0)</f>
        <v>Obec Golianovo</v>
      </c>
      <c r="D86" s="2" t="str">
        <f>VLOOKUP($A86,[2]Projekty!$A$2:$AR$1147,7,0)</f>
        <v>Technológia pre triedený zber v obci Golianovo</v>
      </c>
      <c r="E86" s="2" t="str">
        <f>VLOOKUP($A86,[2]Projekty!$A$2:$AR$1147,9,0)</f>
        <v>NR</v>
      </c>
      <c r="F86" s="2" t="str">
        <f>VLOOKUP($A86,[2]Projekty!$A$2:$AR$1147,14,0)</f>
        <v>Realizácia</v>
      </c>
      <c r="G86" s="61">
        <f>VLOOKUP($A86,'[2]Dĺžka realizácie'!$A$2:$AR$1148,8,0)</f>
        <v>43100</v>
      </c>
      <c r="H86" s="18"/>
      <c r="I86" s="18"/>
      <c r="J86" s="18" t="str">
        <f t="shared" si="21"/>
        <v/>
      </c>
      <c r="K86" s="18"/>
      <c r="L86" s="18"/>
      <c r="M86" s="18" t="str">
        <f t="shared" si="22"/>
        <v/>
      </c>
      <c r="N86" s="18"/>
      <c r="O86" s="18"/>
      <c r="P86" s="18" t="str">
        <f t="shared" si="23"/>
        <v/>
      </c>
      <c r="Q86" s="18"/>
      <c r="R86" s="18"/>
      <c r="S86" s="18" t="str">
        <f t="shared" si="24"/>
        <v/>
      </c>
      <c r="T86" s="18">
        <v>110</v>
      </c>
      <c r="U86" s="18"/>
      <c r="V86" s="18">
        <f t="shared" si="25"/>
        <v>110</v>
      </c>
      <c r="W86" s="18"/>
      <c r="X86" s="18"/>
      <c r="Y86" s="18" t="str">
        <f t="shared" si="26"/>
        <v/>
      </c>
      <c r="Z86" s="18"/>
      <c r="AA86" s="18"/>
      <c r="AB86" s="18" t="str">
        <f t="shared" si="27"/>
        <v/>
      </c>
      <c r="AC86" s="18"/>
      <c r="AD86" s="18"/>
      <c r="AE86" s="18" t="str">
        <f t="shared" si="28"/>
        <v/>
      </c>
      <c r="AF86" s="18"/>
      <c r="AG86" s="18"/>
      <c r="AH86" s="18" t="str">
        <f t="shared" si="29"/>
        <v/>
      </c>
      <c r="AI86" s="18"/>
      <c r="AJ86" s="18"/>
      <c r="AK86" s="18" t="str">
        <f t="shared" si="30"/>
        <v/>
      </c>
      <c r="AL86" s="18"/>
      <c r="AM86" s="18"/>
      <c r="AN86" s="18" t="str">
        <f t="shared" si="31"/>
        <v/>
      </c>
      <c r="AO86" s="18"/>
      <c r="AP86" s="18"/>
      <c r="AQ86" s="18" t="str">
        <f t="shared" si="32"/>
        <v/>
      </c>
      <c r="AR86" s="18"/>
      <c r="AS86" s="18"/>
      <c r="AT86" s="18" t="str">
        <f t="shared" si="33"/>
        <v/>
      </c>
      <c r="AU86" s="18"/>
      <c r="AV86" s="18"/>
      <c r="AW86" s="18" t="str">
        <f t="shared" si="34"/>
        <v/>
      </c>
      <c r="AX86" s="18"/>
      <c r="AY86" s="18"/>
      <c r="AZ86" s="18" t="str">
        <f t="shared" si="35"/>
        <v/>
      </c>
      <c r="BA86" s="18">
        <v>110</v>
      </c>
      <c r="BB86" s="18"/>
      <c r="BC86" s="18">
        <f t="shared" si="36"/>
        <v>110</v>
      </c>
      <c r="BD86" s="18"/>
      <c r="BE86" s="18"/>
      <c r="BF86" s="18" t="str">
        <f t="shared" si="37"/>
        <v/>
      </c>
      <c r="BG86" s="18"/>
      <c r="BH86" s="18"/>
      <c r="BI86" s="18" t="str">
        <f t="shared" si="38"/>
        <v/>
      </c>
      <c r="BJ86" s="18"/>
      <c r="BK86" s="18"/>
      <c r="BL86" s="18" t="str">
        <f t="shared" si="39"/>
        <v/>
      </c>
      <c r="BM86" s="18"/>
      <c r="BN86" s="18"/>
      <c r="BO86" s="18" t="str">
        <f t="shared" si="40"/>
        <v/>
      </c>
      <c r="BP86" s="18"/>
      <c r="BQ86" s="18"/>
      <c r="BR86" s="18" t="str">
        <f t="shared" si="41"/>
        <v/>
      </c>
    </row>
    <row r="87" spans="1:70" ht="25.5" x14ac:dyDescent="0.25">
      <c r="A87" s="2" t="s">
        <v>750</v>
      </c>
      <c r="B87" s="2" t="str">
        <f>VLOOKUP($A87,[2]Projekty!$A$2:$AR$1147,4,0)</f>
        <v>OPKZP-PO1-SC111-2016-11</v>
      </c>
      <c r="C87" s="2" t="str">
        <f>VLOOKUP($A87,[2]Projekty!$A$2:$AR$1147,6,0)</f>
        <v>TEKOS, spol. s r.o.</v>
      </c>
      <c r="D87" s="2" t="str">
        <f>VLOOKUP($A87,[2]Projekty!$A$2:$AR$1147,7,0)</f>
        <v>Zefektívnenie zberu BRO a DSO v okrese Malacky</v>
      </c>
      <c r="E87" s="2" t="str">
        <f>VLOOKUP($A87,[2]Projekty!$A$2:$AR$1147,9,0)</f>
        <v>BA</v>
      </c>
      <c r="F87" s="2" t="str">
        <f>VLOOKUP($A87,[2]Projekty!$A$2:$AR$1147,14,0)</f>
        <v>Aktivity nezačaté</v>
      </c>
      <c r="G87" s="61">
        <f>VLOOKUP($A87,'[2]Dĺžka realizácie'!$A$2:$AR$1148,8,0)</f>
        <v>43524</v>
      </c>
      <c r="H87" s="18"/>
      <c r="I87" s="18"/>
      <c r="J87" s="18" t="str">
        <f t="shared" si="21"/>
        <v/>
      </c>
      <c r="K87" s="18"/>
      <c r="L87" s="18"/>
      <c r="M87" s="18" t="str">
        <f t="shared" si="22"/>
        <v/>
      </c>
      <c r="N87" s="18"/>
      <c r="O87" s="18"/>
      <c r="P87" s="18" t="str">
        <f t="shared" si="23"/>
        <v/>
      </c>
      <c r="Q87" s="18"/>
      <c r="R87" s="18"/>
      <c r="S87" s="18" t="str">
        <f t="shared" si="24"/>
        <v/>
      </c>
      <c r="T87" s="18">
        <v>2017.17</v>
      </c>
      <c r="U87" s="18"/>
      <c r="V87" s="18">
        <f t="shared" si="25"/>
        <v>0</v>
      </c>
      <c r="W87" s="18"/>
      <c r="X87" s="18"/>
      <c r="Y87" s="18" t="str">
        <f t="shared" si="26"/>
        <v/>
      </c>
      <c r="Z87" s="18"/>
      <c r="AA87" s="18"/>
      <c r="AB87" s="18" t="str">
        <f t="shared" si="27"/>
        <v/>
      </c>
      <c r="AC87" s="18"/>
      <c r="AD87" s="18"/>
      <c r="AE87" s="18" t="str">
        <f t="shared" si="28"/>
        <v/>
      </c>
      <c r="AF87" s="18"/>
      <c r="AG87" s="18"/>
      <c r="AH87" s="18" t="str">
        <f t="shared" si="29"/>
        <v/>
      </c>
      <c r="AI87" s="18"/>
      <c r="AJ87" s="18"/>
      <c r="AK87" s="18" t="str">
        <f t="shared" si="30"/>
        <v/>
      </c>
      <c r="AL87" s="18"/>
      <c r="AM87" s="18"/>
      <c r="AN87" s="18" t="str">
        <f t="shared" si="31"/>
        <v/>
      </c>
      <c r="AO87" s="18"/>
      <c r="AP87" s="18"/>
      <c r="AQ87" s="18" t="str">
        <f t="shared" si="32"/>
        <v/>
      </c>
      <c r="AR87" s="18"/>
      <c r="AS87" s="18"/>
      <c r="AT87" s="18" t="str">
        <f t="shared" si="33"/>
        <v/>
      </c>
      <c r="AU87" s="18"/>
      <c r="AV87" s="18"/>
      <c r="AW87" s="18" t="str">
        <f t="shared" si="34"/>
        <v/>
      </c>
      <c r="AX87" s="18"/>
      <c r="AY87" s="18"/>
      <c r="AZ87" s="18" t="str">
        <f t="shared" si="35"/>
        <v/>
      </c>
      <c r="BA87" s="18">
        <v>2017.17</v>
      </c>
      <c r="BB87" s="18"/>
      <c r="BC87" s="18">
        <f t="shared" si="36"/>
        <v>0</v>
      </c>
      <c r="BD87" s="18"/>
      <c r="BE87" s="18"/>
      <c r="BF87" s="18" t="str">
        <f t="shared" si="37"/>
        <v/>
      </c>
      <c r="BG87" s="18"/>
      <c r="BH87" s="18"/>
      <c r="BI87" s="18" t="str">
        <f t="shared" si="38"/>
        <v/>
      </c>
      <c r="BJ87" s="18"/>
      <c r="BK87" s="18"/>
      <c r="BL87" s="18" t="str">
        <f t="shared" si="39"/>
        <v/>
      </c>
      <c r="BM87" s="18"/>
      <c r="BN87" s="18"/>
      <c r="BO87" s="18" t="str">
        <f t="shared" si="40"/>
        <v/>
      </c>
      <c r="BP87" s="18"/>
      <c r="BQ87" s="18"/>
      <c r="BR87" s="18" t="str">
        <f t="shared" si="41"/>
        <v/>
      </c>
    </row>
    <row r="88" spans="1:70" ht="25.5" x14ac:dyDescent="0.25">
      <c r="A88" s="2" t="s">
        <v>812</v>
      </c>
      <c r="B88" s="2" t="str">
        <f>VLOOKUP($A88,[2]Projekty!$A$2:$AR$1147,4,0)</f>
        <v>OPKZP-PO1-SC111-2016-10</v>
      </c>
      <c r="C88" s="2" t="str">
        <f>VLOOKUP($A88,[2]Projekty!$A$2:$AR$1147,6,0)</f>
        <v>Mesto Krupina</v>
      </c>
      <c r="D88" s="2" t="str">
        <f>VLOOKUP($A88,[2]Projekty!$A$2:$AR$1147,7,0)</f>
        <v>Podpora triedeného zberu komunálnych odpadov -mesto Krupina</v>
      </c>
      <c r="E88" s="2" t="str">
        <f>VLOOKUP($A88,[2]Projekty!$A$2:$AR$1147,9,0)</f>
        <v>BB</v>
      </c>
      <c r="F88" s="2" t="str">
        <f>VLOOKUP($A88,[2]Projekty!$A$2:$AR$1147,14,0)</f>
        <v>Aktivity nezačaté</v>
      </c>
      <c r="G88" s="61">
        <f>VLOOKUP($A88,'[2]Dĺžka realizácie'!$A$2:$AR$1148,8,0)</f>
        <v>43343</v>
      </c>
      <c r="H88" s="18"/>
      <c r="I88" s="18"/>
      <c r="J88" s="18" t="str">
        <f t="shared" si="21"/>
        <v/>
      </c>
      <c r="K88" s="18"/>
      <c r="L88" s="18"/>
      <c r="M88" s="18" t="str">
        <f t="shared" si="22"/>
        <v/>
      </c>
      <c r="N88" s="18"/>
      <c r="O88" s="18"/>
      <c r="P88" s="18" t="str">
        <f t="shared" si="23"/>
        <v/>
      </c>
      <c r="Q88" s="18"/>
      <c r="R88" s="18"/>
      <c r="S88" s="18" t="str">
        <f t="shared" si="24"/>
        <v/>
      </c>
      <c r="T88" s="18">
        <v>250</v>
      </c>
      <c r="U88" s="18"/>
      <c r="V88" s="18">
        <f t="shared" si="25"/>
        <v>250</v>
      </c>
      <c r="W88" s="18"/>
      <c r="X88" s="18"/>
      <c r="Y88" s="18" t="str">
        <f t="shared" si="26"/>
        <v/>
      </c>
      <c r="Z88" s="18"/>
      <c r="AA88" s="18"/>
      <c r="AB88" s="18" t="str">
        <f t="shared" si="27"/>
        <v/>
      </c>
      <c r="AC88" s="18"/>
      <c r="AD88" s="18"/>
      <c r="AE88" s="18" t="str">
        <f t="shared" si="28"/>
        <v/>
      </c>
      <c r="AF88" s="18"/>
      <c r="AG88" s="18"/>
      <c r="AH88" s="18" t="str">
        <f t="shared" si="29"/>
        <v/>
      </c>
      <c r="AI88" s="18"/>
      <c r="AJ88" s="18"/>
      <c r="AK88" s="18" t="str">
        <f t="shared" si="30"/>
        <v/>
      </c>
      <c r="AL88" s="18"/>
      <c r="AM88" s="18"/>
      <c r="AN88" s="18" t="str">
        <f t="shared" si="31"/>
        <v/>
      </c>
      <c r="AO88" s="18"/>
      <c r="AP88" s="18"/>
      <c r="AQ88" s="18" t="str">
        <f t="shared" si="32"/>
        <v/>
      </c>
      <c r="AR88" s="18"/>
      <c r="AS88" s="18"/>
      <c r="AT88" s="18" t="str">
        <f t="shared" si="33"/>
        <v/>
      </c>
      <c r="AU88" s="18"/>
      <c r="AV88" s="18"/>
      <c r="AW88" s="18" t="str">
        <f t="shared" si="34"/>
        <v/>
      </c>
      <c r="AX88" s="18"/>
      <c r="AY88" s="18"/>
      <c r="AZ88" s="18" t="str">
        <f t="shared" si="35"/>
        <v/>
      </c>
      <c r="BA88" s="18">
        <v>250</v>
      </c>
      <c r="BB88" s="18"/>
      <c r="BC88" s="18">
        <f t="shared" si="36"/>
        <v>250</v>
      </c>
      <c r="BD88" s="18"/>
      <c r="BE88" s="18"/>
      <c r="BF88" s="18" t="str">
        <f t="shared" si="37"/>
        <v/>
      </c>
      <c r="BG88" s="18"/>
      <c r="BH88" s="18"/>
      <c r="BI88" s="18" t="str">
        <f t="shared" si="38"/>
        <v/>
      </c>
      <c r="BJ88" s="18"/>
      <c r="BK88" s="18"/>
      <c r="BL88" s="18" t="str">
        <f t="shared" si="39"/>
        <v/>
      </c>
      <c r="BM88" s="18"/>
      <c r="BN88" s="18"/>
      <c r="BO88" s="18" t="str">
        <f t="shared" si="40"/>
        <v/>
      </c>
      <c r="BP88" s="18"/>
      <c r="BQ88" s="18"/>
      <c r="BR88" s="18" t="str">
        <f t="shared" si="41"/>
        <v/>
      </c>
    </row>
    <row r="89" spans="1:70" ht="25.5" x14ac:dyDescent="0.25">
      <c r="A89" s="2" t="s">
        <v>751</v>
      </c>
      <c r="B89" s="2" t="str">
        <f>VLOOKUP($A89,[2]Projekty!$A$2:$AR$1147,4,0)</f>
        <v>OPKZP-PO1-SC111-2016-11</v>
      </c>
      <c r="C89" s="2" t="str">
        <f>VLOOKUP($A89,[2]Projekty!$A$2:$AR$1147,6,0)</f>
        <v>Mesto Ružomberok</v>
      </c>
      <c r="D89" s="2" t="str">
        <f>VLOOKUP($A89,[2]Projekty!$A$2:$AR$1147,7,0)</f>
        <v>Zhodnocovanie biologicky rozložiteľného odpadu Ružomberok</v>
      </c>
      <c r="E89" s="2" t="str">
        <f>VLOOKUP($A89,[2]Projekty!$A$2:$AR$1147,9,0)</f>
        <v>ZA</v>
      </c>
      <c r="F89" s="2" t="str">
        <f>VLOOKUP($A89,[2]Projekty!$A$2:$AR$1147,14,0)</f>
        <v>Aktivity nezačaté</v>
      </c>
      <c r="G89" s="61">
        <f>VLOOKUP($A89,'[2]Dĺžka realizácie'!$A$2:$AR$1148,8,0)</f>
        <v>43343</v>
      </c>
      <c r="H89" s="18"/>
      <c r="I89" s="18"/>
      <c r="J89" s="18" t="str">
        <f t="shared" si="21"/>
        <v/>
      </c>
      <c r="K89" s="18"/>
      <c r="L89" s="18"/>
      <c r="M89" s="18" t="str">
        <f t="shared" si="22"/>
        <v/>
      </c>
      <c r="N89" s="18"/>
      <c r="O89" s="18"/>
      <c r="P89" s="18" t="str">
        <f t="shared" si="23"/>
        <v/>
      </c>
      <c r="Q89" s="18"/>
      <c r="R89" s="18"/>
      <c r="S89" s="18" t="str">
        <f t="shared" si="24"/>
        <v/>
      </c>
      <c r="T89" s="18"/>
      <c r="U89" s="18"/>
      <c r="V89" s="18" t="str">
        <f t="shared" si="25"/>
        <v/>
      </c>
      <c r="W89" s="18">
        <v>3600</v>
      </c>
      <c r="X89" s="18"/>
      <c r="Y89" s="18">
        <f t="shared" si="26"/>
        <v>3600</v>
      </c>
      <c r="Z89" s="18"/>
      <c r="AA89" s="18"/>
      <c r="AB89" s="18" t="str">
        <f t="shared" si="27"/>
        <v/>
      </c>
      <c r="AC89" s="18"/>
      <c r="AD89" s="18"/>
      <c r="AE89" s="18" t="str">
        <f t="shared" si="28"/>
        <v/>
      </c>
      <c r="AF89" s="18"/>
      <c r="AG89" s="18"/>
      <c r="AH89" s="18" t="str">
        <f t="shared" si="29"/>
        <v/>
      </c>
      <c r="AI89" s="18"/>
      <c r="AJ89" s="18"/>
      <c r="AK89" s="18" t="str">
        <f t="shared" si="30"/>
        <v/>
      </c>
      <c r="AL89" s="18"/>
      <c r="AM89" s="18"/>
      <c r="AN89" s="18" t="str">
        <f t="shared" si="31"/>
        <v/>
      </c>
      <c r="AO89" s="18"/>
      <c r="AP89" s="18"/>
      <c r="AQ89" s="18" t="str">
        <f t="shared" si="32"/>
        <v/>
      </c>
      <c r="AR89" s="18"/>
      <c r="AS89" s="18"/>
      <c r="AT89" s="18" t="str">
        <f t="shared" si="33"/>
        <v/>
      </c>
      <c r="AU89" s="18"/>
      <c r="AV89" s="18"/>
      <c r="AW89" s="18" t="str">
        <f t="shared" si="34"/>
        <v/>
      </c>
      <c r="AX89" s="18"/>
      <c r="AY89" s="18"/>
      <c r="AZ89" s="18" t="str">
        <f t="shared" si="35"/>
        <v/>
      </c>
      <c r="BA89" s="18"/>
      <c r="BB89" s="18"/>
      <c r="BC89" s="18" t="str">
        <f t="shared" si="36"/>
        <v/>
      </c>
      <c r="BD89" s="18">
        <v>3600</v>
      </c>
      <c r="BE89" s="18"/>
      <c r="BF89" s="18">
        <f t="shared" si="37"/>
        <v>3600</v>
      </c>
      <c r="BG89" s="18"/>
      <c r="BH89" s="18"/>
      <c r="BI89" s="18" t="str">
        <f t="shared" si="38"/>
        <v/>
      </c>
      <c r="BJ89" s="18"/>
      <c r="BK89" s="18"/>
      <c r="BL89" s="18" t="str">
        <f t="shared" si="39"/>
        <v/>
      </c>
      <c r="BM89" s="18"/>
      <c r="BN89" s="18"/>
      <c r="BO89" s="18" t="str">
        <f t="shared" si="40"/>
        <v/>
      </c>
      <c r="BP89" s="18"/>
      <c r="BQ89" s="18"/>
      <c r="BR89" s="18" t="str">
        <f t="shared" si="41"/>
        <v/>
      </c>
    </row>
    <row r="90" spans="1:70" ht="25.5" x14ac:dyDescent="0.25">
      <c r="A90" s="2" t="s">
        <v>1020</v>
      </c>
      <c r="B90" s="2" t="str">
        <f>VLOOKUP($A90,[2]Projekty!$A$2:$AR$1147,4,0)</f>
        <v>OPKZP-PO1-SC111-2016-11</v>
      </c>
      <c r="C90" s="2" t="str">
        <f>VLOOKUP($A90,[2]Projekty!$A$2:$AR$1147,6,0)</f>
        <v>Technické služby, mestský podnik Banská Štiavnica</v>
      </c>
      <c r="D90" s="2" t="str">
        <f>VLOOKUP($A90,[2]Projekty!$A$2:$AR$1147,7,0)</f>
        <v>Zhodnocovanie bioodpadu a stavebného odpadu v Banskej Štiavnici</v>
      </c>
      <c r="E90" s="2" t="str">
        <f>VLOOKUP($A90,[2]Projekty!$A$2:$AR$1147,9,0)</f>
        <v>BB</v>
      </c>
      <c r="F90" s="2" t="str">
        <f>VLOOKUP($A90,[2]Projekty!$A$2:$AR$1147,14,0)</f>
        <v>Realizácia</v>
      </c>
      <c r="G90" s="61">
        <f>VLOOKUP($A90,'[2]Dĺžka realizácie'!$A$2:$AR$1148,8,0)</f>
        <v>43190</v>
      </c>
      <c r="H90" s="18"/>
      <c r="I90" s="18"/>
      <c r="J90" s="18" t="str">
        <f t="shared" si="21"/>
        <v/>
      </c>
      <c r="K90" s="18"/>
      <c r="L90" s="18"/>
      <c r="M90" s="18" t="str">
        <f t="shared" si="22"/>
        <v/>
      </c>
      <c r="N90" s="18"/>
      <c r="O90" s="18"/>
      <c r="P90" s="18" t="str">
        <f t="shared" si="23"/>
        <v/>
      </c>
      <c r="Q90" s="18"/>
      <c r="R90" s="18"/>
      <c r="S90" s="18" t="str">
        <f t="shared" si="24"/>
        <v/>
      </c>
      <c r="T90" s="18">
        <v>1865</v>
      </c>
      <c r="U90" s="18"/>
      <c r="V90" s="18">
        <f t="shared" si="25"/>
        <v>1865</v>
      </c>
      <c r="W90" s="18">
        <v>1600</v>
      </c>
      <c r="X90" s="18"/>
      <c r="Y90" s="18">
        <f t="shared" si="26"/>
        <v>1600</v>
      </c>
      <c r="Z90" s="18"/>
      <c r="AA90" s="18"/>
      <c r="AB90" s="18" t="str">
        <f t="shared" si="27"/>
        <v/>
      </c>
      <c r="AC90" s="18"/>
      <c r="AD90" s="18"/>
      <c r="AE90" s="18" t="str">
        <f t="shared" si="28"/>
        <v/>
      </c>
      <c r="AF90" s="18"/>
      <c r="AG90" s="18"/>
      <c r="AH90" s="18" t="str">
        <f t="shared" si="29"/>
        <v/>
      </c>
      <c r="AI90" s="18"/>
      <c r="AJ90" s="18"/>
      <c r="AK90" s="18" t="str">
        <f t="shared" si="30"/>
        <v/>
      </c>
      <c r="AL90" s="18"/>
      <c r="AM90" s="18"/>
      <c r="AN90" s="18" t="str">
        <f t="shared" si="31"/>
        <v/>
      </c>
      <c r="AO90" s="18"/>
      <c r="AP90" s="18"/>
      <c r="AQ90" s="18" t="str">
        <f t="shared" si="32"/>
        <v/>
      </c>
      <c r="AR90" s="18"/>
      <c r="AS90" s="18"/>
      <c r="AT90" s="18" t="str">
        <f t="shared" si="33"/>
        <v/>
      </c>
      <c r="AU90" s="18"/>
      <c r="AV90" s="18"/>
      <c r="AW90" s="18" t="str">
        <f t="shared" si="34"/>
        <v/>
      </c>
      <c r="AX90" s="18"/>
      <c r="AY90" s="18"/>
      <c r="AZ90" s="18" t="str">
        <f t="shared" si="35"/>
        <v/>
      </c>
      <c r="BA90" s="18">
        <v>1865</v>
      </c>
      <c r="BB90" s="18"/>
      <c r="BC90" s="18">
        <f t="shared" si="36"/>
        <v>1865</v>
      </c>
      <c r="BD90" s="18">
        <v>1600</v>
      </c>
      <c r="BE90" s="18"/>
      <c r="BF90" s="18">
        <f t="shared" si="37"/>
        <v>1600</v>
      </c>
      <c r="BG90" s="18"/>
      <c r="BH90" s="18"/>
      <c r="BI90" s="18" t="str">
        <f t="shared" si="38"/>
        <v/>
      </c>
      <c r="BJ90" s="18"/>
      <c r="BK90" s="18"/>
      <c r="BL90" s="18" t="str">
        <f t="shared" si="39"/>
        <v/>
      </c>
      <c r="BM90" s="18"/>
      <c r="BN90" s="18"/>
      <c r="BO90" s="18" t="str">
        <f t="shared" si="40"/>
        <v/>
      </c>
      <c r="BP90" s="18"/>
      <c r="BQ90" s="18"/>
      <c r="BR90" s="18" t="str">
        <f t="shared" si="41"/>
        <v/>
      </c>
    </row>
    <row r="91" spans="1:70" x14ac:dyDescent="0.25">
      <c r="A91" s="2" t="s">
        <v>672</v>
      </c>
      <c r="B91" s="2" t="str">
        <f>VLOOKUP($A91,[2]Projekty!$A$2:$AR$1147,4,0)</f>
        <v>OPKZP-PO1-SC111-2016-11</v>
      </c>
      <c r="C91" s="2" t="str">
        <f>VLOOKUP($A91,[2]Projekty!$A$2:$AR$1147,6,0)</f>
        <v>Mesto Čadca</v>
      </c>
      <c r="D91" s="2" t="str">
        <f>VLOOKUP($A91,[2]Projekty!$A$2:$AR$1147,7,0)</f>
        <v>Kompostáreň - Čadca</v>
      </c>
      <c r="E91" s="2" t="str">
        <f>VLOOKUP($A91,[2]Projekty!$A$2:$AR$1147,9,0)</f>
        <v>ZA</v>
      </c>
      <c r="F91" s="2" t="str">
        <f>VLOOKUP($A91,[2]Projekty!$A$2:$AR$1147,14,0)</f>
        <v>Realizácia</v>
      </c>
      <c r="G91" s="61">
        <f>VLOOKUP($A91,'[2]Dĺžka realizácie'!$A$2:$AR$1148,8,0)</f>
        <v>43190</v>
      </c>
      <c r="H91" s="18"/>
      <c r="I91" s="18"/>
      <c r="J91" s="18" t="str">
        <f t="shared" si="21"/>
        <v/>
      </c>
      <c r="K91" s="18"/>
      <c r="L91" s="18"/>
      <c r="M91" s="18" t="str">
        <f t="shared" si="22"/>
        <v/>
      </c>
      <c r="N91" s="18"/>
      <c r="O91" s="18"/>
      <c r="P91" s="18" t="str">
        <f t="shared" si="23"/>
        <v/>
      </c>
      <c r="Q91" s="18"/>
      <c r="R91" s="18"/>
      <c r="S91" s="18" t="str">
        <f t="shared" si="24"/>
        <v/>
      </c>
      <c r="T91" s="18"/>
      <c r="U91" s="18"/>
      <c r="V91" s="18" t="str">
        <f t="shared" si="25"/>
        <v/>
      </c>
      <c r="W91" s="18">
        <v>450</v>
      </c>
      <c r="X91" s="18"/>
      <c r="Y91" s="18">
        <f t="shared" si="26"/>
        <v>450</v>
      </c>
      <c r="Z91" s="18"/>
      <c r="AA91" s="18"/>
      <c r="AB91" s="18" t="str">
        <f t="shared" si="27"/>
        <v/>
      </c>
      <c r="AC91" s="18"/>
      <c r="AD91" s="18"/>
      <c r="AE91" s="18" t="str">
        <f t="shared" si="28"/>
        <v/>
      </c>
      <c r="AF91" s="18"/>
      <c r="AG91" s="18"/>
      <c r="AH91" s="18" t="str">
        <f t="shared" si="29"/>
        <v/>
      </c>
      <c r="AI91" s="18"/>
      <c r="AJ91" s="18"/>
      <c r="AK91" s="18" t="str">
        <f t="shared" si="30"/>
        <v/>
      </c>
      <c r="AL91" s="18"/>
      <c r="AM91" s="18"/>
      <c r="AN91" s="18" t="str">
        <f t="shared" si="31"/>
        <v/>
      </c>
      <c r="AO91" s="18"/>
      <c r="AP91" s="18"/>
      <c r="AQ91" s="18" t="str">
        <f t="shared" si="32"/>
        <v/>
      </c>
      <c r="AR91" s="18"/>
      <c r="AS91" s="18"/>
      <c r="AT91" s="18" t="str">
        <f t="shared" si="33"/>
        <v/>
      </c>
      <c r="AU91" s="18"/>
      <c r="AV91" s="18"/>
      <c r="AW91" s="18" t="str">
        <f t="shared" si="34"/>
        <v/>
      </c>
      <c r="AX91" s="18"/>
      <c r="AY91" s="18"/>
      <c r="AZ91" s="18" t="str">
        <f t="shared" si="35"/>
        <v/>
      </c>
      <c r="BA91" s="18"/>
      <c r="BB91" s="18"/>
      <c r="BC91" s="18" t="str">
        <f t="shared" si="36"/>
        <v/>
      </c>
      <c r="BD91" s="18">
        <v>450</v>
      </c>
      <c r="BE91" s="18"/>
      <c r="BF91" s="18">
        <f t="shared" si="37"/>
        <v>450</v>
      </c>
      <c r="BG91" s="18"/>
      <c r="BH91" s="18"/>
      <c r="BI91" s="18" t="str">
        <f t="shared" si="38"/>
        <v/>
      </c>
      <c r="BJ91" s="18"/>
      <c r="BK91" s="18"/>
      <c r="BL91" s="18" t="str">
        <f t="shared" si="39"/>
        <v/>
      </c>
      <c r="BM91" s="18"/>
      <c r="BN91" s="18"/>
      <c r="BO91" s="18" t="str">
        <f t="shared" si="40"/>
        <v/>
      </c>
      <c r="BP91" s="18"/>
      <c r="BQ91" s="18"/>
      <c r="BR91" s="18" t="str">
        <f t="shared" si="41"/>
        <v/>
      </c>
    </row>
    <row r="92" spans="1:70" ht="25.5" x14ac:dyDescent="0.25">
      <c r="A92" s="2" t="s">
        <v>813</v>
      </c>
      <c r="B92" s="2" t="str">
        <f>VLOOKUP($A92,[2]Projekty!$A$2:$AR$1147,4,0)</f>
        <v>OPKZP-PO1-SC111-2016-10</v>
      </c>
      <c r="C92" s="2" t="str">
        <f>VLOOKUP($A92,[2]Projekty!$A$2:$AR$1147,6,0)</f>
        <v>Obec Rovinka</v>
      </c>
      <c r="D92" s="2" t="str">
        <f>VLOOKUP($A92,[2]Projekty!$A$2:$AR$1147,7,0)</f>
        <v>Zberný dvor Rovinka – dostavba, dovybavenie, rozšírenie a realizácia zberných dvorov</v>
      </c>
      <c r="E92" s="2" t="str">
        <f>VLOOKUP($A92,[2]Projekty!$A$2:$AR$1147,9,0)</f>
        <v>BA</v>
      </c>
      <c r="F92" s="2" t="str">
        <f>VLOOKUP($A92,[2]Projekty!$A$2:$AR$1147,14,0)</f>
        <v>Realizácia</v>
      </c>
      <c r="G92" s="61">
        <f>VLOOKUP($A92,'[2]Dĺžka realizácie'!$A$2:$AR$1148,8,0)</f>
        <v>43190</v>
      </c>
      <c r="H92" s="18"/>
      <c r="I92" s="18"/>
      <c r="J92" s="18" t="str">
        <f t="shared" si="21"/>
        <v/>
      </c>
      <c r="K92" s="18"/>
      <c r="L92" s="18"/>
      <c r="M92" s="18" t="str">
        <f t="shared" si="22"/>
        <v/>
      </c>
      <c r="N92" s="18"/>
      <c r="O92" s="18"/>
      <c r="P92" s="18" t="str">
        <f t="shared" si="23"/>
        <v/>
      </c>
      <c r="Q92" s="18"/>
      <c r="R92" s="18"/>
      <c r="S92" s="18" t="str">
        <f t="shared" si="24"/>
        <v/>
      </c>
      <c r="T92" s="18">
        <v>161.65</v>
      </c>
      <c r="U92" s="18"/>
      <c r="V92" s="18">
        <f t="shared" si="25"/>
        <v>161.65</v>
      </c>
      <c r="W92" s="18"/>
      <c r="X92" s="18"/>
      <c r="Y92" s="18" t="str">
        <f t="shared" si="26"/>
        <v/>
      </c>
      <c r="Z92" s="18"/>
      <c r="AA92" s="18"/>
      <c r="AB92" s="18" t="str">
        <f t="shared" si="27"/>
        <v/>
      </c>
      <c r="AC92" s="18">
        <v>3500</v>
      </c>
      <c r="AD92" s="18"/>
      <c r="AE92" s="18">
        <f t="shared" si="28"/>
        <v>3500</v>
      </c>
      <c r="AF92" s="18"/>
      <c r="AG92" s="18"/>
      <c r="AH92" s="18" t="str">
        <f t="shared" si="29"/>
        <v/>
      </c>
      <c r="AI92" s="18"/>
      <c r="AJ92" s="18"/>
      <c r="AK92" s="18" t="str">
        <f t="shared" si="30"/>
        <v/>
      </c>
      <c r="AL92" s="18"/>
      <c r="AM92" s="18"/>
      <c r="AN92" s="18" t="str">
        <f t="shared" si="31"/>
        <v/>
      </c>
      <c r="AO92" s="18"/>
      <c r="AP92" s="18"/>
      <c r="AQ92" s="18" t="str">
        <f t="shared" si="32"/>
        <v/>
      </c>
      <c r="AR92" s="18">
        <v>4</v>
      </c>
      <c r="AS92" s="18"/>
      <c r="AT92" s="18">
        <f t="shared" si="33"/>
        <v>4</v>
      </c>
      <c r="AU92" s="18"/>
      <c r="AV92" s="18"/>
      <c r="AW92" s="18" t="str">
        <f t="shared" si="34"/>
        <v/>
      </c>
      <c r="AX92" s="18"/>
      <c r="AY92" s="18"/>
      <c r="AZ92" s="18" t="str">
        <f t="shared" si="35"/>
        <v/>
      </c>
      <c r="BA92" s="18">
        <v>161.65</v>
      </c>
      <c r="BB92" s="18"/>
      <c r="BC92" s="18">
        <f t="shared" si="36"/>
        <v>161.65</v>
      </c>
      <c r="BD92" s="18"/>
      <c r="BE92" s="18"/>
      <c r="BF92" s="18" t="str">
        <f t="shared" si="37"/>
        <v/>
      </c>
      <c r="BG92" s="18"/>
      <c r="BH92" s="18"/>
      <c r="BI92" s="18" t="str">
        <f t="shared" si="38"/>
        <v/>
      </c>
      <c r="BJ92" s="18"/>
      <c r="BK92" s="18"/>
      <c r="BL92" s="18" t="str">
        <f t="shared" si="39"/>
        <v/>
      </c>
      <c r="BM92" s="18"/>
      <c r="BN92" s="18"/>
      <c r="BO92" s="18" t="str">
        <f t="shared" si="40"/>
        <v/>
      </c>
      <c r="BP92" s="18"/>
      <c r="BQ92" s="18"/>
      <c r="BR92" s="18" t="str">
        <f t="shared" si="41"/>
        <v/>
      </c>
    </row>
    <row r="93" spans="1:70" x14ac:dyDescent="0.25">
      <c r="A93" s="2" t="s">
        <v>752</v>
      </c>
      <c r="B93" s="2" t="str">
        <f>VLOOKUP($A93,[2]Projekty!$A$2:$AR$1147,4,0)</f>
        <v>OPKZP-PO1-SC111-2016-10</v>
      </c>
      <c r="C93" s="2" t="str">
        <f>VLOOKUP($A93,[2]Projekty!$A$2:$AR$1147,6,0)</f>
        <v>Obec Trnovec nad Váhom</v>
      </c>
      <c r="D93" s="2" t="str">
        <f>VLOOKUP($A93,[2]Projekty!$A$2:$AR$1147,7,0)</f>
        <v>Zberný dvor Trnovec nad Váhom</v>
      </c>
      <c r="E93" s="2" t="str">
        <f>VLOOKUP($A93,[2]Projekty!$A$2:$AR$1147,9,0)</f>
        <v>NR</v>
      </c>
      <c r="F93" s="2" t="str">
        <f>VLOOKUP($A93,[2]Projekty!$A$2:$AR$1147,14,0)</f>
        <v>Realizácia</v>
      </c>
      <c r="G93" s="61">
        <f>VLOOKUP($A93,'[2]Dĺžka realizácie'!$A$2:$AR$1148,8,0)</f>
        <v>43373</v>
      </c>
      <c r="H93" s="18"/>
      <c r="I93" s="18"/>
      <c r="J93" s="18" t="str">
        <f t="shared" si="21"/>
        <v/>
      </c>
      <c r="K93" s="18"/>
      <c r="L93" s="18"/>
      <c r="M93" s="18" t="str">
        <f t="shared" si="22"/>
        <v/>
      </c>
      <c r="N93" s="18"/>
      <c r="O93" s="18"/>
      <c r="P93" s="18" t="str">
        <f t="shared" si="23"/>
        <v/>
      </c>
      <c r="Q93" s="18"/>
      <c r="R93" s="18"/>
      <c r="S93" s="18" t="str">
        <f t="shared" si="24"/>
        <v/>
      </c>
      <c r="T93" s="18">
        <v>596.5</v>
      </c>
      <c r="U93" s="18"/>
      <c r="V93" s="18">
        <f t="shared" si="25"/>
        <v>596.5</v>
      </c>
      <c r="W93" s="18"/>
      <c r="X93" s="18"/>
      <c r="Y93" s="18" t="str">
        <f t="shared" si="26"/>
        <v/>
      </c>
      <c r="Z93" s="18"/>
      <c r="AA93" s="18"/>
      <c r="AB93" s="18" t="str">
        <f t="shared" si="27"/>
        <v/>
      </c>
      <c r="AC93" s="18"/>
      <c r="AD93" s="18"/>
      <c r="AE93" s="18" t="str">
        <f t="shared" si="28"/>
        <v/>
      </c>
      <c r="AF93" s="18"/>
      <c r="AG93" s="18"/>
      <c r="AH93" s="18" t="str">
        <f t="shared" si="29"/>
        <v/>
      </c>
      <c r="AI93" s="18"/>
      <c r="AJ93" s="18"/>
      <c r="AK93" s="18" t="str">
        <f t="shared" si="30"/>
        <v/>
      </c>
      <c r="AL93" s="18"/>
      <c r="AM93" s="18"/>
      <c r="AN93" s="18" t="str">
        <f t="shared" si="31"/>
        <v/>
      </c>
      <c r="AO93" s="18"/>
      <c r="AP93" s="18"/>
      <c r="AQ93" s="18" t="str">
        <f t="shared" si="32"/>
        <v/>
      </c>
      <c r="AR93" s="18"/>
      <c r="AS93" s="18"/>
      <c r="AT93" s="18" t="str">
        <f t="shared" si="33"/>
        <v/>
      </c>
      <c r="AU93" s="18"/>
      <c r="AV93" s="18"/>
      <c r="AW93" s="18" t="str">
        <f t="shared" si="34"/>
        <v/>
      </c>
      <c r="AX93" s="18"/>
      <c r="AY93" s="18"/>
      <c r="AZ93" s="18" t="str">
        <f t="shared" si="35"/>
        <v/>
      </c>
      <c r="BA93" s="18">
        <v>596.5</v>
      </c>
      <c r="BB93" s="18"/>
      <c r="BC93" s="18">
        <f t="shared" si="36"/>
        <v>596.5</v>
      </c>
      <c r="BD93" s="18"/>
      <c r="BE93" s="18"/>
      <c r="BF93" s="18" t="str">
        <f t="shared" si="37"/>
        <v/>
      </c>
      <c r="BG93" s="18"/>
      <c r="BH93" s="18"/>
      <c r="BI93" s="18" t="str">
        <f t="shared" si="38"/>
        <v/>
      </c>
      <c r="BJ93" s="18"/>
      <c r="BK93" s="18"/>
      <c r="BL93" s="18" t="str">
        <f t="shared" si="39"/>
        <v/>
      </c>
      <c r="BM93" s="18"/>
      <c r="BN93" s="18"/>
      <c r="BO93" s="18" t="str">
        <f t="shared" si="40"/>
        <v/>
      </c>
      <c r="BP93" s="18"/>
      <c r="BQ93" s="18"/>
      <c r="BR93" s="18" t="str">
        <f t="shared" si="41"/>
        <v/>
      </c>
    </row>
    <row r="94" spans="1:70" x14ac:dyDescent="0.25">
      <c r="A94" s="2" t="s">
        <v>992</v>
      </c>
      <c r="B94" s="2" t="str">
        <f>VLOOKUP($A94,[2]Projekty!$A$2:$AR$1147,4,0)</f>
        <v>OPKZP-PO1-SC111-2016-10</v>
      </c>
      <c r="C94" s="2" t="str">
        <f>VLOOKUP($A94,[2]Projekty!$A$2:$AR$1147,6,0)</f>
        <v>Obec Varín</v>
      </c>
      <c r="D94" s="2" t="str">
        <f>VLOOKUP($A94,[2]Projekty!$A$2:$AR$1147,7,0)</f>
        <v>Zberný dvor Varín</v>
      </c>
      <c r="E94" s="2" t="str">
        <f>VLOOKUP($A94,[2]Projekty!$A$2:$AR$1147,9,0)</f>
        <v>ZA</v>
      </c>
      <c r="F94" s="2" t="str">
        <f>VLOOKUP($A94,[2]Projekty!$A$2:$AR$1147,14,0)</f>
        <v>Realizácia</v>
      </c>
      <c r="G94" s="61">
        <f>VLOOKUP($A94,'[2]Dĺžka realizácie'!$A$2:$AR$1148,8,0)</f>
        <v>43281</v>
      </c>
      <c r="H94" s="18"/>
      <c r="I94" s="18"/>
      <c r="J94" s="18" t="str">
        <f t="shared" si="21"/>
        <v/>
      </c>
      <c r="K94" s="18"/>
      <c r="L94" s="18"/>
      <c r="M94" s="18" t="str">
        <f t="shared" si="22"/>
        <v/>
      </c>
      <c r="N94" s="18"/>
      <c r="O94" s="18"/>
      <c r="P94" s="18" t="str">
        <f t="shared" si="23"/>
        <v/>
      </c>
      <c r="Q94" s="18"/>
      <c r="R94" s="18"/>
      <c r="S94" s="18" t="str">
        <f t="shared" si="24"/>
        <v/>
      </c>
      <c r="T94" s="18">
        <v>405.22</v>
      </c>
      <c r="U94" s="18"/>
      <c r="V94" s="18">
        <f t="shared" si="25"/>
        <v>405.22</v>
      </c>
      <c r="W94" s="18"/>
      <c r="X94" s="18"/>
      <c r="Y94" s="18" t="str">
        <f t="shared" si="26"/>
        <v/>
      </c>
      <c r="Z94" s="18"/>
      <c r="AA94" s="18"/>
      <c r="AB94" s="18" t="str">
        <f t="shared" si="27"/>
        <v/>
      </c>
      <c r="AC94" s="18">
        <v>500</v>
      </c>
      <c r="AD94" s="18"/>
      <c r="AE94" s="18">
        <f t="shared" si="28"/>
        <v>500</v>
      </c>
      <c r="AF94" s="18"/>
      <c r="AG94" s="18"/>
      <c r="AH94" s="18" t="str">
        <f t="shared" si="29"/>
        <v/>
      </c>
      <c r="AI94" s="18"/>
      <c r="AJ94" s="18"/>
      <c r="AK94" s="18" t="str">
        <f t="shared" si="30"/>
        <v/>
      </c>
      <c r="AL94" s="18"/>
      <c r="AM94" s="18"/>
      <c r="AN94" s="18" t="str">
        <f t="shared" si="31"/>
        <v/>
      </c>
      <c r="AO94" s="18"/>
      <c r="AP94" s="18"/>
      <c r="AQ94" s="18" t="str">
        <f t="shared" si="32"/>
        <v/>
      </c>
      <c r="AR94" s="18">
        <v>4</v>
      </c>
      <c r="AS94" s="18"/>
      <c r="AT94" s="18">
        <f t="shared" si="33"/>
        <v>4</v>
      </c>
      <c r="AU94" s="18"/>
      <c r="AV94" s="18"/>
      <c r="AW94" s="18" t="str">
        <f t="shared" si="34"/>
        <v/>
      </c>
      <c r="AX94" s="18"/>
      <c r="AY94" s="18"/>
      <c r="AZ94" s="18" t="str">
        <f t="shared" si="35"/>
        <v/>
      </c>
      <c r="BA94" s="18">
        <v>405.22</v>
      </c>
      <c r="BB94" s="18"/>
      <c r="BC94" s="18">
        <f t="shared" si="36"/>
        <v>405.22</v>
      </c>
      <c r="BD94" s="18"/>
      <c r="BE94" s="18"/>
      <c r="BF94" s="18" t="str">
        <f t="shared" si="37"/>
        <v/>
      </c>
      <c r="BG94" s="18"/>
      <c r="BH94" s="18"/>
      <c r="BI94" s="18" t="str">
        <f t="shared" si="38"/>
        <v/>
      </c>
      <c r="BJ94" s="18"/>
      <c r="BK94" s="18"/>
      <c r="BL94" s="18" t="str">
        <f t="shared" si="39"/>
        <v/>
      </c>
      <c r="BM94" s="18"/>
      <c r="BN94" s="18"/>
      <c r="BO94" s="18" t="str">
        <f t="shared" si="40"/>
        <v/>
      </c>
      <c r="BP94" s="18"/>
      <c r="BQ94" s="18"/>
      <c r="BR94" s="18" t="str">
        <f t="shared" si="41"/>
        <v/>
      </c>
    </row>
    <row r="95" spans="1:70" x14ac:dyDescent="0.25">
      <c r="A95" s="2" t="s">
        <v>753</v>
      </c>
      <c r="B95" s="2" t="str">
        <f>VLOOKUP($A95,[2]Projekty!$A$2:$AR$1147,4,0)</f>
        <v>OPKZP-PO1-SC111-2016-10</v>
      </c>
      <c r="C95" s="2" t="str">
        <f>VLOOKUP($A95,[2]Projekty!$A$2:$AR$1147,6,0)</f>
        <v>Obec Žaškov</v>
      </c>
      <c r="D95" s="2" t="str">
        <f>VLOOKUP($A95,[2]Projekty!$A$2:$AR$1147,7,0)</f>
        <v>Výstavba zberného dvora v obci Žaškov</v>
      </c>
      <c r="E95" s="2" t="str">
        <f>VLOOKUP($A95,[2]Projekty!$A$2:$AR$1147,9,0)</f>
        <v>ZA</v>
      </c>
      <c r="F95" s="2" t="str">
        <f>VLOOKUP($A95,[2]Projekty!$A$2:$AR$1147,14,0)</f>
        <v>Realizácia</v>
      </c>
      <c r="G95" s="61">
        <f>VLOOKUP($A95,'[2]Dĺžka realizácie'!$A$2:$AR$1148,8,0)</f>
        <v>43251</v>
      </c>
      <c r="H95" s="18"/>
      <c r="I95" s="18"/>
      <c r="J95" s="18" t="str">
        <f t="shared" si="21"/>
        <v/>
      </c>
      <c r="K95" s="18"/>
      <c r="L95" s="18"/>
      <c r="M95" s="18" t="str">
        <f t="shared" si="22"/>
        <v/>
      </c>
      <c r="N95" s="18"/>
      <c r="O95" s="18"/>
      <c r="P95" s="18" t="str">
        <f t="shared" si="23"/>
        <v/>
      </c>
      <c r="Q95" s="18"/>
      <c r="R95" s="18"/>
      <c r="S95" s="18" t="str">
        <f t="shared" si="24"/>
        <v/>
      </c>
      <c r="T95" s="18">
        <v>298.69</v>
      </c>
      <c r="U95" s="18"/>
      <c r="V95" s="18">
        <f t="shared" si="25"/>
        <v>298.69</v>
      </c>
      <c r="W95" s="18"/>
      <c r="X95" s="18"/>
      <c r="Y95" s="18" t="str">
        <f t="shared" si="26"/>
        <v/>
      </c>
      <c r="Z95" s="18"/>
      <c r="AA95" s="18"/>
      <c r="AB95" s="18" t="str">
        <f t="shared" si="27"/>
        <v/>
      </c>
      <c r="AC95" s="18">
        <v>500</v>
      </c>
      <c r="AD95" s="18"/>
      <c r="AE95" s="18">
        <f t="shared" si="28"/>
        <v>500</v>
      </c>
      <c r="AF95" s="18"/>
      <c r="AG95" s="18"/>
      <c r="AH95" s="18" t="str">
        <f t="shared" si="29"/>
        <v/>
      </c>
      <c r="AI95" s="18"/>
      <c r="AJ95" s="18"/>
      <c r="AK95" s="18" t="str">
        <f t="shared" si="30"/>
        <v/>
      </c>
      <c r="AL95" s="18"/>
      <c r="AM95" s="18"/>
      <c r="AN95" s="18" t="str">
        <f t="shared" si="31"/>
        <v/>
      </c>
      <c r="AO95" s="18"/>
      <c r="AP95" s="18"/>
      <c r="AQ95" s="18" t="str">
        <f t="shared" si="32"/>
        <v/>
      </c>
      <c r="AR95" s="18">
        <v>4</v>
      </c>
      <c r="AS95" s="18"/>
      <c r="AT95" s="18">
        <f t="shared" si="33"/>
        <v>4</v>
      </c>
      <c r="AU95" s="18"/>
      <c r="AV95" s="18"/>
      <c r="AW95" s="18" t="str">
        <f t="shared" si="34"/>
        <v/>
      </c>
      <c r="AX95" s="18"/>
      <c r="AY95" s="18"/>
      <c r="AZ95" s="18" t="str">
        <f t="shared" si="35"/>
        <v/>
      </c>
      <c r="BA95" s="18">
        <v>298.69</v>
      </c>
      <c r="BB95" s="18"/>
      <c r="BC95" s="18">
        <f t="shared" si="36"/>
        <v>298.69</v>
      </c>
      <c r="BD95" s="18"/>
      <c r="BE95" s="18"/>
      <c r="BF95" s="18" t="str">
        <f t="shared" si="37"/>
        <v/>
      </c>
      <c r="BG95" s="18"/>
      <c r="BH95" s="18"/>
      <c r="BI95" s="18" t="str">
        <f t="shared" si="38"/>
        <v/>
      </c>
      <c r="BJ95" s="18"/>
      <c r="BK95" s="18"/>
      <c r="BL95" s="18" t="str">
        <f t="shared" si="39"/>
        <v/>
      </c>
      <c r="BM95" s="18"/>
      <c r="BN95" s="18"/>
      <c r="BO95" s="18" t="str">
        <f t="shared" si="40"/>
        <v/>
      </c>
      <c r="BP95" s="18"/>
      <c r="BQ95" s="18"/>
      <c r="BR95" s="18" t="str">
        <f t="shared" si="41"/>
        <v/>
      </c>
    </row>
    <row r="96" spans="1:70" x14ac:dyDescent="0.25">
      <c r="A96" s="2" t="s">
        <v>801</v>
      </c>
      <c r="B96" s="2" t="str">
        <f>VLOOKUP($A96,[2]Projekty!$A$2:$AR$1147,4,0)</f>
        <v>OPKZP-PO1-SC111-2016-10</v>
      </c>
      <c r="C96" s="2" t="str">
        <f>VLOOKUP($A96,[2]Projekty!$A$2:$AR$1147,6,0)</f>
        <v>Obec Korňa</v>
      </c>
      <c r="D96" s="2" t="str">
        <f>VLOOKUP($A96,[2]Projekty!$A$2:$AR$1147,7,0)</f>
        <v>Zberný dvor Korňa</v>
      </c>
      <c r="E96" s="2" t="str">
        <f>VLOOKUP($A96,[2]Projekty!$A$2:$AR$1147,9,0)</f>
        <v>ZA</v>
      </c>
      <c r="F96" s="2" t="str">
        <f>VLOOKUP($A96,[2]Projekty!$A$2:$AR$1147,14,0)</f>
        <v>Realizácia</v>
      </c>
      <c r="G96" s="61">
        <f>VLOOKUP($A96,'[2]Dĺžka realizácie'!$A$2:$AR$1148,8,0)</f>
        <v>43281</v>
      </c>
      <c r="H96" s="18"/>
      <c r="I96" s="18"/>
      <c r="J96" s="18" t="str">
        <f t="shared" si="21"/>
        <v/>
      </c>
      <c r="K96" s="18"/>
      <c r="L96" s="18"/>
      <c r="M96" s="18" t="str">
        <f t="shared" si="22"/>
        <v/>
      </c>
      <c r="N96" s="18"/>
      <c r="O96" s="18"/>
      <c r="P96" s="18" t="str">
        <f t="shared" si="23"/>
        <v/>
      </c>
      <c r="Q96" s="18"/>
      <c r="R96" s="18"/>
      <c r="S96" s="18" t="str">
        <f t="shared" si="24"/>
        <v/>
      </c>
      <c r="T96" s="18">
        <v>295.56</v>
      </c>
      <c r="U96" s="18"/>
      <c r="V96" s="18">
        <f t="shared" si="25"/>
        <v>295.56</v>
      </c>
      <c r="W96" s="18"/>
      <c r="X96" s="18"/>
      <c r="Y96" s="18" t="str">
        <f t="shared" si="26"/>
        <v/>
      </c>
      <c r="Z96" s="18"/>
      <c r="AA96" s="18"/>
      <c r="AB96" s="18" t="str">
        <f t="shared" si="27"/>
        <v/>
      </c>
      <c r="AC96" s="18">
        <v>600</v>
      </c>
      <c r="AD96" s="18"/>
      <c r="AE96" s="18">
        <f t="shared" si="28"/>
        <v>600</v>
      </c>
      <c r="AF96" s="18"/>
      <c r="AG96" s="18"/>
      <c r="AH96" s="18" t="str">
        <f t="shared" si="29"/>
        <v/>
      </c>
      <c r="AI96" s="18"/>
      <c r="AJ96" s="18"/>
      <c r="AK96" s="18" t="str">
        <f t="shared" si="30"/>
        <v/>
      </c>
      <c r="AL96" s="18"/>
      <c r="AM96" s="18"/>
      <c r="AN96" s="18" t="str">
        <f t="shared" si="31"/>
        <v/>
      </c>
      <c r="AO96" s="18"/>
      <c r="AP96" s="18"/>
      <c r="AQ96" s="18" t="str">
        <f t="shared" si="32"/>
        <v/>
      </c>
      <c r="AR96" s="18">
        <v>4</v>
      </c>
      <c r="AS96" s="18"/>
      <c r="AT96" s="18">
        <f t="shared" si="33"/>
        <v>4</v>
      </c>
      <c r="AU96" s="18"/>
      <c r="AV96" s="18"/>
      <c r="AW96" s="18" t="str">
        <f t="shared" si="34"/>
        <v/>
      </c>
      <c r="AX96" s="18"/>
      <c r="AY96" s="18"/>
      <c r="AZ96" s="18" t="str">
        <f t="shared" si="35"/>
        <v/>
      </c>
      <c r="BA96" s="18">
        <v>295.56</v>
      </c>
      <c r="BB96" s="18"/>
      <c r="BC96" s="18">
        <f t="shared" si="36"/>
        <v>295.56</v>
      </c>
      <c r="BD96" s="18"/>
      <c r="BE96" s="18"/>
      <c r="BF96" s="18" t="str">
        <f t="shared" si="37"/>
        <v/>
      </c>
      <c r="BG96" s="18"/>
      <c r="BH96" s="18"/>
      <c r="BI96" s="18" t="str">
        <f t="shared" si="38"/>
        <v/>
      </c>
      <c r="BJ96" s="18"/>
      <c r="BK96" s="18"/>
      <c r="BL96" s="18" t="str">
        <f t="shared" si="39"/>
        <v/>
      </c>
      <c r="BM96" s="18"/>
      <c r="BN96" s="18"/>
      <c r="BO96" s="18" t="str">
        <f t="shared" si="40"/>
        <v/>
      </c>
      <c r="BP96" s="18"/>
      <c r="BQ96" s="18"/>
      <c r="BR96" s="18" t="str">
        <f t="shared" si="41"/>
        <v/>
      </c>
    </row>
    <row r="97" spans="1:70" ht="25.5" x14ac:dyDescent="0.25">
      <c r="A97" s="2" t="s">
        <v>1036</v>
      </c>
      <c r="B97" s="2" t="str">
        <f>VLOOKUP($A97,[2]Projekty!$A$2:$AR$1147,4,0)</f>
        <v>OPKZP-PO1-SC111-2016-10</v>
      </c>
      <c r="C97" s="2" t="str">
        <f>VLOOKUP($A97,[2]Projekty!$A$2:$AR$1147,6,0)</f>
        <v>Obec Zavar</v>
      </c>
      <c r="D97" s="2" t="str">
        <f>VLOOKUP($A97,[2]Projekty!$A$2:$AR$1147,7,0)</f>
        <v>Zberný dvor Zavar</v>
      </c>
      <c r="E97" s="2" t="str">
        <f>VLOOKUP($A97,[2]Projekty!$A$2:$AR$1147,9,0)</f>
        <v>TT</v>
      </c>
      <c r="F97" s="2" t="str">
        <f>VLOOKUP($A97,[2]Projekty!$A$2:$AR$1147,14,0)</f>
        <v>Aktivity nezačaté</v>
      </c>
      <c r="G97" s="61">
        <f>VLOOKUP($A97,'[2]Dĺžka realizácie'!$A$2:$AR$1148,8,0)</f>
        <v>43373</v>
      </c>
      <c r="H97" s="18"/>
      <c r="I97" s="18"/>
      <c r="J97" s="18" t="str">
        <f t="shared" si="21"/>
        <v/>
      </c>
      <c r="K97" s="18"/>
      <c r="L97" s="18"/>
      <c r="M97" s="18" t="str">
        <f t="shared" si="22"/>
        <v/>
      </c>
      <c r="N97" s="18"/>
      <c r="O97" s="18"/>
      <c r="P97" s="18" t="str">
        <f t="shared" si="23"/>
        <v/>
      </c>
      <c r="Q97" s="18"/>
      <c r="R97" s="18"/>
      <c r="S97" s="18" t="str">
        <f t="shared" si="24"/>
        <v/>
      </c>
      <c r="T97" s="18">
        <v>110.79</v>
      </c>
      <c r="U97" s="18"/>
      <c r="V97" s="18">
        <f t="shared" si="25"/>
        <v>110.79</v>
      </c>
      <c r="W97" s="18"/>
      <c r="X97" s="18"/>
      <c r="Y97" s="18" t="str">
        <f t="shared" si="26"/>
        <v/>
      </c>
      <c r="Z97" s="18"/>
      <c r="AA97" s="18"/>
      <c r="AB97" s="18" t="str">
        <f t="shared" si="27"/>
        <v/>
      </c>
      <c r="AC97" s="18">
        <v>2000</v>
      </c>
      <c r="AD97" s="18"/>
      <c r="AE97" s="18">
        <f t="shared" si="28"/>
        <v>2000</v>
      </c>
      <c r="AF97" s="18"/>
      <c r="AG97" s="18"/>
      <c r="AH97" s="18" t="str">
        <f t="shared" si="29"/>
        <v/>
      </c>
      <c r="AI97" s="18"/>
      <c r="AJ97" s="18"/>
      <c r="AK97" s="18" t="str">
        <f t="shared" si="30"/>
        <v/>
      </c>
      <c r="AL97" s="18"/>
      <c r="AM97" s="18"/>
      <c r="AN97" s="18" t="str">
        <f t="shared" si="31"/>
        <v/>
      </c>
      <c r="AO97" s="18"/>
      <c r="AP97" s="18"/>
      <c r="AQ97" s="18" t="str">
        <f t="shared" si="32"/>
        <v/>
      </c>
      <c r="AR97" s="18">
        <v>4</v>
      </c>
      <c r="AS97" s="18"/>
      <c r="AT97" s="18">
        <f t="shared" si="33"/>
        <v>4</v>
      </c>
      <c r="AU97" s="18"/>
      <c r="AV97" s="18"/>
      <c r="AW97" s="18" t="str">
        <f t="shared" si="34"/>
        <v/>
      </c>
      <c r="AX97" s="18"/>
      <c r="AY97" s="18"/>
      <c r="AZ97" s="18" t="str">
        <f t="shared" si="35"/>
        <v/>
      </c>
      <c r="BA97" s="18">
        <v>110.79</v>
      </c>
      <c r="BB97" s="18"/>
      <c r="BC97" s="18">
        <f t="shared" si="36"/>
        <v>110.79</v>
      </c>
      <c r="BD97" s="18"/>
      <c r="BE97" s="18"/>
      <c r="BF97" s="18" t="str">
        <f t="shared" si="37"/>
        <v/>
      </c>
      <c r="BG97" s="18"/>
      <c r="BH97" s="18"/>
      <c r="BI97" s="18" t="str">
        <f t="shared" si="38"/>
        <v/>
      </c>
      <c r="BJ97" s="18"/>
      <c r="BK97" s="18"/>
      <c r="BL97" s="18" t="str">
        <f t="shared" si="39"/>
        <v/>
      </c>
      <c r="BM97" s="18"/>
      <c r="BN97" s="18"/>
      <c r="BO97" s="18" t="str">
        <f t="shared" si="40"/>
        <v/>
      </c>
      <c r="BP97" s="18"/>
      <c r="BQ97" s="18"/>
      <c r="BR97" s="18" t="str">
        <f t="shared" si="41"/>
        <v/>
      </c>
    </row>
    <row r="98" spans="1:70" ht="25.5" x14ac:dyDescent="0.25">
      <c r="A98" s="2" t="s">
        <v>814</v>
      </c>
      <c r="B98" s="2" t="str">
        <f>VLOOKUP($A98,[2]Projekty!$A$2:$AR$1147,4,0)</f>
        <v>OPKZP-PO1-SC111-2016-10</v>
      </c>
      <c r="C98" s="2" t="str">
        <f>VLOOKUP($A98,[2]Projekty!$A$2:$AR$1147,6,0)</f>
        <v>Mesto Lučenec</v>
      </c>
      <c r="D98" s="2" t="str">
        <f>VLOOKUP($A98,[2]Projekty!$A$2:$AR$1147,7,0)</f>
        <v>Zavedenie systému zberu BRO z rodinných domov v Meste Lučenec</v>
      </c>
      <c r="E98" s="2" t="str">
        <f>VLOOKUP($A98,[2]Projekty!$A$2:$AR$1147,9,0)</f>
        <v>BB</v>
      </c>
      <c r="F98" s="2" t="str">
        <f>VLOOKUP($A98,[2]Projekty!$A$2:$AR$1147,14,0)</f>
        <v>Aktivity nezačaté</v>
      </c>
      <c r="G98" s="61">
        <f>VLOOKUP($A98,'[2]Dĺžka realizácie'!$A$2:$AR$1148,8,0)</f>
        <v>43220</v>
      </c>
      <c r="H98" s="18"/>
      <c r="I98" s="18"/>
      <c r="J98" s="18" t="str">
        <f t="shared" si="21"/>
        <v/>
      </c>
      <c r="K98" s="18"/>
      <c r="L98" s="18"/>
      <c r="M98" s="18" t="str">
        <f t="shared" si="22"/>
        <v/>
      </c>
      <c r="N98" s="18"/>
      <c r="O98" s="18"/>
      <c r="P98" s="18" t="str">
        <f t="shared" si="23"/>
        <v/>
      </c>
      <c r="Q98" s="18"/>
      <c r="R98" s="18"/>
      <c r="S98" s="18" t="str">
        <f t="shared" si="24"/>
        <v/>
      </c>
      <c r="T98" s="18">
        <v>550</v>
      </c>
      <c r="U98" s="18"/>
      <c r="V98" s="18">
        <f t="shared" si="25"/>
        <v>550</v>
      </c>
      <c r="W98" s="18"/>
      <c r="X98" s="18"/>
      <c r="Y98" s="18" t="str">
        <f t="shared" si="26"/>
        <v/>
      </c>
      <c r="Z98" s="18"/>
      <c r="AA98" s="18"/>
      <c r="AB98" s="18" t="str">
        <f t="shared" si="27"/>
        <v/>
      </c>
      <c r="AC98" s="18"/>
      <c r="AD98" s="18"/>
      <c r="AE98" s="18" t="str">
        <f t="shared" si="28"/>
        <v/>
      </c>
      <c r="AF98" s="18"/>
      <c r="AG98" s="18"/>
      <c r="AH98" s="18" t="str">
        <f t="shared" si="29"/>
        <v/>
      </c>
      <c r="AI98" s="18"/>
      <c r="AJ98" s="18"/>
      <c r="AK98" s="18" t="str">
        <f t="shared" si="30"/>
        <v/>
      </c>
      <c r="AL98" s="18"/>
      <c r="AM98" s="18"/>
      <c r="AN98" s="18" t="str">
        <f t="shared" si="31"/>
        <v/>
      </c>
      <c r="AO98" s="18"/>
      <c r="AP98" s="18"/>
      <c r="AQ98" s="18" t="str">
        <f t="shared" si="32"/>
        <v/>
      </c>
      <c r="AR98" s="18"/>
      <c r="AS98" s="18"/>
      <c r="AT98" s="18" t="str">
        <f t="shared" si="33"/>
        <v/>
      </c>
      <c r="AU98" s="18"/>
      <c r="AV98" s="18"/>
      <c r="AW98" s="18" t="str">
        <f t="shared" si="34"/>
        <v/>
      </c>
      <c r="AX98" s="18"/>
      <c r="AY98" s="18"/>
      <c r="AZ98" s="18" t="str">
        <f t="shared" si="35"/>
        <v/>
      </c>
      <c r="BA98" s="18">
        <v>550</v>
      </c>
      <c r="BB98" s="18"/>
      <c r="BC98" s="18">
        <f t="shared" si="36"/>
        <v>550</v>
      </c>
      <c r="BD98" s="18"/>
      <c r="BE98" s="18"/>
      <c r="BF98" s="18" t="str">
        <f t="shared" si="37"/>
        <v/>
      </c>
      <c r="BG98" s="18"/>
      <c r="BH98" s="18"/>
      <c r="BI98" s="18" t="str">
        <f t="shared" si="38"/>
        <v/>
      </c>
      <c r="BJ98" s="18"/>
      <c r="BK98" s="18"/>
      <c r="BL98" s="18" t="str">
        <f t="shared" si="39"/>
        <v/>
      </c>
      <c r="BM98" s="18"/>
      <c r="BN98" s="18"/>
      <c r="BO98" s="18" t="str">
        <f t="shared" si="40"/>
        <v/>
      </c>
      <c r="BP98" s="18"/>
      <c r="BQ98" s="18"/>
      <c r="BR98" s="18" t="str">
        <f t="shared" si="41"/>
        <v/>
      </c>
    </row>
    <row r="99" spans="1:70" ht="25.5" x14ac:dyDescent="0.25">
      <c r="A99" s="2" t="s">
        <v>789</v>
      </c>
      <c r="B99" s="2" t="str">
        <f>VLOOKUP($A99,[2]Projekty!$A$2:$AR$1147,4,0)</f>
        <v>OPKZP-PO1-SC111-2016-10</v>
      </c>
      <c r="C99" s="2" t="str">
        <f>VLOOKUP($A99,[2]Projekty!$A$2:$AR$1147,6,0)</f>
        <v>Obec Lednické Rovne</v>
      </c>
      <c r="D99" s="2" t="str">
        <f>VLOOKUP($A99,[2]Projekty!$A$2:$AR$1147,7,0)</f>
        <v>Modernizácia zberného dvora v Lednických Rovniach</v>
      </c>
      <c r="E99" s="2" t="str">
        <f>VLOOKUP($A99,[2]Projekty!$A$2:$AR$1147,9,0)</f>
        <v>TN</v>
      </c>
      <c r="F99" s="2" t="str">
        <f>VLOOKUP($A99,[2]Projekty!$A$2:$AR$1147,14,0)</f>
        <v>Realizácia</v>
      </c>
      <c r="G99" s="61">
        <f>VLOOKUP($A99,'[2]Dĺžka realizácie'!$A$2:$AR$1148,8,0)</f>
        <v>43404</v>
      </c>
      <c r="H99" s="18"/>
      <c r="I99" s="18"/>
      <c r="J99" s="18" t="str">
        <f t="shared" si="21"/>
        <v/>
      </c>
      <c r="K99" s="18"/>
      <c r="L99" s="18"/>
      <c r="M99" s="18" t="str">
        <f t="shared" si="22"/>
        <v/>
      </c>
      <c r="N99" s="18"/>
      <c r="O99" s="18"/>
      <c r="P99" s="18" t="str">
        <f t="shared" si="23"/>
        <v/>
      </c>
      <c r="Q99" s="18"/>
      <c r="R99" s="18"/>
      <c r="S99" s="18" t="str">
        <f t="shared" si="24"/>
        <v/>
      </c>
      <c r="T99" s="18">
        <v>165.81</v>
      </c>
      <c r="U99" s="18"/>
      <c r="V99" s="18">
        <f t="shared" si="25"/>
        <v>165.81</v>
      </c>
      <c r="W99" s="18"/>
      <c r="X99" s="18"/>
      <c r="Y99" s="18" t="str">
        <f t="shared" si="26"/>
        <v/>
      </c>
      <c r="Z99" s="18"/>
      <c r="AA99" s="18"/>
      <c r="AB99" s="18" t="str">
        <f t="shared" si="27"/>
        <v/>
      </c>
      <c r="AC99" s="18">
        <v>1500</v>
      </c>
      <c r="AD99" s="18"/>
      <c r="AE99" s="18">
        <f t="shared" si="28"/>
        <v>1500</v>
      </c>
      <c r="AF99" s="18"/>
      <c r="AG99" s="18"/>
      <c r="AH99" s="18" t="str">
        <f t="shared" si="29"/>
        <v/>
      </c>
      <c r="AI99" s="18"/>
      <c r="AJ99" s="18"/>
      <c r="AK99" s="18" t="str">
        <f t="shared" si="30"/>
        <v/>
      </c>
      <c r="AL99" s="18"/>
      <c r="AM99" s="18"/>
      <c r="AN99" s="18" t="str">
        <f t="shared" si="31"/>
        <v/>
      </c>
      <c r="AO99" s="18"/>
      <c r="AP99" s="18"/>
      <c r="AQ99" s="18" t="str">
        <f t="shared" si="32"/>
        <v/>
      </c>
      <c r="AR99" s="18">
        <v>1</v>
      </c>
      <c r="AS99" s="18"/>
      <c r="AT99" s="18">
        <f t="shared" si="33"/>
        <v>1</v>
      </c>
      <c r="AU99" s="18"/>
      <c r="AV99" s="18"/>
      <c r="AW99" s="18" t="str">
        <f t="shared" si="34"/>
        <v/>
      </c>
      <c r="AX99" s="18"/>
      <c r="AY99" s="18"/>
      <c r="AZ99" s="18" t="str">
        <f t="shared" si="35"/>
        <v/>
      </c>
      <c r="BA99" s="18">
        <v>165.81</v>
      </c>
      <c r="BB99" s="18"/>
      <c r="BC99" s="18">
        <f t="shared" si="36"/>
        <v>165.81</v>
      </c>
      <c r="BD99" s="18"/>
      <c r="BE99" s="18"/>
      <c r="BF99" s="18" t="str">
        <f t="shared" si="37"/>
        <v/>
      </c>
      <c r="BG99" s="18"/>
      <c r="BH99" s="18"/>
      <c r="BI99" s="18" t="str">
        <f t="shared" si="38"/>
        <v/>
      </c>
      <c r="BJ99" s="18"/>
      <c r="BK99" s="18"/>
      <c r="BL99" s="18" t="str">
        <f t="shared" si="39"/>
        <v/>
      </c>
      <c r="BM99" s="18"/>
      <c r="BN99" s="18"/>
      <c r="BO99" s="18" t="str">
        <f t="shared" si="40"/>
        <v/>
      </c>
      <c r="BP99" s="18"/>
      <c r="BQ99" s="18"/>
      <c r="BR99" s="18" t="str">
        <f t="shared" si="41"/>
        <v/>
      </c>
    </row>
    <row r="100" spans="1:70" x14ac:dyDescent="0.25">
      <c r="A100" s="2" t="s">
        <v>832</v>
      </c>
      <c r="B100" s="2" t="str">
        <f>VLOOKUP($A100,[2]Projekty!$A$2:$AR$1147,4,0)</f>
        <v>OPKZP-PO1-SC111-2016-10</v>
      </c>
      <c r="C100" s="2" t="str">
        <f>VLOOKUP($A100,[2]Projekty!$A$2:$AR$1147,6,0)</f>
        <v>Obec Oravská Jasenica</v>
      </c>
      <c r="D100" s="2" t="str">
        <f>VLOOKUP($A100,[2]Projekty!$A$2:$AR$1147,7,0)</f>
        <v>Zberný dvor Oravská Jasenica</v>
      </c>
      <c r="E100" s="2" t="str">
        <f>VLOOKUP($A100,[2]Projekty!$A$2:$AR$1147,9,0)</f>
        <v>ZA</v>
      </c>
      <c r="F100" s="2" t="str">
        <f>VLOOKUP($A100,[2]Projekty!$A$2:$AR$1147,14,0)</f>
        <v>Realizácia</v>
      </c>
      <c r="G100" s="61">
        <f>VLOOKUP($A100,'[2]Dĺžka realizácie'!$A$2:$AR$1148,8,0)</f>
        <v>43159</v>
      </c>
      <c r="H100" s="18"/>
      <c r="I100" s="18"/>
      <c r="J100" s="18" t="str">
        <f t="shared" si="21"/>
        <v/>
      </c>
      <c r="K100" s="18"/>
      <c r="L100" s="18"/>
      <c r="M100" s="18" t="str">
        <f t="shared" si="22"/>
        <v/>
      </c>
      <c r="N100" s="18"/>
      <c r="O100" s="18"/>
      <c r="P100" s="18" t="str">
        <f t="shared" si="23"/>
        <v/>
      </c>
      <c r="Q100" s="18"/>
      <c r="R100" s="18"/>
      <c r="S100" s="18" t="str">
        <f t="shared" si="24"/>
        <v/>
      </c>
      <c r="T100" s="18">
        <v>330</v>
      </c>
      <c r="U100" s="18"/>
      <c r="V100" s="18">
        <f t="shared" si="25"/>
        <v>330</v>
      </c>
      <c r="W100" s="18"/>
      <c r="X100" s="18"/>
      <c r="Y100" s="18" t="str">
        <f t="shared" si="26"/>
        <v/>
      </c>
      <c r="Z100" s="18"/>
      <c r="AA100" s="18"/>
      <c r="AB100" s="18" t="str">
        <f t="shared" si="27"/>
        <v/>
      </c>
      <c r="AC100" s="18">
        <v>500</v>
      </c>
      <c r="AD100" s="18"/>
      <c r="AE100" s="18">
        <f t="shared" si="28"/>
        <v>500</v>
      </c>
      <c r="AF100" s="18"/>
      <c r="AG100" s="18"/>
      <c r="AH100" s="18" t="str">
        <f t="shared" si="29"/>
        <v/>
      </c>
      <c r="AI100" s="18"/>
      <c r="AJ100" s="18"/>
      <c r="AK100" s="18" t="str">
        <f t="shared" si="30"/>
        <v/>
      </c>
      <c r="AL100" s="18"/>
      <c r="AM100" s="18"/>
      <c r="AN100" s="18" t="str">
        <f t="shared" si="31"/>
        <v/>
      </c>
      <c r="AO100" s="18"/>
      <c r="AP100" s="18"/>
      <c r="AQ100" s="18" t="str">
        <f t="shared" si="32"/>
        <v/>
      </c>
      <c r="AR100" s="18">
        <v>4</v>
      </c>
      <c r="AS100" s="18"/>
      <c r="AT100" s="18">
        <f t="shared" si="33"/>
        <v>4</v>
      </c>
      <c r="AU100" s="18"/>
      <c r="AV100" s="18"/>
      <c r="AW100" s="18" t="str">
        <f t="shared" si="34"/>
        <v/>
      </c>
      <c r="AX100" s="18"/>
      <c r="AY100" s="18"/>
      <c r="AZ100" s="18" t="str">
        <f t="shared" si="35"/>
        <v/>
      </c>
      <c r="BA100" s="18">
        <v>330</v>
      </c>
      <c r="BB100" s="18"/>
      <c r="BC100" s="18">
        <f t="shared" si="36"/>
        <v>330</v>
      </c>
      <c r="BD100" s="18"/>
      <c r="BE100" s="18"/>
      <c r="BF100" s="18" t="str">
        <f t="shared" si="37"/>
        <v/>
      </c>
      <c r="BG100" s="18"/>
      <c r="BH100" s="18"/>
      <c r="BI100" s="18" t="str">
        <f t="shared" si="38"/>
        <v/>
      </c>
      <c r="BJ100" s="18"/>
      <c r="BK100" s="18"/>
      <c r="BL100" s="18" t="str">
        <f t="shared" si="39"/>
        <v/>
      </c>
      <c r="BM100" s="18"/>
      <c r="BN100" s="18"/>
      <c r="BO100" s="18" t="str">
        <f t="shared" si="40"/>
        <v/>
      </c>
      <c r="BP100" s="18"/>
      <c r="BQ100" s="18"/>
      <c r="BR100" s="18" t="str">
        <f t="shared" si="41"/>
        <v/>
      </c>
    </row>
    <row r="101" spans="1:70" x14ac:dyDescent="0.25">
      <c r="A101" s="2" t="s">
        <v>824</v>
      </c>
      <c r="B101" s="2" t="str">
        <f>VLOOKUP($A101,[2]Projekty!$A$2:$AR$1147,4,0)</f>
        <v>OPKZP-PO1-SC111-2016-10</v>
      </c>
      <c r="C101" s="2" t="str">
        <f>VLOOKUP($A101,[2]Projekty!$A$2:$AR$1147,6,0)</f>
        <v>Obec Vyhne</v>
      </c>
      <c r="D101" s="2" t="str">
        <f>VLOOKUP($A101,[2]Projekty!$A$2:$AR$1147,7,0)</f>
        <v>Zberný dvor Vyhne</v>
      </c>
      <c r="E101" s="2" t="str">
        <f>VLOOKUP($A101,[2]Projekty!$A$2:$AR$1147,9,0)</f>
        <v>BB</v>
      </c>
      <c r="F101" s="2" t="str">
        <f>VLOOKUP($A101,[2]Projekty!$A$2:$AR$1147,14,0)</f>
        <v>Realizácia</v>
      </c>
      <c r="G101" s="61">
        <f>VLOOKUP($A101,'[2]Dĺžka realizácie'!$A$2:$AR$1148,8,0)</f>
        <v>43281</v>
      </c>
      <c r="H101" s="18"/>
      <c r="I101" s="18"/>
      <c r="J101" s="18" t="str">
        <f t="shared" si="21"/>
        <v/>
      </c>
      <c r="K101" s="18"/>
      <c r="L101" s="18"/>
      <c r="M101" s="18" t="str">
        <f t="shared" si="22"/>
        <v/>
      </c>
      <c r="N101" s="18"/>
      <c r="O101" s="18"/>
      <c r="P101" s="18" t="str">
        <f t="shared" si="23"/>
        <v/>
      </c>
      <c r="Q101" s="18"/>
      <c r="R101" s="18"/>
      <c r="S101" s="18" t="str">
        <f t="shared" si="24"/>
        <v/>
      </c>
      <c r="T101" s="18">
        <v>610.97</v>
      </c>
      <c r="U101" s="18"/>
      <c r="V101" s="18">
        <f t="shared" si="25"/>
        <v>610.97</v>
      </c>
      <c r="W101" s="18"/>
      <c r="X101" s="18"/>
      <c r="Y101" s="18" t="str">
        <f t="shared" si="26"/>
        <v/>
      </c>
      <c r="Z101" s="18"/>
      <c r="AA101" s="18"/>
      <c r="AB101" s="18" t="str">
        <f t="shared" si="27"/>
        <v/>
      </c>
      <c r="AC101" s="18">
        <v>1224</v>
      </c>
      <c r="AD101" s="18"/>
      <c r="AE101" s="18">
        <f t="shared" si="28"/>
        <v>1224</v>
      </c>
      <c r="AF101" s="18"/>
      <c r="AG101" s="18"/>
      <c r="AH101" s="18" t="str">
        <f t="shared" si="29"/>
        <v/>
      </c>
      <c r="AI101" s="18"/>
      <c r="AJ101" s="18"/>
      <c r="AK101" s="18" t="str">
        <f t="shared" si="30"/>
        <v/>
      </c>
      <c r="AL101" s="18"/>
      <c r="AM101" s="18"/>
      <c r="AN101" s="18" t="str">
        <f t="shared" si="31"/>
        <v/>
      </c>
      <c r="AO101" s="18"/>
      <c r="AP101" s="18"/>
      <c r="AQ101" s="18" t="str">
        <f t="shared" si="32"/>
        <v/>
      </c>
      <c r="AR101" s="18">
        <v>4</v>
      </c>
      <c r="AS101" s="18"/>
      <c r="AT101" s="18">
        <f t="shared" si="33"/>
        <v>4</v>
      </c>
      <c r="AU101" s="18"/>
      <c r="AV101" s="18"/>
      <c r="AW101" s="18" t="str">
        <f t="shared" si="34"/>
        <v/>
      </c>
      <c r="AX101" s="18"/>
      <c r="AY101" s="18"/>
      <c r="AZ101" s="18" t="str">
        <f t="shared" si="35"/>
        <v/>
      </c>
      <c r="BA101" s="18">
        <v>610.97</v>
      </c>
      <c r="BB101" s="18"/>
      <c r="BC101" s="18">
        <f t="shared" si="36"/>
        <v>610.97</v>
      </c>
      <c r="BD101" s="18"/>
      <c r="BE101" s="18"/>
      <c r="BF101" s="18" t="str">
        <f t="shared" si="37"/>
        <v/>
      </c>
      <c r="BG101" s="18"/>
      <c r="BH101" s="18"/>
      <c r="BI101" s="18" t="str">
        <f t="shared" si="38"/>
        <v/>
      </c>
      <c r="BJ101" s="18"/>
      <c r="BK101" s="18"/>
      <c r="BL101" s="18" t="str">
        <f t="shared" si="39"/>
        <v/>
      </c>
      <c r="BM101" s="18"/>
      <c r="BN101" s="18"/>
      <c r="BO101" s="18" t="str">
        <f t="shared" si="40"/>
        <v/>
      </c>
      <c r="BP101" s="18"/>
      <c r="BQ101" s="18"/>
      <c r="BR101" s="18" t="str">
        <f t="shared" si="41"/>
        <v/>
      </c>
    </row>
    <row r="102" spans="1:70" ht="25.5" x14ac:dyDescent="0.25">
      <c r="A102" s="2" t="s">
        <v>754</v>
      </c>
      <c r="B102" s="2" t="str">
        <f>VLOOKUP($A102,[2]Projekty!$A$2:$AR$1147,4,0)</f>
        <v>OPKZP-PO1-SC111-2016-10</v>
      </c>
      <c r="C102" s="2" t="str">
        <f>VLOOKUP($A102,[2]Projekty!$A$2:$AR$1147,6,0)</f>
        <v>Obec Bešeňov</v>
      </c>
      <c r="D102" s="2" t="str">
        <f>VLOOKUP($A102,[2]Projekty!$A$2:$AR$1147,7,0)</f>
        <v>Nákup hnuteľných vecí na podporu triedeného zberu</v>
      </c>
      <c r="E102" s="2" t="str">
        <f>VLOOKUP($A102,[2]Projekty!$A$2:$AR$1147,9,0)</f>
        <v>NR</v>
      </c>
      <c r="F102" s="2" t="str">
        <f>VLOOKUP($A102,[2]Projekty!$A$2:$AR$1147,14,0)</f>
        <v>Realizácia</v>
      </c>
      <c r="G102" s="61">
        <f>VLOOKUP($A102,'[2]Dĺžka realizácie'!$A$2:$AR$1148,8,0)</f>
        <v>43159</v>
      </c>
      <c r="H102" s="18"/>
      <c r="I102" s="18"/>
      <c r="J102" s="18" t="str">
        <f t="shared" si="21"/>
        <v/>
      </c>
      <c r="K102" s="18"/>
      <c r="L102" s="18"/>
      <c r="M102" s="18" t="str">
        <f t="shared" si="22"/>
        <v/>
      </c>
      <c r="N102" s="18"/>
      <c r="O102" s="18"/>
      <c r="P102" s="18" t="str">
        <f t="shared" si="23"/>
        <v/>
      </c>
      <c r="Q102" s="18"/>
      <c r="R102" s="18"/>
      <c r="S102" s="18" t="str">
        <f t="shared" si="24"/>
        <v/>
      </c>
      <c r="T102" s="18">
        <v>110</v>
      </c>
      <c r="U102" s="18"/>
      <c r="V102" s="18">
        <f t="shared" si="25"/>
        <v>110</v>
      </c>
      <c r="W102" s="18"/>
      <c r="X102" s="18"/>
      <c r="Y102" s="18" t="str">
        <f t="shared" si="26"/>
        <v/>
      </c>
      <c r="Z102" s="18"/>
      <c r="AA102" s="18"/>
      <c r="AB102" s="18" t="str">
        <f t="shared" si="27"/>
        <v/>
      </c>
      <c r="AC102" s="18"/>
      <c r="AD102" s="18"/>
      <c r="AE102" s="18" t="str">
        <f t="shared" si="28"/>
        <v/>
      </c>
      <c r="AF102" s="18"/>
      <c r="AG102" s="18"/>
      <c r="AH102" s="18" t="str">
        <f t="shared" si="29"/>
        <v/>
      </c>
      <c r="AI102" s="18"/>
      <c r="AJ102" s="18"/>
      <c r="AK102" s="18" t="str">
        <f t="shared" si="30"/>
        <v/>
      </c>
      <c r="AL102" s="18"/>
      <c r="AM102" s="18"/>
      <c r="AN102" s="18" t="str">
        <f t="shared" si="31"/>
        <v/>
      </c>
      <c r="AO102" s="18"/>
      <c r="AP102" s="18"/>
      <c r="AQ102" s="18" t="str">
        <f t="shared" si="32"/>
        <v/>
      </c>
      <c r="AR102" s="18"/>
      <c r="AS102" s="18"/>
      <c r="AT102" s="18" t="str">
        <f t="shared" si="33"/>
        <v/>
      </c>
      <c r="AU102" s="18"/>
      <c r="AV102" s="18"/>
      <c r="AW102" s="18" t="str">
        <f t="shared" si="34"/>
        <v/>
      </c>
      <c r="AX102" s="18"/>
      <c r="AY102" s="18"/>
      <c r="AZ102" s="18" t="str">
        <f t="shared" si="35"/>
        <v/>
      </c>
      <c r="BA102" s="18">
        <v>110</v>
      </c>
      <c r="BB102" s="18"/>
      <c r="BC102" s="18">
        <f t="shared" si="36"/>
        <v>110</v>
      </c>
      <c r="BD102" s="18"/>
      <c r="BE102" s="18"/>
      <c r="BF102" s="18" t="str">
        <f t="shared" si="37"/>
        <v/>
      </c>
      <c r="BG102" s="18"/>
      <c r="BH102" s="18"/>
      <c r="BI102" s="18" t="str">
        <f t="shared" si="38"/>
        <v/>
      </c>
      <c r="BJ102" s="18"/>
      <c r="BK102" s="18"/>
      <c r="BL102" s="18" t="str">
        <f t="shared" si="39"/>
        <v/>
      </c>
      <c r="BM102" s="18"/>
      <c r="BN102" s="18"/>
      <c r="BO102" s="18" t="str">
        <f t="shared" si="40"/>
        <v/>
      </c>
      <c r="BP102" s="18"/>
      <c r="BQ102" s="18"/>
      <c r="BR102" s="18" t="str">
        <f t="shared" si="41"/>
        <v/>
      </c>
    </row>
    <row r="103" spans="1:70" ht="25.5" x14ac:dyDescent="0.25">
      <c r="A103" s="2" t="s">
        <v>755</v>
      </c>
      <c r="B103" s="2" t="str">
        <f>VLOOKUP($A103,[2]Projekty!$A$2:$AR$1147,4,0)</f>
        <v>OPKZP-PO1-SC111-2016-11</v>
      </c>
      <c r="C103" s="2" t="str">
        <f>VLOOKUP($A103,[2]Projekty!$A$2:$AR$1147,6,0)</f>
        <v>Technické služby s.r.o.</v>
      </c>
      <c r="D103" s="2" t="str">
        <f>VLOOKUP($A103,[2]Projekty!$A$2:$AR$1147,7,0)</f>
        <v>Triedený zber komunálnych odpadov v meste Dolný Kubín</v>
      </c>
      <c r="E103" s="2" t="str">
        <f>VLOOKUP($A103,[2]Projekty!$A$2:$AR$1147,9,0)</f>
        <v>ZA</v>
      </c>
      <c r="F103" s="2" t="str">
        <f>VLOOKUP($A103,[2]Projekty!$A$2:$AR$1147,14,0)</f>
        <v>Realizácia</v>
      </c>
      <c r="G103" s="61">
        <f>VLOOKUP($A103,'[2]Dĺžka realizácie'!$A$2:$AR$1148,8,0)</f>
        <v>43373</v>
      </c>
      <c r="H103" s="18"/>
      <c r="I103" s="18"/>
      <c r="J103" s="18" t="str">
        <f t="shared" si="21"/>
        <v/>
      </c>
      <c r="K103" s="18"/>
      <c r="L103" s="18"/>
      <c r="M103" s="18" t="str">
        <f t="shared" si="22"/>
        <v/>
      </c>
      <c r="N103" s="18"/>
      <c r="O103" s="18"/>
      <c r="P103" s="18" t="str">
        <f t="shared" si="23"/>
        <v/>
      </c>
      <c r="Q103" s="18"/>
      <c r="R103" s="18"/>
      <c r="S103" s="18" t="str">
        <f t="shared" si="24"/>
        <v/>
      </c>
      <c r="T103" s="18">
        <v>550.54</v>
      </c>
      <c r="U103" s="18"/>
      <c r="V103" s="18">
        <f t="shared" si="25"/>
        <v>550.54</v>
      </c>
      <c r="W103" s="18"/>
      <c r="X103" s="18"/>
      <c r="Y103" s="18" t="str">
        <f t="shared" si="26"/>
        <v/>
      </c>
      <c r="Z103" s="18"/>
      <c r="AA103" s="18"/>
      <c r="AB103" s="18" t="str">
        <f t="shared" si="27"/>
        <v/>
      </c>
      <c r="AC103" s="18"/>
      <c r="AD103" s="18"/>
      <c r="AE103" s="18" t="str">
        <f t="shared" si="28"/>
        <v/>
      </c>
      <c r="AF103" s="18"/>
      <c r="AG103" s="18"/>
      <c r="AH103" s="18" t="str">
        <f t="shared" si="29"/>
        <v/>
      </c>
      <c r="AI103" s="18"/>
      <c r="AJ103" s="18"/>
      <c r="AK103" s="18" t="str">
        <f t="shared" si="30"/>
        <v/>
      </c>
      <c r="AL103" s="18"/>
      <c r="AM103" s="18"/>
      <c r="AN103" s="18" t="str">
        <f t="shared" si="31"/>
        <v/>
      </c>
      <c r="AO103" s="18"/>
      <c r="AP103" s="18"/>
      <c r="AQ103" s="18" t="str">
        <f t="shared" si="32"/>
        <v/>
      </c>
      <c r="AR103" s="18"/>
      <c r="AS103" s="18"/>
      <c r="AT103" s="18" t="str">
        <f t="shared" si="33"/>
        <v/>
      </c>
      <c r="AU103" s="18"/>
      <c r="AV103" s="18"/>
      <c r="AW103" s="18" t="str">
        <f t="shared" si="34"/>
        <v/>
      </c>
      <c r="AX103" s="18"/>
      <c r="AY103" s="18"/>
      <c r="AZ103" s="18" t="str">
        <f t="shared" si="35"/>
        <v/>
      </c>
      <c r="BA103" s="18">
        <v>550.54</v>
      </c>
      <c r="BB103" s="18"/>
      <c r="BC103" s="18">
        <f t="shared" si="36"/>
        <v>550.54</v>
      </c>
      <c r="BD103" s="18"/>
      <c r="BE103" s="18"/>
      <c r="BF103" s="18" t="str">
        <f t="shared" si="37"/>
        <v/>
      </c>
      <c r="BG103" s="18"/>
      <c r="BH103" s="18"/>
      <c r="BI103" s="18" t="str">
        <f t="shared" si="38"/>
        <v/>
      </c>
      <c r="BJ103" s="18"/>
      <c r="BK103" s="18"/>
      <c r="BL103" s="18" t="str">
        <f t="shared" si="39"/>
        <v/>
      </c>
      <c r="BM103" s="18"/>
      <c r="BN103" s="18"/>
      <c r="BO103" s="18" t="str">
        <f t="shared" si="40"/>
        <v/>
      </c>
      <c r="BP103" s="18"/>
      <c r="BQ103" s="18"/>
      <c r="BR103" s="18" t="str">
        <f t="shared" si="41"/>
        <v/>
      </c>
    </row>
    <row r="104" spans="1:70" ht="25.5" x14ac:dyDescent="0.25">
      <c r="A104" s="2" t="s">
        <v>756</v>
      </c>
      <c r="B104" s="2" t="str">
        <f>VLOOKUP($A104,[2]Projekty!$A$2:$AR$1147,4,0)</f>
        <v>OPKZP-PO1-SC111-2016-11</v>
      </c>
      <c r="C104" s="2" t="str">
        <f>VLOOKUP($A104,[2]Projekty!$A$2:$AR$1147,6,0)</f>
        <v>Obec Chrenovec - Brusno</v>
      </c>
      <c r="D104" s="2" t="str">
        <f>VLOOKUP($A104,[2]Projekty!$A$2:$AR$1147,7,0)</f>
        <v>Zhodnocovanie biologicky rozložiteľného komunálneho odpadu v obci Chrenovec-Brusno</v>
      </c>
      <c r="E104" s="2" t="str">
        <f>VLOOKUP($A104,[2]Projekty!$A$2:$AR$1147,9,0)</f>
        <v>TN</v>
      </c>
      <c r="F104" s="2" t="str">
        <f>VLOOKUP($A104,[2]Projekty!$A$2:$AR$1147,14,0)</f>
        <v>Realizácia</v>
      </c>
      <c r="G104" s="61">
        <f>VLOOKUP($A104,'[2]Dĺžka realizácie'!$A$2:$AR$1148,8,0)</f>
        <v>43100</v>
      </c>
      <c r="H104" s="18"/>
      <c r="I104" s="18"/>
      <c r="J104" s="18" t="str">
        <f t="shared" si="21"/>
        <v/>
      </c>
      <c r="K104" s="18"/>
      <c r="L104" s="18"/>
      <c r="M104" s="18" t="str">
        <f t="shared" si="22"/>
        <v/>
      </c>
      <c r="N104" s="18"/>
      <c r="O104" s="18"/>
      <c r="P104" s="18" t="str">
        <f t="shared" si="23"/>
        <v/>
      </c>
      <c r="Q104" s="18"/>
      <c r="R104" s="18"/>
      <c r="S104" s="18" t="str">
        <f t="shared" si="24"/>
        <v/>
      </c>
      <c r="T104" s="18"/>
      <c r="U104" s="18"/>
      <c r="V104" s="18" t="str">
        <f t="shared" si="25"/>
        <v/>
      </c>
      <c r="W104" s="18">
        <v>100</v>
      </c>
      <c r="X104" s="18"/>
      <c r="Y104" s="18">
        <f t="shared" si="26"/>
        <v>100</v>
      </c>
      <c r="Z104" s="18"/>
      <c r="AA104" s="18"/>
      <c r="AB104" s="18" t="str">
        <f t="shared" si="27"/>
        <v/>
      </c>
      <c r="AC104" s="18"/>
      <c r="AD104" s="18"/>
      <c r="AE104" s="18" t="str">
        <f t="shared" si="28"/>
        <v/>
      </c>
      <c r="AF104" s="18"/>
      <c r="AG104" s="18"/>
      <c r="AH104" s="18" t="str">
        <f t="shared" si="29"/>
        <v/>
      </c>
      <c r="AI104" s="18"/>
      <c r="AJ104" s="18"/>
      <c r="AK104" s="18" t="str">
        <f t="shared" si="30"/>
        <v/>
      </c>
      <c r="AL104" s="18"/>
      <c r="AM104" s="18"/>
      <c r="AN104" s="18" t="str">
        <f t="shared" si="31"/>
        <v/>
      </c>
      <c r="AO104" s="18"/>
      <c r="AP104" s="18"/>
      <c r="AQ104" s="18" t="str">
        <f t="shared" si="32"/>
        <v/>
      </c>
      <c r="AR104" s="18"/>
      <c r="AS104" s="18"/>
      <c r="AT104" s="18" t="str">
        <f t="shared" si="33"/>
        <v/>
      </c>
      <c r="AU104" s="18"/>
      <c r="AV104" s="18"/>
      <c r="AW104" s="18" t="str">
        <f t="shared" si="34"/>
        <v/>
      </c>
      <c r="AX104" s="18"/>
      <c r="AY104" s="18"/>
      <c r="AZ104" s="18" t="str">
        <f t="shared" si="35"/>
        <v/>
      </c>
      <c r="BA104" s="18"/>
      <c r="BB104" s="18"/>
      <c r="BC104" s="18" t="str">
        <f t="shared" si="36"/>
        <v/>
      </c>
      <c r="BD104" s="18">
        <v>100</v>
      </c>
      <c r="BE104" s="18"/>
      <c r="BF104" s="18">
        <f t="shared" si="37"/>
        <v>100</v>
      </c>
      <c r="BG104" s="18"/>
      <c r="BH104" s="18"/>
      <c r="BI104" s="18" t="str">
        <f t="shared" si="38"/>
        <v/>
      </c>
      <c r="BJ104" s="18"/>
      <c r="BK104" s="18"/>
      <c r="BL104" s="18" t="str">
        <f t="shared" si="39"/>
        <v/>
      </c>
      <c r="BM104" s="18"/>
      <c r="BN104" s="18"/>
      <c r="BO104" s="18" t="str">
        <f t="shared" si="40"/>
        <v/>
      </c>
      <c r="BP104" s="18"/>
      <c r="BQ104" s="18"/>
      <c r="BR104" s="18" t="str">
        <f t="shared" si="41"/>
        <v/>
      </c>
    </row>
    <row r="105" spans="1:70" x14ac:dyDescent="0.25">
      <c r="A105" s="2" t="s">
        <v>757</v>
      </c>
      <c r="B105" s="2" t="str">
        <f>VLOOKUP($A105,[2]Projekty!$A$2:$AR$1147,4,0)</f>
        <v>OPKZP-PO1-SC111-2016-10</v>
      </c>
      <c r="C105" s="2" t="str">
        <f>VLOOKUP($A105,[2]Projekty!$A$2:$AR$1147,6,0)</f>
        <v>Obec Častkovce</v>
      </c>
      <c r="D105" s="2" t="str">
        <f>VLOOKUP($A105,[2]Projekty!$A$2:$AR$1147,7,0)</f>
        <v>Zberný dvor - Častkovce</v>
      </c>
      <c r="E105" s="2" t="str">
        <f>VLOOKUP($A105,[2]Projekty!$A$2:$AR$1147,9,0)</f>
        <v>TN</v>
      </c>
      <c r="F105" s="2" t="str">
        <f>VLOOKUP($A105,[2]Projekty!$A$2:$AR$1147,14,0)</f>
        <v>Realizácia</v>
      </c>
      <c r="G105" s="61">
        <f>VLOOKUP($A105,'[2]Dĺžka realizácie'!$A$2:$AR$1148,8,0)</f>
        <v>43220</v>
      </c>
      <c r="H105" s="18"/>
      <c r="I105" s="18"/>
      <c r="J105" s="18" t="str">
        <f t="shared" si="21"/>
        <v/>
      </c>
      <c r="K105" s="18"/>
      <c r="L105" s="18"/>
      <c r="M105" s="18" t="str">
        <f t="shared" si="22"/>
        <v/>
      </c>
      <c r="N105" s="18"/>
      <c r="O105" s="18"/>
      <c r="P105" s="18" t="str">
        <f t="shared" si="23"/>
        <v/>
      </c>
      <c r="Q105" s="18"/>
      <c r="R105" s="18"/>
      <c r="S105" s="18" t="str">
        <f t="shared" si="24"/>
        <v/>
      </c>
      <c r="T105" s="18">
        <v>294.7</v>
      </c>
      <c r="U105" s="18"/>
      <c r="V105" s="18">
        <f t="shared" si="25"/>
        <v>294.7</v>
      </c>
      <c r="W105" s="18"/>
      <c r="X105" s="18"/>
      <c r="Y105" s="18" t="str">
        <f t="shared" si="26"/>
        <v/>
      </c>
      <c r="Z105" s="18"/>
      <c r="AA105" s="18"/>
      <c r="AB105" s="18" t="str">
        <f t="shared" si="27"/>
        <v/>
      </c>
      <c r="AC105" s="18">
        <v>600</v>
      </c>
      <c r="AD105" s="18"/>
      <c r="AE105" s="18">
        <f t="shared" si="28"/>
        <v>600</v>
      </c>
      <c r="AF105" s="18"/>
      <c r="AG105" s="18"/>
      <c r="AH105" s="18" t="str">
        <f t="shared" si="29"/>
        <v/>
      </c>
      <c r="AI105" s="18"/>
      <c r="AJ105" s="18"/>
      <c r="AK105" s="18" t="str">
        <f t="shared" si="30"/>
        <v/>
      </c>
      <c r="AL105" s="18"/>
      <c r="AM105" s="18"/>
      <c r="AN105" s="18" t="str">
        <f t="shared" si="31"/>
        <v/>
      </c>
      <c r="AO105" s="18"/>
      <c r="AP105" s="18"/>
      <c r="AQ105" s="18" t="str">
        <f t="shared" si="32"/>
        <v/>
      </c>
      <c r="AR105" s="18">
        <v>1</v>
      </c>
      <c r="AS105" s="18"/>
      <c r="AT105" s="18">
        <f t="shared" si="33"/>
        <v>1</v>
      </c>
      <c r="AU105" s="18"/>
      <c r="AV105" s="18"/>
      <c r="AW105" s="18" t="str">
        <f t="shared" si="34"/>
        <v/>
      </c>
      <c r="AX105" s="18"/>
      <c r="AY105" s="18"/>
      <c r="AZ105" s="18" t="str">
        <f t="shared" si="35"/>
        <v/>
      </c>
      <c r="BA105" s="18">
        <v>294.7</v>
      </c>
      <c r="BB105" s="18"/>
      <c r="BC105" s="18">
        <f t="shared" si="36"/>
        <v>294.7</v>
      </c>
      <c r="BD105" s="18"/>
      <c r="BE105" s="18"/>
      <c r="BF105" s="18" t="str">
        <f t="shared" si="37"/>
        <v/>
      </c>
      <c r="BG105" s="18"/>
      <c r="BH105" s="18"/>
      <c r="BI105" s="18" t="str">
        <f t="shared" si="38"/>
        <v/>
      </c>
      <c r="BJ105" s="18"/>
      <c r="BK105" s="18"/>
      <c r="BL105" s="18" t="str">
        <f t="shared" si="39"/>
        <v/>
      </c>
      <c r="BM105" s="18"/>
      <c r="BN105" s="18"/>
      <c r="BO105" s="18" t="str">
        <f t="shared" si="40"/>
        <v/>
      </c>
      <c r="BP105" s="18"/>
      <c r="BQ105" s="18"/>
      <c r="BR105" s="18" t="str">
        <f t="shared" si="41"/>
        <v/>
      </c>
    </row>
    <row r="106" spans="1:70" ht="25.5" x14ac:dyDescent="0.25">
      <c r="A106" s="2" t="s">
        <v>815</v>
      </c>
      <c r="B106" s="2" t="str">
        <f>VLOOKUP($A106,[2]Projekty!$A$2:$AR$1147,4,0)</f>
        <v>OPKZP-PO1-SC111-2016-10</v>
      </c>
      <c r="C106" s="2" t="str">
        <f>VLOOKUP($A106,[2]Projekty!$A$2:$AR$1147,6,0)</f>
        <v>Mesto Sereď</v>
      </c>
      <c r="D106" s="2" t="str">
        <f>VLOOKUP($A106,[2]Projekty!$A$2:$AR$1147,7,0)</f>
        <v>Rozšírenie triedeného zberu v meste Sereď</v>
      </c>
      <c r="E106" s="2" t="str">
        <f>VLOOKUP($A106,[2]Projekty!$A$2:$AR$1147,9,0)</f>
        <v>TT</v>
      </c>
      <c r="F106" s="2" t="str">
        <f>VLOOKUP($A106,[2]Projekty!$A$2:$AR$1147,14,0)</f>
        <v>Aktivity nezačaté</v>
      </c>
      <c r="G106" s="61">
        <f>VLOOKUP($A106,'[2]Dĺžka realizácie'!$A$2:$AR$1148,8,0)</f>
        <v>43190</v>
      </c>
      <c r="H106" s="18"/>
      <c r="I106" s="18"/>
      <c r="J106" s="18" t="str">
        <f t="shared" si="21"/>
        <v/>
      </c>
      <c r="K106" s="18"/>
      <c r="L106" s="18"/>
      <c r="M106" s="18" t="str">
        <f t="shared" si="22"/>
        <v/>
      </c>
      <c r="N106" s="18"/>
      <c r="O106" s="18"/>
      <c r="P106" s="18" t="str">
        <f t="shared" si="23"/>
        <v/>
      </c>
      <c r="Q106" s="18"/>
      <c r="R106" s="18"/>
      <c r="S106" s="18" t="str">
        <f t="shared" si="24"/>
        <v/>
      </c>
      <c r="T106" s="18">
        <v>377</v>
      </c>
      <c r="U106" s="18"/>
      <c r="V106" s="18">
        <f t="shared" si="25"/>
        <v>377</v>
      </c>
      <c r="W106" s="18"/>
      <c r="X106" s="18"/>
      <c r="Y106" s="18" t="str">
        <f t="shared" si="26"/>
        <v/>
      </c>
      <c r="Z106" s="18"/>
      <c r="AA106" s="18"/>
      <c r="AB106" s="18" t="str">
        <f t="shared" si="27"/>
        <v/>
      </c>
      <c r="AC106" s="18"/>
      <c r="AD106" s="18"/>
      <c r="AE106" s="18" t="str">
        <f t="shared" si="28"/>
        <v/>
      </c>
      <c r="AF106" s="18"/>
      <c r="AG106" s="18"/>
      <c r="AH106" s="18" t="str">
        <f t="shared" si="29"/>
        <v/>
      </c>
      <c r="AI106" s="18"/>
      <c r="AJ106" s="18"/>
      <c r="AK106" s="18" t="str">
        <f t="shared" si="30"/>
        <v/>
      </c>
      <c r="AL106" s="18"/>
      <c r="AM106" s="18"/>
      <c r="AN106" s="18" t="str">
        <f t="shared" si="31"/>
        <v/>
      </c>
      <c r="AO106" s="18"/>
      <c r="AP106" s="18"/>
      <c r="AQ106" s="18" t="str">
        <f t="shared" si="32"/>
        <v/>
      </c>
      <c r="AR106" s="18"/>
      <c r="AS106" s="18"/>
      <c r="AT106" s="18" t="str">
        <f t="shared" si="33"/>
        <v/>
      </c>
      <c r="AU106" s="18"/>
      <c r="AV106" s="18"/>
      <c r="AW106" s="18" t="str">
        <f t="shared" si="34"/>
        <v/>
      </c>
      <c r="AX106" s="18"/>
      <c r="AY106" s="18"/>
      <c r="AZ106" s="18" t="str">
        <f t="shared" si="35"/>
        <v/>
      </c>
      <c r="BA106" s="18">
        <v>377</v>
      </c>
      <c r="BB106" s="18"/>
      <c r="BC106" s="18">
        <f t="shared" si="36"/>
        <v>377</v>
      </c>
      <c r="BD106" s="18"/>
      <c r="BE106" s="18"/>
      <c r="BF106" s="18" t="str">
        <f t="shared" si="37"/>
        <v/>
      </c>
      <c r="BG106" s="18"/>
      <c r="BH106" s="18"/>
      <c r="BI106" s="18" t="str">
        <f t="shared" si="38"/>
        <v/>
      </c>
      <c r="BJ106" s="18"/>
      <c r="BK106" s="18"/>
      <c r="BL106" s="18" t="str">
        <f t="shared" si="39"/>
        <v/>
      </c>
      <c r="BM106" s="18"/>
      <c r="BN106" s="18"/>
      <c r="BO106" s="18" t="str">
        <f t="shared" si="40"/>
        <v/>
      </c>
      <c r="BP106" s="18"/>
      <c r="BQ106" s="18"/>
      <c r="BR106" s="18" t="str">
        <f t="shared" si="41"/>
        <v/>
      </c>
    </row>
    <row r="107" spans="1:70" ht="25.5" x14ac:dyDescent="0.25">
      <c r="A107" s="2" t="s">
        <v>790</v>
      </c>
      <c r="B107" s="2" t="str">
        <f>VLOOKUP($A107,[2]Projekty!$A$2:$AR$1147,4,0)</f>
        <v>OPKZP-PO1-SC111-2016-10</v>
      </c>
      <c r="C107" s="2" t="str">
        <f>VLOOKUP($A107,[2]Projekty!$A$2:$AR$1147,6,0)</f>
        <v>Obec Mengusovce</v>
      </c>
      <c r="D107" s="2" t="str">
        <f>VLOOKUP($A107,[2]Projekty!$A$2:$AR$1147,7,0)</f>
        <v>Triedený zber komunálnych odpadov v obci Mengusovce</v>
      </c>
      <c r="E107" s="2" t="str">
        <f>VLOOKUP($A107,[2]Projekty!$A$2:$AR$1147,9,0)</f>
        <v>PO</v>
      </c>
      <c r="F107" s="2" t="str">
        <f>VLOOKUP($A107,[2]Projekty!$A$2:$AR$1147,14,0)</f>
        <v>Realizácia</v>
      </c>
      <c r="G107" s="61">
        <f>VLOOKUP($A107,'[2]Dĺžka realizácie'!$A$2:$AR$1148,8,0)</f>
        <v>43251</v>
      </c>
      <c r="H107" s="18"/>
      <c r="I107" s="18"/>
      <c r="J107" s="18" t="str">
        <f t="shared" si="21"/>
        <v/>
      </c>
      <c r="K107" s="18"/>
      <c r="L107" s="18"/>
      <c r="M107" s="18" t="str">
        <f t="shared" si="22"/>
        <v/>
      </c>
      <c r="N107" s="18"/>
      <c r="O107" s="18"/>
      <c r="P107" s="18" t="str">
        <f t="shared" si="23"/>
        <v/>
      </c>
      <c r="Q107" s="18"/>
      <c r="R107" s="18"/>
      <c r="S107" s="18" t="str">
        <f t="shared" si="24"/>
        <v/>
      </c>
      <c r="T107" s="18">
        <v>120</v>
      </c>
      <c r="U107" s="18"/>
      <c r="V107" s="18">
        <f t="shared" si="25"/>
        <v>120</v>
      </c>
      <c r="W107" s="18"/>
      <c r="X107" s="18"/>
      <c r="Y107" s="18" t="str">
        <f t="shared" si="26"/>
        <v/>
      </c>
      <c r="Z107" s="18"/>
      <c r="AA107" s="18"/>
      <c r="AB107" s="18" t="str">
        <f t="shared" si="27"/>
        <v/>
      </c>
      <c r="AC107" s="18">
        <v>647</v>
      </c>
      <c r="AD107" s="18">
        <v>647</v>
      </c>
      <c r="AE107" s="18">
        <f t="shared" si="28"/>
        <v>647</v>
      </c>
      <c r="AF107" s="18"/>
      <c r="AG107" s="18"/>
      <c r="AH107" s="18" t="str">
        <f t="shared" si="29"/>
        <v/>
      </c>
      <c r="AI107" s="18"/>
      <c r="AJ107" s="18"/>
      <c r="AK107" s="18" t="str">
        <f t="shared" si="30"/>
        <v/>
      </c>
      <c r="AL107" s="18"/>
      <c r="AM107" s="18"/>
      <c r="AN107" s="18" t="str">
        <f t="shared" si="31"/>
        <v/>
      </c>
      <c r="AO107" s="18"/>
      <c r="AP107" s="18"/>
      <c r="AQ107" s="18" t="str">
        <f t="shared" si="32"/>
        <v/>
      </c>
      <c r="AR107" s="18">
        <v>4</v>
      </c>
      <c r="AS107" s="18"/>
      <c r="AT107" s="18">
        <f t="shared" si="33"/>
        <v>4</v>
      </c>
      <c r="AU107" s="18"/>
      <c r="AV107" s="18"/>
      <c r="AW107" s="18" t="str">
        <f t="shared" si="34"/>
        <v/>
      </c>
      <c r="AX107" s="18"/>
      <c r="AY107" s="18"/>
      <c r="AZ107" s="18" t="str">
        <f t="shared" si="35"/>
        <v/>
      </c>
      <c r="BA107" s="18">
        <v>120</v>
      </c>
      <c r="BB107" s="18"/>
      <c r="BC107" s="18">
        <f t="shared" si="36"/>
        <v>120</v>
      </c>
      <c r="BD107" s="18"/>
      <c r="BE107" s="18"/>
      <c r="BF107" s="18" t="str">
        <f t="shared" si="37"/>
        <v/>
      </c>
      <c r="BG107" s="18"/>
      <c r="BH107" s="18"/>
      <c r="BI107" s="18" t="str">
        <f t="shared" si="38"/>
        <v/>
      </c>
      <c r="BJ107" s="18"/>
      <c r="BK107" s="18"/>
      <c r="BL107" s="18" t="str">
        <f t="shared" si="39"/>
        <v/>
      </c>
      <c r="BM107" s="18"/>
      <c r="BN107" s="18"/>
      <c r="BO107" s="18" t="str">
        <f t="shared" si="40"/>
        <v/>
      </c>
      <c r="BP107" s="18"/>
      <c r="BQ107" s="18"/>
      <c r="BR107" s="18" t="str">
        <f t="shared" si="41"/>
        <v/>
      </c>
    </row>
    <row r="108" spans="1:70" ht="25.5" x14ac:dyDescent="0.25">
      <c r="A108" s="2" t="s">
        <v>802</v>
      </c>
      <c r="B108" s="2" t="str">
        <f>VLOOKUP($A108,[2]Projekty!$A$2:$AR$1147,4,0)</f>
        <v>OPKZP-PO1-SC111-2016-10</v>
      </c>
      <c r="C108" s="2" t="str">
        <f>VLOOKUP($A108,[2]Projekty!$A$2:$AR$1147,6,0)</f>
        <v>Obec Dolné Orešany</v>
      </c>
      <c r="D108" s="2" t="str">
        <f>VLOOKUP($A108,[2]Projekty!$A$2:$AR$1147,7,0)</f>
        <v>Podpora triedeného zberu komunálnych odpadov v obci Dolné Orešany</v>
      </c>
      <c r="E108" s="2" t="str">
        <f>VLOOKUP($A108,[2]Projekty!$A$2:$AR$1147,9,0)</f>
        <v>TT</v>
      </c>
      <c r="F108" s="2" t="str">
        <f>VLOOKUP($A108,[2]Projekty!$A$2:$AR$1147,14,0)</f>
        <v>Realizácia</v>
      </c>
      <c r="G108" s="61">
        <f>VLOOKUP($A108,'[2]Dĺžka realizácie'!$A$2:$AR$1148,8,0)</f>
        <v>43100</v>
      </c>
      <c r="H108" s="18"/>
      <c r="I108" s="18"/>
      <c r="J108" s="18" t="str">
        <f t="shared" si="21"/>
        <v/>
      </c>
      <c r="K108" s="18"/>
      <c r="L108" s="18"/>
      <c r="M108" s="18" t="str">
        <f t="shared" si="22"/>
        <v/>
      </c>
      <c r="N108" s="18"/>
      <c r="O108" s="18"/>
      <c r="P108" s="18" t="str">
        <f t="shared" si="23"/>
        <v/>
      </c>
      <c r="Q108" s="18"/>
      <c r="R108" s="18"/>
      <c r="S108" s="18" t="str">
        <f t="shared" si="24"/>
        <v/>
      </c>
      <c r="T108" s="18">
        <v>98.33</v>
      </c>
      <c r="U108" s="18"/>
      <c r="V108" s="18">
        <f t="shared" si="25"/>
        <v>98.33</v>
      </c>
      <c r="W108" s="18"/>
      <c r="X108" s="18"/>
      <c r="Y108" s="18" t="str">
        <f t="shared" si="26"/>
        <v/>
      </c>
      <c r="Z108" s="18"/>
      <c r="AA108" s="18"/>
      <c r="AB108" s="18" t="str">
        <f t="shared" si="27"/>
        <v/>
      </c>
      <c r="AC108" s="18"/>
      <c r="AD108" s="18"/>
      <c r="AE108" s="18" t="str">
        <f t="shared" si="28"/>
        <v/>
      </c>
      <c r="AF108" s="18"/>
      <c r="AG108" s="18"/>
      <c r="AH108" s="18" t="str">
        <f t="shared" si="29"/>
        <v/>
      </c>
      <c r="AI108" s="18"/>
      <c r="AJ108" s="18"/>
      <c r="AK108" s="18" t="str">
        <f t="shared" si="30"/>
        <v/>
      </c>
      <c r="AL108" s="18"/>
      <c r="AM108" s="18"/>
      <c r="AN108" s="18" t="str">
        <f t="shared" si="31"/>
        <v/>
      </c>
      <c r="AO108" s="18"/>
      <c r="AP108" s="18"/>
      <c r="AQ108" s="18" t="str">
        <f t="shared" si="32"/>
        <v/>
      </c>
      <c r="AR108" s="18"/>
      <c r="AS108" s="18"/>
      <c r="AT108" s="18" t="str">
        <f t="shared" si="33"/>
        <v/>
      </c>
      <c r="AU108" s="18"/>
      <c r="AV108" s="18"/>
      <c r="AW108" s="18" t="str">
        <f t="shared" si="34"/>
        <v/>
      </c>
      <c r="AX108" s="18"/>
      <c r="AY108" s="18"/>
      <c r="AZ108" s="18" t="str">
        <f t="shared" si="35"/>
        <v/>
      </c>
      <c r="BA108" s="18">
        <v>98.33</v>
      </c>
      <c r="BB108" s="18"/>
      <c r="BC108" s="18">
        <f t="shared" si="36"/>
        <v>98.33</v>
      </c>
      <c r="BD108" s="18"/>
      <c r="BE108" s="18"/>
      <c r="BF108" s="18" t="str">
        <f t="shared" si="37"/>
        <v/>
      </c>
      <c r="BG108" s="18"/>
      <c r="BH108" s="18"/>
      <c r="BI108" s="18" t="str">
        <f t="shared" si="38"/>
        <v/>
      </c>
      <c r="BJ108" s="18"/>
      <c r="BK108" s="18"/>
      <c r="BL108" s="18" t="str">
        <f t="shared" si="39"/>
        <v/>
      </c>
      <c r="BM108" s="18"/>
      <c r="BN108" s="18"/>
      <c r="BO108" s="18" t="str">
        <f t="shared" si="40"/>
        <v/>
      </c>
      <c r="BP108" s="18"/>
      <c r="BQ108" s="18"/>
      <c r="BR108" s="18" t="str">
        <f t="shared" si="41"/>
        <v/>
      </c>
    </row>
    <row r="109" spans="1:70" x14ac:dyDescent="0.25">
      <c r="A109" s="2" t="s">
        <v>758</v>
      </c>
      <c r="B109" s="2" t="str">
        <f>VLOOKUP($A109,[2]Projekty!$A$2:$AR$1147,4,0)</f>
        <v>OPKZP-PO1-SC111-2016-10</v>
      </c>
      <c r="C109" s="2" t="str">
        <f>VLOOKUP($A109,[2]Projekty!$A$2:$AR$1147,6,0)</f>
        <v>Obec Lazany</v>
      </c>
      <c r="D109" s="2" t="str">
        <f>VLOOKUP($A109,[2]Projekty!$A$2:$AR$1147,7,0)</f>
        <v>Zberný dvor v obci Lazany</v>
      </c>
      <c r="E109" s="2" t="str">
        <f>VLOOKUP($A109,[2]Projekty!$A$2:$AR$1147,9,0)</f>
        <v>TN</v>
      </c>
      <c r="F109" s="2" t="str">
        <f>VLOOKUP($A109,[2]Projekty!$A$2:$AR$1147,14,0)</f>
        <v>Realizácia</v>
      </c>
      <c r="G109" s="61">
        <f>VLOOKUP($A109,'[2]Dĺžka realizácie'!$A$2:$AR$1148,8,0)</f>
        <v>43159</v>
      </c>
      <c r="H109" s="18"/>
      <c r="I109" s="18"/>
      <c r="J109" s="18" t="str">
        <f t="shared" si="21"/>
        <v/>
      </c>
      <c r="K109" s="18"/>
      <c r="L109" s="18"/>
      <c r="M109" s="18" t="str">
        <f t="shared" si="22"/>
        <v/>
      </c>
      <c r="N109" s="18"/>
      <c r="O109" s="18"/>
      <c r="P109" s="18" t="str">
        <f t="shared" si="23"/>
        <v/>
      </c>
      <c r="Q109" s="18"/>
      <c r="R109" s="18"/>
      <c r="S109" s="18" t="str">
        <f t="shared" si="24"/>
        <v/>
      </c>
      <c r="T109" s="18">
        <v>376.49</v>
      </c>
      <c r="U109" s="18"/>
      <c r="V109" s="18">
        <f t="shared" si="25"/>
        <v>376.49</v>
      </c>
      <c r="W109" s="18"/>
      <c r="X109" s="18"/>
      <c r="Y109" s="18" t="str">
        <f t="shared" si="26"/>
        <v/>
      </c>
      <c r="Z109" s="18"/>
      <c r="AA109" s="18"/>
      <c r="AB109" s="18" t="str">
        <f t="shared" si="27"/>
        <v/>
      </c>
      <c r="AC109" s="18"/>
      <c r="AD109" s="18"/>
      <c r="AE109" s="18" t="str">
        <f t="shared" si="28"/>
        <v/>
      </c>
      <c r="AF109" s="18"/>
      <c r="AG109" s="18"/>
      <c r="AH109" s="18" t="str">
        <f t="shared" si="29"/>
        <v/>
      </c>
      <c r="AI109" s="18"/>
      <c r="AJ109" s="18"/>
      <c r="AK109" s="18" t="str">
        <f t="shared" si="30"/>
        <v/>
      </c>
      <c r="AL109" s="18"/>
      <c r="AM109" s="18"/>
      <c r="AN109" s="18" t="str">
        <f t="shared" si="31"/>
        <v/>
      </c>
      <c r="AO109" s="18"/>
      <c r="AP109" s="18"/>
      <c r="AQ109" s="18" t="str">
        <f t="shared" si="32"/>
        <v/>
      </c>
      <c r="AR109" s="18"/>
      <c r="AS109" s="18"/>
      <c r="AT109" s="18" t="str">
        <f t="shared" si="33"/>
        <v/>
      </c>
      <c r="AU109" s="18"/>
      <c r="AV109" s="18"/>
      <c r="AW109" s="18" t="str">
        <f t="shared" si="34"/>
        <v/>
      </c>
      <c r="AX109" s="18"/>
      <c r="AY109" s="18"/>
      <c r="AZ109" s="18" t="str">
        <f t="shared" si="35"/>
        <v/>
      </c>
      <c r="BA109" s="18">
        <v>376.49</v>
      </c>
      <c r="BB109" s="18"/>
      <c r="BC109" s="18">
        <f t="shared" si="36"/>
        <v>376.49</v>
      </c>
      <c r="BD109" s="18"/>
      <c r="BE109" s="18"/>
      <c r="BF109" s="18" t="str">
        <f t="shared" si="37"/>
        <v/>
      </c>
      <c r="BG109" s="18"/>
      <c r="BH109" s="18"/>
      <c r="BI109" s="18" t="str">
        <f t="shared" si="38"/>
        <v/>
      </c>
      <c r="BJ109" s="18"/>
      <c r="BK109" s="18"/>
      <c r="BL109" s="18" t="str">
        <f t="shared" si="39"/>
        <v/>
      </c>
      <c r="BM109" s="18"/>
      <c r="BN109" s="18"/>
      <c r="BO109" s="18" t="str">
        <f t="shared" si="40"/>
        <v/>
      </c>
      <c r="BP109" s="18"/>
      <c r="BQ109" s="18"/>
      <c r="BR109" s="18" t="str">
        <f t="shared" si="41"/>
        <v/>
      </c>
    </row>
    <row r="110" spans="1:70" x14ac:dyDescent="0.25">
      <c r="A110" s="2" t="s">
        <v>816</v>
      </c>
      <c r="B110" s="2" t="str">
        <f>VLOOKUP($A110,[2]Projekty!$A$2:$AR$1147,4,0)</f>
        <v>OPKZP-PO1-SC111-2016-10</v>
      </c>
      <c r="C110" s="2" t="str">
        <f>VLOOKUP($A110,[2]Projekty!$A$2:$AR$1147,6,0)</f>
        <v>Obec Miloslavov</v>
      </c>
      <c r="D110" s="2" t="str">
        <f>VLOOKUP($A110,[2]Projekty!$A$2:$AR$1147,7,0)</f>
        <v>Vybudovanie zberného dvora v obci Miloslavov</v>
      </c>
      <c r="E110" s="2" t="str">
        <f>VLOOKUP($A110,[2]Projekty!$A$2:$AR$1147,9,0)</f>
        <v>BA</v>
      </c>
      <c r="F110" s="2" t="str">
        <f>VLOOKUP($A110,[2]Projekty!$A$2:$AR$1147,14,0)</f>
        <v>Realizácia</v>
      </c>
      <c r="G110" s="61">
        <f>VLOOKUP($A110,'[2]Dĺžka realizácie'!$A$2:$AR$1148,8,0)</f>
        <v>42978</v>
      </c>
      <c r="H110" s="18"/>
      <c r="I110" s="18"/>
      <c r="J110" s="18" t="str">
        <f t="shared" si="21"/>
        <v/>
      </c>
      <c r="K110" s="18"/>
      <c r="L110" s="18"/>
      <c r="M110" s="18" t="str">
        <f t="shared" si="22"/>
        <v/>
      </c>
      <c r="N110" s="18"/>
      <c r="O110" s="18"/>
      <c r="P110" s="18" t="str">
        <f t="shared" si="23"/>
        <v/>
      </c>
      <c r="Q110" s="18"/>
      <c r="R110" s="18"/>
      <c r="S110" s="18" t="str">
        <f t="shared" si="24"/>
        <v/>
      </c>
      <c r="T110" s="18">
        <v>951.9</v>
      </c>
      <c r="U110" s="18"/>
      <c r="V110" s="18">
        <f t="shared" si="25"/>
        <v>951.9</v>
      </c>
      <c r="W110" s="18"/>
      <c r="X110" s="18"/>
      <c r="Y110" s="18" t="str">
        <f t="shared" si="26"/>
        <v/>
      </c>
      <c r="Z110" s="18"/>
      <c r="AA110" s="18"/>
      <c r="AB110" s="18" t="str">
        <f t="shared" si="27"/>
        <v/>
      </c>
      <c r="AC110" s="18">
        <v>2500</v>
      </c>
      <c r="AD110" s="18"/>
      <c r="AE110" s="18">
        <f t="shared" si="28"/>
        <v>2500</v>
      </c>
      <c r="AF110" s="18"/>
      <c r="AG110" s="18"/>
      <c r="AH110" s="18" t="str">
        <f t="shared" si="29"/>
        <v/>
      </c>
      <c r="AI110" s="18"/>
      <c r="AJ110" s="18"/>
      <c r="AK110" s="18" t="str">
        <f t="shared" si="30"/>
        <v/>
      </c>
      <c r="AL110" s="18"/>
      <c r="AM110" s="18"/>
      <c r="AN110" s="18" t="str">
        <f t="shared" si="31"/>
        <v/>
      </c>
      <c r="AO110" s="18"/>
      <c r="AP110" s="18"/>
      <c r="AQ110" s="18" t="str">
        <f t="shared" si="32"/>
        <v/>
      </c>
      <c r="AR110" s="18">
        <v>2</v>
      </c>
      <c r="AS110" s="18"/>
      <c r="AT110" s="18">
        <f t="shared" si="33"/>
        <v>2</v>
      </c>
      <c r="AU110" s="18"/>
      <c r="AV110" s="18"/>
      <c r="AW110" s="18" t="str">
        <f t="shared" si="34"/>
        <v/>
      </c>
      <c r="AX110" s="18"/>
      <c r="AY110" s="18"/>
      <c r="AZ110" s="18" t="str">
        <f t="shared" si="35"/>
        <v/>
      </c>
      <c r="BA110" s="18">
        <v>951.9</v>
      </c>
      <c r="BB110" s="18"/>
      <c r="BC110" s="18">
        <f t="shared" si="36"/>
        <v>951.9</v>
      </c>
      <c r="BD110" s="18"/>
      <c r="BE110" s="18"/>
      <c r="BF110" s="18" t="str">
        <f t="shared" si="37"/>
        <v/>
      </c>
      <c r="BG110" s="18"/>
      <c r="BH110" s="18"/>
      <c r="BI110" s="18" t="str">
        <f t="shared" si="38"/>
        <v/>
      </c>
      <c r="BJ110" s="18"/>
      <c r="BK110" s="18"/>
      <c r="BL110" s="18" t="str">
        <f t="shared" si="39"/>
        <v/>
      </c>
      <c r="BM110" s="18"/>
      <c r="BN110" s="18"/>
      <c r="BO110" s="18" t="str">
        <f t="shared" si="40"/>
        <v/>
      </c>
      <c r="BP110" s="18"/>
      <c r="BQ110" s="18"/>
      <c r="BR110" s="18" t="str">
        <f t="shared" si="41"/>
        <v/>
      </c>
    </row>
    <row r="111" spans="1:70" ht="25.5" x14ac:dyDescent="0.25">
      <c r="A111" s="2" t="s">
        <v>759</v>
      </c>
      <c r="B111" s="2" t="str">
        <f>VLOOKUP($A111,[2]Projekty!$A$2:$AR$1147,4,0)</f>
        <v>OPKZP-PO1-SC111-2016-10</v>
      </c>
      <c r="C111" s="2" t="str">
        <f>VLOOKUP($A111,[2]Projekty!$A$2:$AR$1147,6,0)</f>
        <v>Obec Čaklov</v>
      </c>
      <c r="D111" s="2" t="str">
        <f>VLOOKUP($A111,[2]Projekty!$A$2:$AR$1147,7,0)</f>
        <v>Rozšírenie separovaného zberu odpadu v obci Čaklov</v>
      </c>
      <c r="E111" s="2" t="str">
        <f>VLOOKUP($A111,[2]Projekty!$A$2:$AR$1147,9,0)</f>
        <v>PO</v>
      </c>
      <c r="F111" s="2" t="str">
        <f>VLOOKUP($A111,[2]Projekty!$A$2:$AR$1147,14,0)</f>
        <v>Realizácia</v>
      </c>
      <c r="G111" s="61">
        <f>VLOOKUP($A111,'[2]Dĺžka realizácie'!$A$2:$AR$1148,8,0)</f>
        <v>43159</v>
      </c>
      <c r="H111" s="18"/>
      <c r="I111" s="18"/>
      <c r="J111" s="18" t="str">
        <f t="shared" si="21"/>
        <v/>
      </c>
      <c r="K111" s="18"/>
      <c r="L111" s="18"/>
      <c r="M111" s="18" t="str">
        <f t="shared" si="22"/>
        <v/>
      </c>
      <c r="N111" s="18"/>
      <c r="O111" s="18"/>
      <c r="P111" s="18" t="str">
        <f t="shared" si="23"/>
        <v/>
      </c>
      <c r="Q111" s="18"/>
      <c r="R111" s="18"/>
      <c r="S111" s="18" t="str">
        <f t="shared" si="24"/>
        <v/>
      </c>
      <c r="T111" s="18">
        <v>249.59</v>
      </c>
      <c r="U111" s="18"/>
      <c r="V111" s="18">
        <f t="shared" si="25"/>
        <v>249.59</v>
      </c>
      <c r="W111" s="18"/>
      <c r="X111" s="18"/>
      <c r="Y111" s="18" t="str">
        <f t="shared" si="26"/>
        <v/>
      </c>
      <c r="Z111" s="18"/>
      <c r="AA111" s="18"/>
      <c r="AB111" s="18" t="str">
        <f t="shared" si="27"/>
        <v/>
      </c>
      <c r="AC111" s="18">
        <v>2620</v>
      </c>
      <c r="AD111" s="18">
        <v>250</v>
      </c>
      <c r="AE111" s="18">
        <f t="shared" si="28"/>
        <v>2620</v>
      </c>
      <c r="AF111" s="18"/>
      <c r="AG111" s="18"/>
      <c r="AH111" s="18" t="str">
        <f t="shared" si="29"/>
        <v/>
      </c>
      <c r="AI111" s="18"/>
      <c r="AJ111" s="18"/>
      <c r="AK111" s="18" t="str">
        <f t="shared" si="30"/>
        <v/>
      </c>
      <c r="AL111" s="18"/>
      <c r="AM111" s="18"/>
      <c r="AN111" s="18" t="str">
        <f t="shared" si="31"/>
        <v/>
      </c>
      <c r="AO111" s="18"/>
      <c r="AP111" s="18"/>
      <c r="AQ111" s="18" t="str">
        <f t="shared" si="32"/>
        <v/>
      </c>
      <c r="AR111" s="18">
        <v>5</v>
      </c>
      <c r="AS111" s="18">
        <v>2</v>
      </c>
      <c r="AT111" s="18">
        <f t="shared" si="33"/>
        <v>5</v>
      </c>
      <c r="AU111" s="18"/>
      <c r="AV111" s="18"/>
      <c r="AW111" s="18" t="str">
        <f t="shared" si="34"/>
        <v/>
      </c>
      <c r="AX111" s="18"/>
      <c r="AY111" s="18"/>
      <c r="AZ111" s="18" t="str">
        <f t="shared" si="35"/>
        <v/>
      </c>
      <c r="BA111" s="18">
        <v>249.59</v>
      </c>
      <c r="BB111" s="18">
        <v>249.59</v>
      </c>
      <c r="BC111" s="18">
        <f t="shared" si="36"/>
        <v>249.59</v>
      </c>
      <c r="BD111" s="18"/>
      <c r="BE111" s="18"/>
      <c r="BF111" s="18" t="str">
        <f t="shared" si="37"/>
        <v/>
      </c>
      <c r="BG111" s="18"/>
      <c r="BH111" s="18"/>
      <c r="BI111" s="18" t="str">
        <f t="shared" si="38"/>
        <v/>
      </c>
      <c r="BJ111" s="18"/>
      <c r="BK111" s="18"/>
      <c r="BL111" s="18" t="str">
        <f t="shared" si="39"/>
        <v/>
      </c>
      <c r="BM111" s="18"/>
      <c r="BN111" s="18"/>
      <c r="BO111" s="18" t="str">
        <f t="shared" si="40"/>
        <v/>
      </c>
      <c r="BP111" s="18"/>
      <c r="BQ111" s="18"/>
      <c r="BR111" s="18" t="str">
        <f t="shared" si="41"/>
        <v/>
      </c>
    </row>
    <row r="112" spans="1:70" ht="25.5" x14ac:dyDescent="0.25">
      <c r="A112" s="2" t="s">
        <v>669</v>
      </c>
      <c r="B112" s="2" t="str">
        <f>VLOOKUP($A112,[2]Projekty!$A$2:$AR$1147,4,0)</f>
        <v>OPKZP-PO1-SC111-2016-11</v>
      </c>
      <c r="C112" s="2" t="str">
        <f>VLOOKUP($A112,[2]Projekty!$A$2:$AR$1147,6,0)</f>
        <v>obec Trakovice</v>
      </c>
      <c r="D112" s="2" t="str">
        <f>VLOOKUP($A112,[2]Projekty!$A$2:$AR$1147,7,0)</f>
        <v>Zhodnocovanie biologicky rozložiteľného komunálneho odpadu v obci Trakovice</v>
      </c>
      <c r="E112" s="2" t="str">
        <f>VLOOKUP($A112,[2]Projekty!$A$2:$AR$1147,9,0)</f>
        <v>TT</v>
      </c>
      <c r="F112" s="2" t="str">
        <f>VLOOKUP($A112,[2]Projekty!$A$2:$AR$1147,14,0)</f>
        <v>Realizácia</v>
      </c>
      <c r="G112" s="108">
        <f>VLOOKUP($A112,'[2]Dĺžka realizácie'!$A$2:$AR$1148,8,0)</f>
        <v>43100</v>
      </c>
      <c r="H112" s="18"/>
      <c r="I112" s="18"/>
      <c r="J112" s="18" t="str">
        <f t="shared" si="21"/>
        <v/>
      </c>
      <c r="K112" s="18"/>
      <c r="L112" s="18"/>
      <c r="M112" s="18" t="str">
        <f t="shared" si="22"/>
        <v/>
      </c>
      <c r="N112" s="18"/>
      <c r="O112" s="18"/>
      <c r="P112" s="18" t="str">
        <f t="shared" si="23"/>
        <v/>
      </c>
      <c r="Q112" s="18"/>
      <c r="R112" s="18"/>
      <c r="S112" s="18" t="str">
        <f t="shared" si="24"/>
        <v/>
      </c>
      <c r="T112" s="18"/>
      <c r="U112" s="18"/>
      <c r="V112" s="18" t="str">
        <f t="shared" si="25"/>
        <v/>
      </c>
      <c r="W112" s="18">
        <v>100</v>
      </c>
      <c r="X112" s="18"/>
      <c r="Y112" s="18">
        <f t="shared" si="26"/>
        <v>100</v>
      </c>
      <c r="Z112" s="18"/>
      <c r="AA112" s="18"/>
      <c r="AB112" s="18" t="str">
        <f t="shared" si="27"/>
        <v/>
      </c>
      <c r="AC112" s="18"/>
      <c r="AD112" s="18"/>
      <c r="AE112" s="18" t="str">
        <f t="shared" si="28"/>
        <v/>
      </c>
      <c r="AF112" s="18"/>
      <c r="AG112" s="18"/>
      <c r="AH112" s="18" t="str">
        <f t="shared" si="29"/>
        <v/>
      </c>
      <c r="AI112" s="18"/>
      <c r="AJ112" s="18"/>
      <c r="AK112" s="18" t="str">
        <f t="shared" si="30"/>
        <v/>
      </c>
      <c r="AL112" s="18"/>
      <c r="AM112" s="18"/>
      <c r="AN112" s="18" t="str">
        <f t="shared" si="31"/>
        <v/>
      </c>
      <c r="AO112" s="18"/>
      <c r="AP112" s="18"/>
      <c r="AQ112" s="18" t="str">
        <f t="shared" si="32"/>
        <v/>
      </c>
      <c r="AR112" s="18"/>
      <c r="AS112" s="18"/>
      <c r="AT112" s="18" t="str">
        <f t="shared" si="33"/>
        <v/>
      </c>
      <c r="AU112" s="18"/>
      <c r="AV112" s="18"/>
      <c r="AW112" s="18" t="str">
        <f t="shared" si="34"/>
        <v/>
      </c>
      <c r="AX112" s="18"/>
      <c r="AY112" s="18"/>
      <c r="AZ112" s="18" t="str">
        <f t="shared" si="35"/>
        <v/>
      </c>
      <c r="BA112" s="18"/>
      <c r="BB112" s="18"/>
      <c r="BC112" s="18" t="str">
        <f t="shared" si="36"/>
        <v/>
      </c>
      <c r="BD112" s="18">
        <v>100</v>
      </c>
      <c r="BE112" s="107"/>
      <c r="BF112" s="18">
        <f t="shared" si="37"/>
        <v>100</v>
      </c>
      <c r="BG112" s="18"/>
      <c r="BH112" s="18"/>
      <c r="BI112" s="18" t="str">
        <f t="shared" si="38"/>
        <v/>
      </c>
      <c r="BJ112" s="18"/>
      <c r="BK112" s="18"/>
      <c r="BL112" s="18" t="str">
        <f t="shared" si="39"/>
        <v/>
      </c>
      <c r="BM112" s="18"/>
      <c r="BN112" s="18"/>
      <c r="BO112" s="18" t="str">
        <f t="shared" si="40"/>
        <v/>
      </c>
      <c r="BP112" s="18"/>
      <c r="BQ112" s="18"/>
      <c r="BR112" s="18" t="str">
        <f t="shared" si="41"/>
        <v/>
      </c>
    </row>
    <row r="113" spans="1:70" x14ac:dyDescent="0.25">
      <c r="A113" s="2" t="s">
        <v>803</v>
      </c>
      <c r="B113" s="2" t="str">
        <f>VLOOKUP($A113,[2]Projekty!$A$2:$AR$1147,4,0)</f>
        <v>OPKZP-PO1-SC111-2016-10</v>
      </c>
      <c r="C113" s="2" t="str">
        <f>VLOOKUP($A113,[2]Projekty!$A$2:$AR$1147,6,0)</f>
        <v>Mesto Piešťany</v>
      </c>
      <c r="D113" s="2" t="str">
        <f>VLOOKUP($A113,[2]Projekty!$A$2:$AR$1147,7,0)</f>
        <v>Vybudovanie zberného dvora v meste Piešťany</v>
      </c>
      <c r="E113" s="2" t="str">
        <f>VLOOKUP($A113,[2]Projekty!$A$2:$AR$1147,9,0)</f>
        <v>TT</v>
      </c>
      <c r="F113" s="2" t="str">
        <f>VLOOKUP($A113,[2]Projekty!$A$2:$AR$1147,14,0)</f>
        <v>Realizácia</v>
      </c>
      <c r="G113" s="61">
        <f>VLOOKUP($A113,'[2]Dĺžka realizácie'!$A$2:$AR$1148,8,0)</f>
        <v>43343</v>
      </c>
      <c r="H113" s="18"/>
      <c r="I113" s="18"/>
      <c r="J113" s="18" t="str">
        <f t="shared" si="21"/>
        <v/>
      </c>
      <c r="K113" s="18"/>
      <c r="L113" s="18"/>
      <c r="M113" s="18" t="str">
        <f t="shared" si="22"/>
        <v/>
      </c>
      <c r="N113" s="18"/>
      <c r="O113" s="18"/>
      <c r="P113" s="18" t="str">
        <f t="shared" si="23"/>
        <v/>
      </c>
      <c r="Q113" s="18"/>
      <c r="R113" s="18"/>
      <c r="S113" s="18" t="str">
        <f t="shared" si="24"/>
        <v/>
      </c>
      <c r="T113" s="18">
        <v>2275.2399999999998</v>
      </c>
      <c r="U113" s="18"/>
      <c r="V113" s="18">
        <f t="shared" si="25"/>
        <v>2275.2399999999998</v>
      </c>
      <c r="W113" s="18"/>
      <c r="X113" s="18"/>
      <c r="Y113" s="18" t="str">
        <f t="shared" si="26"/>
        <v/>
      </c>
      <c r="Z113" s="18"/>
      <c r="AA113" s="18"/>
      <c r="AB113" s="18" t="str">
        <f t="shared" si="27"/>
        <v/>
      </c>
      <c r="AC113" s="18">
        <v>17000</v>
      </c>
      <c r="AD113" s="18"/>
      <c r="AE113" s="18">
        <f t="shared" si="28"/>
        <v>17000</v>
      </c>
      <c r="AF113" s="18"/>
      <c r="AG113" s="18"/>
      <c r="AH113" s="18" t="str">
        <f t="shared" si="29"/>
        <v/>
      </c>
      <c r="AI113" s="18"/>
      <c r="AJ113" s="18"/>
      <c r="AK113" s="18" t="str">
        <f t="shared" si="30"/>
        <v/>
      </c>
      <c r="AL113" s="18"/>
      <c r="AM113" s="18"/>
      <c r="AN113" s="18" t="str">
        <f t="shared" si="31"/>
        <v/>
      </c>
      <c r="AO113" s="18"/>
      <c r="AP113" s="18"/>
      <c r="AQ113" s="18" t="str">
        <f t="shared" si="32"/>
        <v/>
      </c>
      <c r="AR113" s="18">
        <v>1</v>
      </c>
      <c r="AS113" s="18"/>
      <c r="AT113" s="18">
        <f t="shared" si="33"/>
        <v>1</v>
      </c>
      <c r="AU113" s="18"/>
      <c r="AV113" s="18"/>
      <c r="AW113" s="18" t="str">
        <f t="shared" si="34"/>
        <v/>
      </c>
      <c r="AX113" s="18"/>
      <c r="AY113" s="18"/>
      <c r="AZ113" s="18" t="str">
        <f t="shared" si="35"/>
        <v/>
      </c>
      <c r="BA113" s="18">
        <v>2275.2399999999998</v>
      </c>
      <c r="BB113" s="18"/>
      <c r="BC113" s="18">
        <f t="shared" si="36"/>
        <v>2275.2399999999998</v>
      </c>
      <c r="BD113" s="18"/>
      <c r="BE113" s="18"/>
      <c r="BF113" s="18" t="str">
        <f t="shared" si="37"/>
        <v/>
      </c>
      <c r="BG113" s="18"/>
      <c r="BH113" s="18"/>
      <c r="BI113" s="18" t="str">
        <f t="shared" si="38"/>
        <v/>
      </c>
      <c r="BJ113" s="18"/>
      <c r="BK113" s="18"/>
      <c r="BL113" s="18" t="str">
        <f t="shared" si="39"/>
        <v/>
      </c>
      <c r="BM113" s="18"/>
      <c r="BN113" s="18"/>
      <c r="BO113" s="18" t="str">
        <f t="shared" si="40"/>
        <v/>
      </c>
      <c r="BP113" s="18"/>
      <c r="BQ113" s="18"/>
      <c r="BR113" s="18" t="str">
        <f t="shared" si="41"/>
        <v/>
      </c>
    </row>
    <row r="114" spans="1:70" ht="25.5" x14ac:dyDescent="0.25">
      <c r="A114" s="2" t="s">
        <v>793</v>
      </c>
      <c r="B114" s="2" t="str">
        <f>VLOOKUP($A114,[2]Projekty!$A$2:$AR$1147,4,0)</f>
        <v>OPKZP-PO1-SC111-2016-10</v>
      </c>
      <c r="C114" s="2" t="str">
        <f>VLOOKUP($A114,[2]Projekty!$A$2:$AR$1147,6,0)</f>
        <v>Mesto Želiezovce</v>
      </c>
      <c r="D114" s="2" t="str">
        <f>VLOOKUP($A114,[2]Projekty!$A$2:$AR$1147,7,0)</f>
        <v>Rozšírenie systému separovaného zberu odpadov na území mesta Želiezovce</v>
      </c>
      <c r="E114" s="2" t="str">
        <f>VLOOKUP($A114,[2]Projekty!$A$2:$AR$1147,9,0)</f>
        <v>NR</v>
      </c>
      <c r="F114" s="2" t="str">
        <f>VLOOKUP($A114,[2]Projekty!$A$2:$AR$1147,14,0)</f>
        <v>Aktivity nezačaté</v>
      </c>
      <c r="G114" s="61">
        <f>VLOOKUP($A114,'[2]Dĺžka realizácie'!$A$2:$AR$1148,8,0)</f>
        <v>43343</v>
      </c>
      <c r="H114" s="18"/>
      <c r="I114" s="18"/>
      <c r="J114" s="18" t="str">
        <f t="shared" si="21"/>
        <v/>
      </c>
      <c r="K114" s="18"/>
      <c r="L114" s="18"/>
      <c r="M114" s="18" t="str">
        <f t="shared" si="22"/>
        <v/>
      </c>
      <c r="N114" s="18"/>
      <c r="O114" s="18"/>
      <c r="P114" s="18" t="str">
        <f t="shared" si="23"/>
        <v/>
      </c>
      <c r="Q114" s="18"/>
      <c r="R114" s="18"/>
      <c r="S114" s="18" t="str">
        <f t="shared" si="24"/>
        <v/>
      </c>
      <c r="T114" s="18">
        <v>655.22</v>
      </c>
      <c r="U114" s="18"/>
      <c r="V114" s="18">
        <f t="shared" si="25"/>
        <v>655.22</v>
      </c>
      <c r="W114" s="18"/>
      <c r="X114" s="18"/>
      <c r="Y114" s="18" t="str">
        <f t="shared" si="26"/>
        <v/>
      </c>
      <c r="Z114" s="18"/>
      <c r="AA114" s="18"/>
      <c r="AB114" s="18" t="str">
        <f t="shared" si="27"/>
        <v/>
      </c>
      <c r="AC114" s="18"/>
      <c r="AD114" s="18"/>
      <c r="AE114" s="18" t="str">
        <f t="shared" si="28"/>
        <v/>
      </c>
      <c r="AF114" s="18"/>
      <c r="AG114" s="18"/>
      <c r="AH114" s="18" t="str">
        <f t="shared" si="29"/>
        <v/>
      </c>
      <c r="AI114" s="18"/>
      <c r="AJ114" s="18"/>
      <c r="AK114" s="18" t="str">
        <f t="shared" si="30"/>
        <v/>
      </c>
      <c r="AL114" s="18"/>
      <c r="AM114" s="18"/>
      <c r="AN114" s="18" t="str">
        <f t="shared" si="31"/>
        <v/>
      </c>
      <c r="AO114" s="18"/>
      <c r="AP114" s="18"/>
      <c r="AQ114" s="18" t="str">
        <f t="shared" si="32"/>
        <v/>
      </c>
      <c r="AR114" s="18"/>
      <c r="AS114" s="18"/>
      <c r="AT114" s="18" t="str">
        <f t="shared" si="33"/>
        <v/>
      </c>
      <c r="AU114" s="18"/>
      <c r="AV114" s="18"/>
      <c r="AW114" s="18" t="str">
        <f t="shared" si="34"/>
        <v/>
      </c>
      <c r="AX114" s="18"/>
      <c r="AY114" s="18"/>
      <c r="AZ114" s="18" t="str">
        <f t="shared" si="35"/>
        <v/>
      </c>
      <c r="BA114" s="18">
        <v>655.22</v>
      </c>
      <c r="BB114" s="18"/>
      <c r="BC114" s="18">
        <f t="shared" si="36"/>
        <v>655.22</v>
      </c>
      <c r="BD114" s="18"/>
      <c r="BE114" s="18"/>
      <c r="BF114" s="18" t="str">
        <f t="shared" si="37"/>
        <v/>
      </c>
      <c r="BG114" s="18"/>
      <c r="BH114" s="18"/>
      <c r="BI114" s="18" t="str">
        <f t="shared" si="38"/>
        <v/>
      </c>
      <c r="BJ114" s="18"/>
      <c r="BK114" s="18"/>
      <c r="BL114" s="18" t="str">
        <f t="shared" si="39"/>
        <v/>
      </c>
      <c r="BM114" s="18"/>
      <c r="BN114" s="18"/>
      <c r="BO114" s="18" t="str">
        <f t="shared" si="40"/>
        <v/>
      </c>
      <c r="BP114" s="18"/>
      <c r="BQ114" s="18"/>
      <c r="BR114" s="18" t="str">
        <f t="shared" si="41"/>
        <v/>
      </c>
    </row>
    <row r="115" spans="1:70" x14ac:dyDescent="0.25">
      <c r="A115" s="2" t="s">
        <v>760</v>
      </c>
      <c r="B115" s="2" t="str">
        <f>VLOOKUP($A115,[2]Projekty!$A$2:$AR$1147,4,0)</f>
        <v>OPKZP-PO1-SC111-2016-10</v>
      </c>
      <c r="C115" s="2" t="str">
        <f>VLOOKUP($A115,[2]Projekty!$A$2:$AR$1147,6,0)</f>
        <v>Mesto Gabčíkovo</v>
      </c>
      <c r="D115" s="2" t="str">
        <f>VLOOKUP($A115,[2]Projekty!$A$2:$AR$1147,7,0)</f>
        <v>Ekodvor Gabčíkovo – separovaný zber odpadu</v>
      </c>
      <c r="E115" s="2" t="str">
        <f>VLOOKUP($A115,[2]Projekty!$A$2:$AR$1147,9,0)</f>
        <v>TT</v>
      </c>
      <c r="F115" s="2" t="str">
        <f>VLOOKUP($A115,[2]Projekty!$A$2:$AR$1147,14,0)</f>
        <v>Realizácia</v>
      </c>
      <c r="G115" s="61">
        <f>VLOOKUP($A115,'[2]Dĺžka realizácie'!$A$2:$AR$1148,8,0)</f>
        <v>43281</v>
      </c>
      <c r="H115" s="18"/>
      <c r="I115" s="18"/>
      <c r="J115" s="18" t="str">
        <f t="shared" si="21"/>
        <v/>
      </c>
      <c r="K115" s="18"/>
      <c r="L115" s="18"/>
      <c r="M115" s="18" t="str">
        <f t="shared" si="22"/>
        <v/>
      </c>
      <c r="N115" s="18"/>
      <c r="O115" s="18"/>
      <c r="P115" s="18" t="str">
        <f t="shared" si="23"/>
        <v/>
      </c>
      <c r="Q115" s="18"/>
      <c r="R115" s="18"/>
      <c r="S115" s="18" t="str">
        <f t="shared" si="24"/>
        <v/>
      </c>
      <c r="T115" s="18">
        <v>327</v>
      </c>
      <c r="U115" s="18"/>
      <c r="V115" s="18">
        <f t="shared" si="25"/>
        <v>327</v>
      </c>
      <c r="W115" s="18"/>
      <c r="X115" s="18"/>
      <c r="Y115" s="18" t="str">
        <f t="shared" si="26"/>
        <v/>
      </c>
      <c r="Z115" s="18"/>
      <c r="AA115" s="18"/>
      <c r="AB115" s="18" t="str">
        <f t="shared" si="27"/>
        <v/>
      </c>
      <c r="AC115" s="18">
        <v>2100</v>
      </c>
      <c r="AD115" s="18"/>
      <c r="AE115" s="18">
        <f t="shared" si="28"/>
        <v>2100</v>
      </c>
      <c r="AF115" s="18"/>
      <c r="AG115" s="18"/>
      <c r="AH115" s="18" t="str">
        <f t="shared" si="29"/>
        <v/>
      </c>
      <c r="AI115" s="18"/>
      <c r="AJ115" s="18"/>
      <c r="AK115" s="18" t="str">
        <f t="shared" si="30"/>
        <v/>
      </c>
      <c r="AL115" s="18"/>
      <c r="AM115" s="18"/>
      <c r="AN115" s="18" t="str">
        <f t="shared" si="31"/>
        <v/>
      </c>
      <c r="AO115" s="18"/>
      <c r="AP115" s="18"/>
      <c r="AQ115" s="18" t="str">
        <f t="shared" si="32"/>
        <v/>
      </c>
      <c r="AR115" s="18">
        <v>1</v>
      </c>
      <c r="AS115" s="18"/>
      <c r="AT115" s="18">
        <f t="shared" si="33"/>
        <v>1</v>
      </c>
      <c r="AU115" s="18"/>
      <c r="AV115" s="18"/>
      <c r="AW115" s="18" t="str">
        <f t="shared" si="34"/>
        <v/>
      </c>
      <c r="AX115" s="18"/>
      <c r="AY115" s="18"/>
      <c r="AZ115" s="18" t="str">
        <f t="shared" si="35"/>
        <v/>
      </c>
      <c r="BA115" s="18">
        <v>327</v>
      </c>
      <c r="BB115" s="18"/>
      <c r="BC115" s="18">
        <f t="shared" si="36"/>
        <v>327</v>
      </c>
      <c r="BD115" s="18"/>
      <c r="BE115" s="18"/>
      <c r="BF115" s="18" t="str">
        <f t="shared" si="37"/>
        <v/>
      </c>
      <c r="BG115" s="18"/>
      <c r="BH115" s="18"/>
      <c r="BI115" s="18" t="str">
        <f t="shared" si="38"/>
        <v/>
      </c>
      <c r="BJ115" s="18"/>
      <c r="BK115" s="18"/>
      <c r="BL115" s="18" t="str">
        <f t="shared" si="39"/>
        <v/>
      </c>
      <c r="BM115" s="18"/>
      <c r="BN115" s="18"/>
      <c r="BO115" s="18" t="str">
        <f t="shared" si="40"/>
        <v/>
      </c>
      <c r="BP115" s="18"/>
      <c r="BQ115" s="18"/>
      <c r="BR115" s="18" t="str">
        <f t="shared" si="41"/>
        <v/>
      </c>
    </row>
    <row r="116" spans="1:70" x14ac:dyDescent="0.25">
      <c r="A116" s="2" t="s">
        <v>804</v>
      </c>
      <c r="B116" s="2" t="str">
        <f>VLOOKUP($A116,[2]Projekty!$A$2:$AR$1147,4,0)</f>
        <v>OPKZP-PO1-SC111-2016-10</v>
      </c>
      <c r="C116" s="2" t="str">
        <f>VLOOKUP($A116,[2]Projekty!$A$2:$AR$1147,6,0)</f>
        <v>Obec Divinka</v>
      </c>
      <c r="D116" s="2" t="str">
        <f>VLOOKUP($A116,[2]Projekty!$A$2:$AR$1147,7,0)</f>
        <v>Intenzifikácia triedeného zberu v obci Divinka</v>
      </c>
      <c r="E116" s="2" t="str">
        <f>VLOOKUP($A116,[2]Projekty!$A$2:$AR$1147,9,0)</f>
        <v>ZA</v>
      </c>
      <c r="F116" s="2" t="str">
        <f>VLOOKUP($A116,[2]Projekty!$A$2:$AR$1147,14,0)</f>
        <v>Realizácia</v>
      </c>
      <c r="G116" s="61">
        <f>VLOOKUP($A116,'[2]Dĺžka realizácie'!$A$2:$AR$1148,8,0)</f>
        <v>43100</v>
      </c>
      <c r="H116" s="18"/>
      <c r="I116" s="18"/>
      <c r="J116" s="18" t="str">
        <f t="shared" si="21"/>
        <v/>
      </c>
      <c r="K116" s="18"/>
      <c r="L116" s="18"/>
      <c r="M116" s="18" t="str">
        <f t="shared" si="22"/>
        <v/>
      </c>
      <c r="N116" s="18"/>
      <c r="O116" s="18"/>
      <c r="P116" s="18" t="str">
        <f t="shared" si="23"/>
        <v/>
      </c>
      <c r="Q116" s="18"/>
      <c r="R116" s="18"/>
      <c r="S116" s="18" t="str">
        <f t="shared" si="24"/>
        <v/>
      </c>
      <c r="T116" s="18">
        <v>279</v>
      </c>
      <c r="U116" s="18"/>
      <c r="V116" s="18">
        <f t="shared" si="25"/>
        <v>279</v>
      </c>
      <c r="W116" s="18"/>
      <c r="X116" s="18"/>
      <c r="Y116" s="18" t="str">
        <f t="shared" si="26"/>
        <v/>
      </c>
      <c r="Z116" s="18"/>
      <c r="AA116" s="18"/>
      <c r="AB116" s="18" t="str">
        <f t="shared" si="27"/>
        <v/>
      </c>
      <c r="AC116" s="18"/>
      <c r="AD116" s="18"/>
      <c r="AE116" s="18" t="str">
        <f t="shared" si="28"/>
        <v/>
      </c>
      <c r="AF116" s="18"/>
      <c r="AG116" s="18"/>
      <c r="AH116" s="18" t="str">
        <f t="shared" si="29"/>
        <v/>
      </c>
      <c r="AI116" s="18"/>
      <c r="AJ116" s="18"/>
      <c r="AK116" s="18" t="str">
        <f t="shared" si="30"/>
        <v/>
      </c>
      <c r="AL116" s="18"/>
      <c r="AM116" s="18"/>
      <c r="AN116" s="18" t="str">
        <f t="shared" si="31"/>
        <v/>
      </c>
      <c r="AO116" s="18"/>
      <c r="AP116" s="18"/>
      <c r="AQ116" s="18" t="str">
        <f t="shared" si="32"/>
        <v/>
      </c>
      <c r="AR116" s="18"/>
      <c r="AS116" s="18"/>
      <c r="AT116" s="18" t="str">
        <f t="shared" si="33"/>
        <v/>
      </c>
      <c r="AU116" s="18"/>
      <c r="AV116" s="18"/>
      <c r="AW116" s="18" t="str">
        <f t="shared" si="34"/>
        <v/>
      </c>
      <c r="AX116" s="18"/>
      <c r="AY116" s="18"/>
      <c r="AZ116" s="18" t="str">
        <f t="shared" si="35"/>
        <v/>
      </c>
      <c r="BA116" s="18">
        <v>279</v>
      </c>
      <c r="BB116" s="18"/>
      <c r="BC116" s="18">
        <f t="shared" si="36"/>
        <v>279</v>
      </c>
      <c r="BD116" s="18"/>
      <c r="BE116" s="18"/>
      <c r="BF116" s="18" t="str">
        <f t="shared" si="37"/>
        <v/>
      </c>
      <c r="BG116" s="18"/>
      <c r="BH116" s="18"/>
      <c r="BI116" s="18" t="str">
        <f t="shared" si="38"/>
        <v/>
      </c>
      <c r="BJ116" s="18"/>
      <c r="BK116" s="18"/>
      <c r="BL116" s="18" t="str">
        <f t="shared" si="39"/>
        <v/>
      </c>
      <c r="BM116" s="18"/>
      <c r="BN116" s="18"/>
      <c r="BO116" s="18" t="str">
        <f t="shared" si="40"/>
        <v/>
      </c>
      <c r="BP116" s="18"/>
      <c r="BQ116" s="18"/>
      <c r="BR116" s="18" t="str">
        <f t="shared" si="41"/>
        <v/>
      </c>
    </row>
    <row r="117" spans="1:70" x14ac:dyDescent="0.25">
      <c r="A117" s="2" t="s">
        <v>805</v>
      </c>
      <c r="B117" s="2" t="str">
        <f>VLOOKUP($A117,[2]Projekty!$A$2:$AR$1147,4,0)</f>
        <v>OPKZP-PO1-SC111-2016-10</v>
      </c>
      <c r="C117" s="2" t="str">
        <f>VLOOKUP($A117,[2]Projekty!$A$2:$AR$1147,6,0)</f>
        <v>Obec Záhorská Ves</v>
      </c>
      <c r="D117" s="2" t="str">
        <f>VLOOKUP($A117,[2]Projekty!$A$2:$AR$1147,7,0)</f>
        <v>Zberný dvor – Záhorská Ves</v>
      </c>
      <c r="E117" s="2" t="str">
        <f>VLOOKUP($A117,[2]Projekty!$A$2:$AR$1147,9,0)</f>
        <v>BA</v>
      </c>
      <c r="F117" s="2" t="str">
        <f>VLOOKUP($A117,[2]Projekty!$A$2:$AR$1147,14,0)</f>
        <v>Realizácia</v>
      </c>
      <c r="G117" s="61">
        <f>VLOOKUP($A117,'[2]Dĺžka realizácie'!$A$2:$AR$1148,8,0)</f>
        <v>43434</v>
      </c>
      <c r="H117" s="18"/>
      <c r="I117" s="18"/>
      <c r="J117" s="18" t="str">
        <f t="shared" si="21"/>
        <v/>
      </c>
      <c r="K117" s="18"/>
      <c r="L117" s="18"/>
      <c r="M117" s="18" t="str">
        <f t="shared" si="22"/>
        <v/>
      </c>
      <c r="N117" s="18"/>
      <c r="O117" s="18"/>
      <c r="P117" s="18" t="str">
        <f t="shared" si="23"/>
        <v/>
      </c>
      <c r="Q117" s="18"/>
      <c r="R117" s="18"/>
      <c r="S117" s="18" t="str">
        <f t="shared" si="24"/>
        <v/>
      </c>
      <c r="T117" s="18">
        <v>120</v>
      </c>
      <c r="U117" s="18"/>
      <c r="V117" s="18">
        <f t="shared" si="25"/>
        <v>120</v>
      </c>
      <c r="W117" s="18"/>
      <c r="X117" s="18"/>
      <c r="Y117" s="18" t="str">
        <f t="shared" si="26"/>
        <v/>
      </c>
      <c r="Z117" s="18"/>
      <c r="AA117" s="18"/>
      <c r="AB117" s="18" t="str">
        <f t="shared" si="27"/>
        <v/>
      </c>
      <c r="AC117" s="18"/>
      <c r="AD117" s="18"/>
      <c r="AE117" s="18" t="str">
        <f t="shared" si="28"/>
        <v/>
      </c>
      <c r="AF117" s="18"/>
      <c r="AG117" s="18"/>
      <c r="AH117" s="18" t="str">
        <f t="shared" si="29"/>
        <v/>
      </c>
      <c r="AI117" s="18"/>
      <c r="AJ117" s="18"/>
      <c r="AK117" s="18" t="str">
        <f t="shared" si="30"/>
        <v/>
      </c>
      <c r="AL117" s="18"/>
      <c r="AM117" s="18"/>
      <c r="AN117" s="18" t="str">
        <f t="shared" si="31"/>
        <v/>
      </c>
      <c r="AO117" s="18"/>
      <c r="AP117" s="18"/>
      <c r="AQ117" s="18" t="str">
        <f t="shared" si="32"/>
        <v/>
      </c>
      <c r="AR117" s="18"/>
      <c r="AS117" s="18"/>
      <c r="AT117" s="18" t="str">
        <f t="shared" si="33"/>
        <v/>
      </c>
      <c r="AU117" s="18"/>
      <c r="AV117" s="18"/>
      <c r="AW117" s="18" t="str">
        <f t="shared" si="34"/>
        <v/>
      </c>
      <c r="AX117" s="18"/>
      <c r="AY117" s="18"/>
      <c r="AZ117" s="18" t="str">
        <f t="shared" si="35"/>
        <v/>
      </c>
      <c r="BA117" s="18">
        <v>120</v>
      </c>
      <c r="BB117" s="18"/>
      <c r="BC117" s="18">
        <f t="shared" si="36"/>
        <v>120</v>
      </c>
      <c r="BD117" s="18"/>
      <c r="BE117" s="18"/>
      <c r="BF117" s="18" t="str">
        <f t="shared" si="37"/>
        <v/>
      </c>
      <c r="BG117" s="18"/>
      <c r="BH117" s="18"/>
      <c r="BI117" s="18" t="str">
        <f t="shared" si="38"/>
        <v/>
      </c>
      <c r="BJ117" s="18"/>
      <c r="BK117" s="18"/>
      <c r="BL117" s="18" t="str">
        <f t="shared" si="39"/>
        <v/>
      </c>
      <c r="BM117" s="18"/>
      <c r="BN117" s="18"/>
      <c r="BO117" s="18" t="str">
        <f t="shared" si="40"/>
        <v/>
      </c>
      <c r="BP117" s="18"/>
      <c r="BQ117" s="18"/>
      <c r="BR117" s="18" t="str">
        <f t="shared" si="41"/>
        <v/>
      </c>
    </row>
    <row r="118" spans="1:70" x14ac:dyDescent="0.25">
      <c r="A118" s="2" t="s">
        <v>794</v>
      </c>
      <c r="B118" s="2" t="str">
        <f>VLOOKUP($A118,[2]Projekty!$A$2:$AR$1147,4,0)</f>
        <v>OPKZP-PO1-SC111-2016-10</v>
      </c>
      <c r="C118" s="2" t="str">
        <f>VLOOKUP($A118,[2]Projekty!$A$2:$AR$1147,6,0)</f>
        <v>Obec Liptovské Revúce</v>
      </c>
      <c r="D118" s="2" t="str">
        <f>VLOOKUP($A118,[2]Projekty!$A$2:$AR$1147,7,0)</f>
        <v>Zberný dvor odpadov – Liptovské Revúce</v>
      </c>
      <c r="E118" s="2" t="str">
        <f>VLOOKUP($A118,[2]Projekty!$A$2:$AR$1147,9,0)</f>
        <v>ZA</v>
      </c>
      <c r="F118" s="2" t="str">
        <f>VLOOKUP($A118,[2]Projekty!$A$2:$AR$1147,14,0)</f>
        <v>Realizácia</v>
      </c>
      <c r="G118" s="61">
        <f>VLOOKUP($A118,'[2]Dĺžka realizácie'!$A$2:$AR$1148,8,0)</f>
        <v>43131</v>
      </c>
      <c r="H118" s="18"/>
      <c r="I118" s="18"/>
      <c r="J118" s="18" t="str">
        <f t="shared" si="21"/>
        <v/>
      </c>
      <c r="K118" s="18"/>
      <c r="L118" s="18"/>
      <c r="M118" s="18" t="str">
        <f t="shared" si="22"/>
        <v/>
      </c>
      <c r="N118" s="18"/>
      <c r="O118" s="18"/>
      <c r="P118" s="18" t="str">
        <f t="shared" si="23"/>
        <v/>
      </c>
      <c r="Q118" s="18"/>
      <c r="R118" s="18"/>
      <c r="S118" s="18" t="str">
        <f t="shared" si="24"/>
        <v/>
      </c>
      <c r="T118" s="18">
        <v>500</v>
      </c>
      <c r="U118" s="18"/>
      <c r="V118" s="18">
        <f t="shared" si="25"/>
        <v>500</v>
      </c>
      <c r="W118" s="18"/>
      <c r="X118" s="18"/>
      <c r="Y118" s="18" t="str">
        <f t="shared" si="26"/>
        <v/>
      </c>
      <c r="Z118" s="18"/>
      <c r="AA118" s="18"/>
      <c r="AB118" s="18" t="str">
        <f t="shared" si="27"/>
        <v/>
      </c>
      <c r="AC118" s="18"/>
      <c r="AD118" s="18"/>
      <c r="AE118" s="18" t="str">
        <f t="shared" si="28"/>
        <v/>
      </c>
      <c r="AF118" s="18"/>
      <c r="AG118" s="18"/>
      <c r="AH118" s="18" t="str">
        <f t="shared" si="29"/>
        <v/>
      </c>
      <c r="AI118" s="18"/>
      <c r="AJ118" s="18"/>
      <c r="AK118" s="18" t="str">
        <f t="shared" si="30"/>
        <v/>
      </c>
      <c r="AL118" s="18"/>
      <c r="AM118" s="18"/>
      <c r="AN118" s="18" t="str">
        <f t="shared" si="31"/>
        <v/>
      </c>
      <c r="AO118" s="18"/>
      <c r="AP118" s="18"/>
      <c r="AQ118" s="18" t="str">
        <f t="shared" si="32"/>
        <v/>
      </c>
      <c r="AR118" s="18"/>
      <c r="AS118" s="18"/>
      <c r="AT118" s="18" t="str">
        <f t="shared" si="33"/>
        <v/>
      </c>
      <c r="AU118" s="18"/>
      <c r="AV118" s="18"/>
      <c r="AW118" s="18" t="str">
        <f t="shared" si="34"/>
        <v/>
      </c>
      <c r="AX118" s="18"/>
      <c r="AY118" s="18"/>
      <c r="AZ118" s="18" t="str">
        <f t="shared" si="35"/>
        <v/>
      </c>
      <c r="BA118" s="18">
        <v>500</v>
      </c>
      <c r="BB118" s="18"/>
      <c r="BC118" s="18">
        <f t="shared" si="36"/>
        <v>500</v>
      </c>
      <c r="BD118" s="18"/>
      <c r="BE118" s="18"/>
      <c r="BF118" s="18" t="str">
        <f t="shared" si="37"/>
        <v/>
      </c>
      <c r="BG118" s="18"/>
      <c r="BH118" s="18"/>
      <c r="BI118" s="18" t="str">
        <f t="shared" si="38"/>
        <v/>
      </c>
      <c r="BJ118" s="18"/>
      <c r="BK118" s="18"/>
      <c r="BL118" s="18" t="str">
        <f t="shared" si="39"/>
        <v/>
      </c>
      <c r="BM118" s="18"/>
      <c r="BN118" s="18"/>
      <c r="BO118" s="18" t="str">
        <f t="shared" si="40"/>
        <v/>
      </c>
      <c r="BP118" s="18"/>
      <c r="BQ118" s="18"/>
      <c r="BR118" s="18" t="str">
        <f t="shared" si="41"/>
        <v/>
      </c>
    </row>
    <row r="119" spans="1:70" x14ac:dyDescent="0.25">
      <c r="A119" s="2" t="s">
        <v>761</v>
      </c>
      <c r="B119" s="2" t="str">
        <f>VLOOKUP($A119,[2]Projekty!$A$2:$AR$1147,4,0)</f>
        <v>OPKZP-PO1-SC111-2016-10</v>
      </c>
      <c r="C119" s="2" t="str">
        <f>VLOOKUP($A119,[2]Projekty!$A$2:$AR$1147,6,0)</f>
        <v>Obec Horná Súča</v>
      </c>
      <c r="D119" s="2" t="str">
        <f>VLOOKUP($A119,[2]Projekty!$A$2:$AR$1147,7,0)</f>
        <v>Zberný dvor odpadov Horná Súča</v>
      </c>
      <c r="E119" s="2" t="str">
        <f>VLOOKUP($A119,[2]Projekty!$A$2:$AR$1147,9,0)</f>
        <v>TN</v>
      </c>
      <c r="F119" s="2" t="str">
        <f>VLOOKUP($A119,[2]Projekty!$A$2:$AR$1147,14,0)</f>
        <v>Realizácia</v>
      </c>
      <c r="G119" s="61">
        <f>VLOOKUP($A119,'[2]Dĺžka realizácie'!$A$2:$AR$1148,8,0)</f>
        <v>43251</v>
      </c>
      <c r="H119" s="18"/>
      <c r="I119" s="18"/>
      <c r="J119" s="18" t="str">
        <f t="shared" si="21"/>
        <v/>
      </c>
      <c r="K119" s="18"/>
      <c r="L119" s="18"/>
      <c r="M119" s="18" t="str">
        <f t="shared" si="22"/>
        <v/>
      </c>
      <c r="N119" s="18"/>
      <c r="O119" s="18"/>
      <c r="P119" s="18" t="str">
        <f t="shared" si="23"/>
        <v/>
      </c>
      <c r="Q119" s="18"/>
      <c r="R119" s="18"/>
      <c r="S119" s="18" t="str">
        <f t="shared" si="24"/>
        <v/>
      </c>
      <c r="T119" s="18">
        <v>980.22</v>
      </c>
      <c r="U119" s="18"/>
      <c r="V119" s="18">
        <f t="shared" si="25"/>
        <v>980.22</v>
      </c>
      <c r="W119" s="18"/>
      <c r="X119" s="18"/>
      <c r="Y119" s="18" t="str">
        <f t="shared" si="26"/>
        <v/>
      </c>
      <c r="Z119" s="18"/>
      <c r="AA119" s="18"/>
      <c r="AB119" s="18" t="str">
        <f t="shared" si="27"/>
        <v/>
      </c>
      <c r="AC119" s="18">
        <v>500</v>
      </c>
      <c r="AD119" s="18"/>
      <c r="AE119" s="18">
        <f t="shared" si="28"/>
        <v>500</v>
      </c>
      <c r="AF119" s="18"/>
      <c r="AG119" s="18"/>
      <c r="AH119" s="18" t="str">
        <f t="shared" si="29"/>
        <v/>
      </c>
      <c r="AI119" s="18"/>
      <c r="AJ119" s="18"/>
      <c r="AK119" s="18" t="str">
        <f t="shared" si="30"/>
        <v/>
      </c>
      <c r="AL119" s="18"/>
      <c r="AM119" s="18"/>
      <c r="AN119" s="18" t="str">
        <f t="shared" si="31"/>
        <v/>
      </c>
      <c r="AO119" s="18"/>
      <c r="AP119" s="18"/>
      <c r="AQ119" s="18" t="str">
        <f t="shared" si="32"/>
        <v/>
      </c>
      <c r="AR119" s="18">
        <v>3</v>
      </c>
      <c r="AS119" s="18"/>
      <c r="AT119" s="18">
        <f t="shared" si="33"/>
        <v>3</v>
      </c>
      <c r="AU119" s="18"/>
      <c r="AV119" s="18"/>
      <c r="AW119" s="18" t="str">
        <f t="shared" si="34"/>
        <v/>
      </c>
      <c r="AX119" s="18"/>
      <c r="AY119" s="18"/>
      <c r="AZ119" s="18" t="str">
        <f t="shared" si="35"/>
        <v/>
      </c>
      <c r="BA119" s="18">
        <v>980.22</v>
      </c>
      <c r="BB119" s="18"/>
      <c r="BC119" s="18">
        <f t="shared" si="36"/>
        <v>980.22</v>
      </c>
      <c r="BD119" s="18"/>
      <c r="BE119" s="18"/>
      <c r="BF119" s="18" t="str">
        <f t="shared" si="37"/>
        <v/>
      </c>
      <c r="BG119" s="18"/>
      <c r="BH119" s="18"/>
      <c r="BI119" s="18" t="str">
        <f t="shared" si="38"/>
        <v/>
      </c>
      <c r="BJ119" s="18"/>
      <c r="BK119" s="18"/>
      <c r="BL119" s="18" t="str">
        <f t="shared" si="39"/>
        <v/>
      </c>
      <c r="BM119" s="18"/>
      <c r="BN119" s="18"/>
      <c r="BO119" s="18" t="str">
        <f t="shared" si="40"/>
        <v/>
      </c>
      <c r="BP119" s="18"/>
      <c r="BQ119" s="18"/>
      <c r="BR119" s="18" t="str">
        <f t="shared" si="41"/>
        <v/>
      </c>
    </row>
    <row r="120" spans="1:70" ht="25.5" x14ac:dyDescent="0.25">
      <c r="A120" s="2" t="s">
        <v>711</v>
      </c>
      <c r="B120" s="2" t="str">
        <f>VLOOKUP($A120,[2]Projekty!$A$2:$AR$1147,4,0)</f>
        <v>OPKZP-PO1-SC111-2016-11</v>
      </c>
      <c r="C120" s="2" t="str">
        <f>VLOOKUP($A120,[2]Projekty!$A$2:$AR$1147,6,0)</f>
        <v>SLUŽBA, mestský podnik Stropkov</v>
      </c>
      <c r="D120" s="2" t="str">
        <f>VLOOKUP($A120,[2]Projekty!$A$2:$AR$1147,7,0)</f>
        <v>Zhodnocovanie biologicky rozložiteľného komunálneho odpadu, Stropkov</v>
      </c>
      <c r="E120" s="2" t="str">
        <f>VLOOKUP($A120,[2]Projekty!$A$2:$AR$1147,9,0)</f>
        <v>PO</v>
      </c>
      <c r="F120" s="2" t="str">
        <f>VLOOKUP($A120,[2]Projekty!$A$2:$AR$1147,14,0)</f>
        <v>Realizácia</v>
      </c>
      <c r="G120" s="61">
        <f>VLOOKUP($A120,'[2]Dĺžka realizácie'!$A$2:$AR$1148,8,0)</f>
        <v>43220</v>
      </c>
      <c r="H120" s="18"/>
      <c r="I120" s="18"/>
      <c r="J120" s="18" t="str">
        <f t="shared" si="21"/>
        <v/>
      </c>
      <c r="K120" s="18"/>
      <c r="L120" s="18"/>
      <c r="M120" s="18" t="str">
        <f t="shared" si="22"/>
        <v/>
      </c>
      <c r="N120" s="18"/>
      <c r="O120" s="18"/>
      <c r="P120" s="18" t="str">
        <f t="shared" si="23"/>
        <v/>
      </c>
      <c r="Q120" s="18"/>
      <c r="R120" s="18"/>
      <c r="S120" s="18" t="str">
        <f t="shared" si="24"/>
        <v/>
      </c>
      <c r="T120" s="18"/>
      <c r="U120" s="18"/>
      <c r="V120" s="18" t="str">
        <f t="shared" si="25"/>
        <v/>
      </c>
      <c r="W120" s="18">
        <v>1350</v>
      </c>
      <c r="X120" s="18"/>
      <c r="Y120" s="18">
        <f t="shared" si="26"/>
        <v>1350</v>
      </c>
      <c r="Z120" s="18"/>
      <c r="AA120" s="18"/>
      <c r="AB120" s="18" t="str">
        <f t="shared" si="27"/>
        <v/>
      </c>
      <c r="AC120" s="18"/>
      <c r="AD120" s="18"/>
      <c r="AE120" s="18" t="str">
        <f t="shared" si="28"/>
        <v/>
      </c>
      <c r="AF120" s="18"/>
      <c r="AG120" s="18"/>
      <c r="AH120" s="18" t="str">
        <f t="shared" si="29"/>
        <v/>
      </c>
      <c r="AI120" s="18"/>
      <c r="AJ120" s="18"/>
      <c r="AK120" s="18" t="str">
        <f t="shared" si="30"/>
        <v/>
      </c>
      <c r="AL120" s="18"/>
      <c r="AM120" s="18"/>
      <c r="AN120" s="18" t="str">
        <f t="shared" si="31"/>
        <v/>
      </c>
      <c r="AO120" s="18"/>
      <c r="AP120" s="18"/>
      <c r="AQ120" s="18" t="str">
        <f t="shared" si="32"/>
        <v/>
      </c>
      <c r="AR120" s="18"/>
      <c r="AS120" s="18"/>
      <c r="AT120" s="18" t="str">
        <f t="shared" si="33"/>
        <v/>
      </c>
      <c r="AU120" s="18"/>
      <c r="AV120" s="18"/>
      <c r="AW120" s="18" t="str">
        <f t="shared" si="34"/>
        <v/>
      </c>
      <c r="AX120" s="18"/>
      <c r="AY120" s="18"/>
      <c r="AZ120" s="18" t="str">
        <f t="shared" si="35"/>
        <v/>
      </c>
      <c r="BA120" s="18"/>
      <c r="BB120" s="18"/>
      <c r="BC120" s="18" t="str">
        <f t="shared" si="36"/>
        <v/>
      </c>
      <c r="BD120" s="18">
        <v>1900</v>
      </c>
      <c r="BE120" s="18"/>
      <c r="BF120" s="18">
        <f t="shared" si="37"/>
        <v>1900</v>
      </c>
      <c r="BG120" s="18"/>
      <c r="BH120" s="18"/>
      <c r="BI120" s="18" t="str">
        <f t="shared" si="38"/>
        <v/>
      </c>
      <c r="BJ120" s="18"/>
      <c r="BK120" s="18"/>
      <c r="BL120" s="18" t="str">
        <f t="shared" si="39"/>
        <v/>
      </c>
      <c r="BM120" s="18"/>
      <c r="BN120" s="18"/>
      <c r="BO120" s="18" t="str">
        <f t="shared" si="40"/>
        <v/>
      </c>
      <c r="BP120" s="18"/>
      <c r="BQ120" s="18"/>
      <c r="BR120" s="18" t="str">
        <f t="shared" si="41"/>
        <v/>
      </c>
    </row>
    <row r="121" spans="1:70" x14ac:dyDescent="0.25">
      <c r="A121" s="2" t="s">
        <v>762</v>
      </c>
      <c r="B121" s="2" t="str">
        <f>VLOOKUP($A121,[2]Projekty!$A$2:$AR$1147,4,0)</f>
        <v>OPKZP-PO1-SC111-2016-10</v>
      </c>
      <c r="C121" s="2" t="str">
        <f>VLOOKUP($A121,[2]Projekty!$A$2:$AR$1147,6,0)</f>
        <v>Obec Dolná Súča</v>
      </c>
      <c r="D121" s="2" t="str">
        <f>VLOOKUP($A121,[2]Projekty!$A$2:$AR$1147,7,0)</f>
        <v>Intenzifikácia triedeného zberu v obci Dolná Súča</v>
      </c>
      <c r="E121" s="2" t="str">
        <f>VLOOKUP($A121,[2]Projekty!$A$2:$AR$1147,9,0)</f>
        <v>TN</v>
      </c>
      <c r="F121" s="2" t="str">
        <f>VLOOKUP($A121,[2]Projekty!$A$2:$AR$1147,14,0)</f>
        <v>Realizácia</v>
      </c>
      <c r="G121" s="61">
        <f>VLOOKUP($A121,'[2]Dĺžka realizácie'!$A$2:$AR$1148,8,0)</f>
        <v>43100</v>
      </c>
      <c r="H121" s="18"/>
      <c r="I121" s="18"/>
      <c r="J121" s="18" t="str">
        <f t="shared" si="21"/>
        <v/>
      </c>
      <c r="K121" s="18"/>
      <c r="L121" s="18"/>
      <c r="M121" s="18" t="str">
        <f t="shared" si="22"/>
        <v/>
      </c>
      <c r="N121" s="18"/>
      <c r="O121" s="18"/>
      <c r="P121" s="18" t="str">
        <f t="shared" si="23"/>
        <v/>
      </c>
      <c r="Q121" s="18"/>
      <c r="R121" s="18"/>
      <c r="S121" s="18" t="str">
        <f t="shared" si="24"/>
        <v/>
      </c>
      <c r="T121" s="18">
        <v>516.69000000000005</v>
      </c>
      <c r="U121" s="18"/>
      <c r="V121" s="18">
        <f t="shared" si="25"/>
        <v>516.69000000000005</v>
      </c>
      <c r="W121" s="18"/>
      <c r="X121" s="18"/>
      <c r="Y121" s="18" t="str">
        <f t="shared" si="26"/>
        <v/>
      </c>
      <c r="Z121" s="18"/>
      <c r="AA121" s="18"/>
      <c r="AB121" s="18" t="str">
        <f t="shared" si="27"/>
        <v/>
      </c>
      <c r="AC121" s="18"/>
      <c r="AD121" s="18"/>
      <c r="AE121" s="18" t="str">
        <f t="shared" si="28"/>
        <v/>
      </c>
      <c r="AF121" s="18"/>
      <c r="AG121" s="18"/>
      <c r="AH121" s="18" t="str">
        <f t="shared" si="29"/>
        <v/>
      </c>
      <c r="AI121" s="18"/>
      <c r="AJ121" s="18"/>
      <c r="AK121" s="18" t="str">
        <f t="shared" si="30"/>
        <v/>
      </c>
      <c r="AL121" s="18"/>
      <c r="AM121" s="18"/>
      <c r="AN121" s="18" t="str">
        <f t="shared" si="31"/>
        <v/>
      </c>
      <c r="AO121" s="18"/>
      <c r="AP121" s="18"/>
      <c r="AQ121" s="18" t="str">
        <f t="shared" si="32"/>
        <v/>
      </c>
      <c r="AR121" s="18"/>
      <c r="AS121" s="18"/>
      <c r="AT121" s="18" t="str">
        <f t="shared" si="33"/>
        <v/>
      </c>
      <c r="AU121" s="18"/>
      <c r="AV121" s="18"/>
      <c r="AW121" s="18" t="str">
        <f t="shared" si="34"/>
        <v/>
      </c>
      <c r="AX121" s="18"/>
      <c r="AY121" s="18"/>
      <c r="AZ121" s="18" t="str">
        <f t="shared" si="35"/>
        <v/>
      </c>
      <c r="BA121" s="18">
        <v>516.69000000000005</v>
      </c>
      <c r="BB121" s="18"/>
      <c r="BC121" s="18">
        <f t="shared" si="36"/>
        <v>516.69000000000005</v>
      </c>
      <c r="BD121" s="18"/>
      <c r="BE121" s="18"/>
      <c r="BF121" s="18" t="str">
        <f t="shared" si="37"/>
        <v/>
      </c>
      <c r="BG121" s="18"/>
      <c r="BH121" s="18"/>
      <c r="BI121" s="18" t="str">
        <f t="shared" si="38"/>
        <v/>
      </c>
      <c r="BJ121" s="18"/>
      <c r="BK121" s="18"/>
      <c r="BL121" s="18" t="str">
        <f t="shared" si="39"/>
        <v/>
      </c>
      <c r="BM121" s="18"/>
      <c r="BN121" s="18"/>
      <c r="BO121" s="18" t="str">
        <f t="shared" si="40"/>
        <v/>
      </c>
      <c r="BP121" s="18"/>
      <c r="BQ121" s="18"/>
      <c r="BR121" s="18" t="str">
        <f t="shared" si="41"/>
        <v/>
      </c>
    </row>
    <row r="122" spans="1:70" x14ac:dyDescent="0.25">
      <c r="A122" s="2" t="s">
        <v>763</v>
      </c>
      <c r="B122" s="2" t="str">
        <f>VLOOKUP($A122,[2]Projekty!$A$2:$AR$1147,4,0)</f>
        <v>OPKZP-PO1-SC111-2016-11</v>
      </c>
      <c r="C122" s="2" t="str">
        <f>VLOOKUP($A122,[2]Projekty!$A$2:$AR$1147,6,0)</f>
        <v>Obec Horná Súča</v>
      </c>
      <c r="D122" s="2" t="str">
        <f>VLOOKUP($A122,[2]Projekty!$A$2:$AR$1147,7,0)</f>
        <v>Obecná kompostáreň Horná Súča</v>
      </c>
      <c r="E122" s="2" t="str">
        <f>VLOOKUP($A122,[2]Projekty!$A$2:$AR$1147,9,0)</f>
        <v>TN</v>
      </c>
      <c r="F122" s="2" t="str">
        <f>VLOOKUP($A122,[2]Projekty!$A$2:$AR$1147,14,0)</f>
        <v>Realizácia</v>
      </c>
      <c r="G122" s="61">
        <f>VLOOKUP($A122,'[2]Dĺžka realizácie'!$A$2:$AR$1148,8,0)</f>
        <v>43251</v>
      </c>
      <c r="H122" s="18"/>
      <c r="I122" s="18"/>
      <c r="J122" s="18" t="str">
        <f t="shared" si="21"/>
        <v/>
      </c>
      <c r="K122" s="18"/>
      <c r="L122" s="18"/>
      <c r="M122" s="18" t="str">
        <f t="shared" si="22"/>
        <v/>
      </c>
      <c r="N122" s="18"/>
      <c r="O122" s="18"/>
      <c r="P122" s="18" t="str">
        <f t="shared" si="23"/>
        <v/>
      </c>
      <c r="Q122" s="18"/>
      <c r="R122" s="18"/>
      <c r="S122" s="18" t="str">
        <f t="shared" si="24"/>
        <v/>
      </c>
      <c r="T122" s="18"/>
      <c r="U122" s="18"/>
      <c r="V122" s="18" t="str">
        <f t="shared" si="25"/>
        <v/>
      </c>
      <c r="W122" s="18">
        <v>680</v>
      </c>
      <c r="X122" s="18"/>
      <c r="Y122" s="18">
        <f t="shared" si="26"/>
        <v>680</v>
      </c>
      <c r="Z122" s="18"/>
      <c r="AA122" s="18"/>
      <c r="AB122" s="18" t="str">
        <f t="shared" si="27"/>
        <v/>
      </c>
      <c r="AC122" s="18"/>
      <c r="AD122" s="18"/>
      <c r="AE122" s="18" t="str">
        <f t="shared" si="28"/>
        <v/>
      </c>
      <c r="AF122" s="18"/>
      <c r="AG122" s="18"/>
      <c r="AH122" s="18" t="str">
        <f t="shared" si="29"/>
        <v/>
      </c>
      <c r="AI122" s="18"/>
      <c r="AJ122" s="18"/>
      <c r="AK122" s="18" t="str">
        <f t="shared" si="30"/>
        <v/>
      </c>
      <c r="AL122" s="18"/>
      <c r="AM122" s="18"/>
      <c r="AN122" s="18" t="str">
        <f t="shared" si="31"/>
        <v/>
      </c>
      <c r="AO122" s="18"/>
      <c r="AP122" s="18"/>
      <c r="AQ122" s="18" t="str">
        <f t="shared" si="32"/>
        <v/>
      </c>
      <c r="AR122" s="18"/>
      <c r="AS122" s="18"/>
      <c r="AT122" s="18" t="str">
        <f t="shared" si="33"/>
        <v/>
      </c>
      <c r="AU122" s="18"/>
      <c r="AV122" s="18"/>
      <c r="AW122" s="18" t="str">
        <f t="shared" si="34"/>
        <v/>
      </c>
      <c r="AX122" s="18"/>
      <c r="AY122" s="18"/>
      <c r="AZ122" s="18" t="str">
        <f t="shared" si="35"/>
        <v/>
      </c>
      <c r="BA122" s="18"/>
      <c r="BB122" s="18"/>
      <c r="BC122" s="18" t="str">
        <f t="shared" si="36"/>
        <v/>
      </c>
      <c r="BD122" s="18">
        <v>700</v>
      </c>
      <c r="BE122" s="18"/>
      <c r="BF122" s="18">
        <f t="shared" si="37"/>
        <v>700</v>
      </c>
      <c r="BG122" s="18"/>
      <c r="BH122" s="18"/>
      <c r="BI122" s="18" t="str">
        <f t="shared" si="38"/>
        <v/>
      </c>
      <c r="BJ122" s="18"/>
      <c r="BK122" s="18"/>
      <c r="BL122" s="18" t="str">
        <f t="shared" si="39"/>
        <v/>
      </c>
      <c r="BM122" s="18"/>
      <c r="BN122" s="18"/>
      <c r="BO122" s="18" t="str">
        <f t="shared" si="40"/>
        <v/>
      </c>
      <c r="BP122" s="18"/>
      <c r="BQ122" s="18"/>
      <c r="BR122" s="18" t="str">
        <f t="shared" si="41"/>
        <v/>
      </c>
    </row>
    <row r="123" spans="1:70" ht="25.5" x14ac:dyDescent="0.25">
      <c r="A123" s="2" t="s">
        <v>817</v>
      </c>
      <c r="B123" s="2" t="str">
        <f>VLOOKUP($A123,[2]Projekty!$A$2:$AR$1147,4,0)</f>
        <v>OPKZP-PO1-SC111-2016-10</v>
      </c>
      <c r="C123" s="2" t="str">
        <f>VLOOKUP($A123,[2]Projekty!$A$2:$AR$1147,6,0)</f>
        <v>Mesto Brezno</v>
      </c>
      <c r="D123" s="2" t="str">
        <f>VLOOKUP($A123,[2]Projekty!$A$2:$AR$1147,7,0)</f>
        <v>Zber a zhodnotenie BRO a DSO mesta Brezno</v>
      </c>
      <c r="E123" s="2" t="str">
        <f>VLOOKUP($A123,[2]Projekty!$A$2:$AR$1147,9,0)</f>
        <v>BB</v>
      </c>
      <c r="F123" s="2" t="str">
        <f>VLOOKUP($A123,[2]Projekty!$A$2:$AR$1147,14,0)</f>
        <v>Aktivity nezačaté</v>
      </c>
      <c r="G123" s="61">
        <f>VLOOKUP($A123,'[2]Dĺžka realizácie'!$A$2:$AR$1148,8,0)</f>
        <v>43524</v>
      </c>
      <c r="H123" s="18"/>
      <c r="I123" s="18"/>
      <c r="J123" s="18" t="str">
        <f t="shared" si="21"/>
        <v/>
      </c>
      <c r="K123" s="18"/>
      <c r="L123" s="18"/>
      <c r="M123" s="18" t="str">
        <f t="shared" si="22"/>
        <v/>
      </c>
      <c r="N123" s="18"/>
      <c r="O123" s="18"/>
      <c r="P123" s="18" t="str">
        <f t="shared" si="23"/>
        <v/>
      </c>
      <c r="Q123" s="18"/>
      <c r="R123" s="18"/>
      <c r="S123" s="18" t="str">
        <f t="shared" si="24"/>
        <v/>
      </c>
      <c r="T123" s="18">
        <v>1880</v>
      </c>
      <c r="U123" s="18"/>
      <c r="V123" s="18">
        <f t="shared" si="25"/>
        <v>0</v>
      </c>
      <c r="W123" s="18"/>
      <c r="X123" s="18"/>
      <c r="Y123" s="18" t="str">
        <f t="shared" si="26"/>
        <v/>
      </c>
      <c r="Z123" s="18"/>
      <c r="AA123" s="18"/>
      <c r="AB123" s="18" t="str">
        <f t="shared" si="27"/>
        <v/>
      </c>
      <c r="AC123" s="18"/>
      <c r="AD123" s="18"/>
      <c r="AE123" s="18" t="str">
        <f t="shared" si="28"/>
        <v/>
      </c>
      <c r="AF123" s="18"/>
      <c r="AG123" s="18"/>
      <c r="AH123" s="18" t="str">
        <f t="shared" si="29"/>
        <v/>
      </c>
      <c r="AI123" s="18"/>
      <c r="AJ123" s="18"/>
      <c r="AK123" s="18" t="str">
        <f t="shared" si="30"/>
        <v/>
      </c>
      <c r="AL123" s="18"/>
      <c r="AM123" s="18"/>
      <c r="AN123" s="18" t="str">
        <f t="shared" si="31"/>
        <v/>
      </c>
      <c r="AO123" s="18"/>
      <c r="AP123" s="18"/>
      <c r="AQ123" s="18" t="str">
        <f t="shared" si="32"/>
        <v/>
      </c>
      <c r="AR123" s="18"/>
      <c r="AS123" s="18"/>
      <c r="AT123" s="18" t="str">
        <f t="shared" si="33"/>
        <v/>
      </c>
      <c r="AU123" s="18"/>
      <c r="AV123" s="18"/>
      <c r="AW123" s="18" t="str">
        <f t="shared" si="34"/>
        <v/>
      </c>
      <c r="AX123" s="18"/>
      <c r="AY123" s="18"/>
      <c r="AZ123" s="18" t="str">
        <f t="shared" si="35"/>
        <v/>
      </c>
      <c r="BA123" s="18">
        <v>1880</v>
      </c>
      <c r="BB123" s="18"/>
      <c r="BC123" s="18">
        <f t="shared" si="36"/>
        <v>0</v>
      </c>
      <c r="BD123" s="18"/>
      <c r="BE123" s="18"/>
      <c r="BF123" s="18" t="str">
        <f t="shared" si="37"/>
        <v/>
      </c>
      <c r="BG123" s="18"/>
      <c r="BH123" s="18"/>
      <c r="BI123" s="18" t="str">
        <f t="shared" si="38"/>
        <v/>
      </c>
      <c r="BJ123" s="18"/>
      <c r="BK123" s="18"/>
      <c r="BL123" s="18" t="str">
        <f t="shared" si="39"/>
        <v/>
      </c>
      <c r="BM123" s="18"/>
      <c r="BN123" s="18"/>
      <c r="BO123" s="18" t="str">
        <f t="shared" si="40"/>
        <v/>
      </c>
      <c r="BP123" s="18"/>
      <c r="BQ123" s="18"/>
      <c r="BR123" s="18" t="str">
        <f t="shared" si="41"/>
        <v/>
      </c>
    </row>
    <row r="124" spans="1:70" x14ac:dyDescent="0.25">
      <c r="A124" s="2" t="s">
        <v>795</v>
      </c>
      <c r="B124" s="2" t="str">
        <f>VLOOKUP($A124,[2]Projekty!$A$2:$AR$1147,4,0)</f>
        <v>OPKZP-PO1-SC111-2016-10</v>
      </c>
      <c r="C124" s="2" t="str">
        <f>VLOOKUP($A124,[2]Projekty!$A$2:$AR$1147,6,0)</f>
        <v>Obec Liešťany</v>
      </c>
      <c r="D124" s="2" t="str">
        <f>VLOOKUP($A124,[2]Projekty!$A$2:$AR$1147,7,0)</f>
        <v>Zberný dvor v obci Liešťany</v>
      </c>
      <c r="E124" s="2" t="str">
        <f>VLOOKUP($A124,[2]Projekty!$A$2:$AR$1147,9,0)</f>
        <v>TN</v>
      </c>
      <c r="F124" s="2" t="str">
        <f>VLOOKUP($A124,[2]Projekty!$A$2:$AR$1147,14,0)</f>
        <v>Realizácia</v>
      </c>
      <c r="G124" s="61">
        <f>VLOOKUP($A124,'[2]Dĺžka realizácie'!$A$2:$AR$1148,8,0)</f>
        <v>43343</v>
      </c>
      <c r="H124" s="18"/>
      <c r="I124" s="18"/>
      <c r="J124" s="18" t="str">
        <f t="shared" si="21"/>
        <v/>
      </c>
      <c r="K124" s="18"/>
      <c r="L124" s="18"/>
      <c r="M124" s="18" t="str">
        <f t="shared" si="22"/>
        <v/>
      </c>
      <c r="N124" s="18"/>
      <c r="O124" s="18"/>
      <c r="P124" s="18" t="str">
        <f t="shared" si="23"/>
        <v/>
      </c>
      <c r="Q124" s="18"/>
      <c r="R124" s="18"/>
      <c r="S124" s="18" t="str">
        <f t="shared" si="24"/>
        <v/>
      </c>
      <c r="T124" s="18">
        <v>110</v>
      </c>
      <c r="U124" s="18"/>
      <c r="V124" s="18">
        <f t="shared" si="25"/>
        <v>110</v>
      </c>
      <c r="W124" s="18"/>
      <c r="X124" s="18"/>
      <c r="Y124" s="18" t="str">
        <f t="shared" si="26"/>
        <v/>
      </c>
      <c r="Z124" s="18"/>
      <c r="AA124" s="18"/>
      <c r="AB124" s="18" t="str">
        <f t="shared" si="27"/>
        <v/>
      </c>
      <c r="AC124" s="18">
        <v>400</v>
      </c>
      <c r="AD124" s="18"/>
      <c r="AE124" s="18">
        <f t="shared" si="28"/>
        <v>400</v>
      </c>
      <c r="AF124" s="18"/>
      <c r="AG124" s="18"/>
      <c r="AH124" s="18" t="str">
        <f t="shared" si="29"/>
        <v/>
      </c>
      <c r="AI124" s="18"/>
      <c r="AJ124" s="18"/>
      <c r="AK124" s="18" t="str">
        <f t="shared" si="30"/>
        <v/>
      </c>
      <c r="AL124" s="18"/>
      <c r="AM124" s="18"/>
      <c r="AN124" s="18" t="str">
        <f t="shared" si="31"/>
        <v/>
      </c>
      <c r="AO124" s="18"/>
      <c r="AP124" s="18"/>
      <c r="AQ124" s="18" t="str">
        <f t="shared" si="32"/>
        <v/>
      </c>
      <c r="AR124" s="18">
        <v>7</v>
      </c>
      <c r="AS124" s="18"/>
      <c r="AT124" s="18">
        <f t="shared" si="33"/>
        <v>7</v>
      </c>
      <c r="AU124" s="18"/>
      <c r="AV124" s="18"/>
      <c r="AW124" s="18" t="str">
        <f t="shared" si="34"/>
        <v/>
      </c>
      <c r="AX124" s="18"/>
      <c r="AY124" s="18"/>
      <c r="AZ124" s="18" t="str">
        <f t="shared" si="35"/>
        <v/>
      </c>
      <c r="BA124" s="18">
        <v>110</v>
      </c>
      <c r="BB124" s="18"/>
      <c r="BC124" s="18">
        <f t="shared" si="36"/>
        <v>110</v>
      </c>
      <c r="BD124" s="18"/>
      <c r="BE124" s="18"/>
      <c r="BF124" s="18" t="str">
        <f t="shared" si="37"/>
        <v/>
      </c>
      <c r="BG124" s="18"/>
      <c r="BH124" s="18"/>
      <c r="BI124" s="18" t="str">
        <f t="shared" si="38"/>
        <v/>
      </c>
      <c r="BJ124" s="18"/>
      <c r="BK124" s="18"/>
      <c r="BL124" s="18" t="str">
        <f t="shared" si="39"/>
        <v/>
      </c>
      <c r="BM124" s="18"/>
      <c r="BN124" s="18"/>
      <c r="BO124" s="18" t="str">
        <f t="shared" si="40"/>
        <v/>
      </c>
      <c r="BP124" s="18"/>
      <c r="BQ124" s="18"/>
      <c r="BR124" s="18" t="str">
        <f t="shared" si="41"/>
        <v/>
      </c>
    </row>
    <row r="125" spans="1:70" x14ac:dyDescent="0.25">
      <c r="A125" s="2" t="s">
        <v>764</v>
      </c>
      <c r="B125" s="2" t="str">
        <f>VLOOKUP($A125,[2]Projekty!$A$2:$AR$1147,4,0)</f>
        <v>OPKZP-PO1-SC111-2016-10</v>
      </c>
      <c r="C125" s="2" t="str">
        <f>VLOOKUP($A125,[2]Projekty!$A$2:$AR$1147,6,0)</f>
        <v>Obec Hontianske Moravce</v>
      </c>
      <c r="D125" s="2" t="str">
        <f>VLOOKUP($A125,[2]Projekty!$A$2:$AR$1147,7,0)</f>
        <v>Zberný dvor Hontianske Moravce</v>
      </c>
      <c r="E125" s="2" t="str">
        <f>VLOOKUP($A125,[2]Projekty!$A$2:$AR$1147,9,0)</f>
        <v>BB</v>
      </c>
      <c r="F125" s="2" t="str">
        <f>VLOOKUP($A125,[2]Projekty!$A$2:$AR$1147,14,0)</f>
        <v>Realizácia</v>
      </c>
      <c r="G125" s="61">
        <f>VLOOKUP($A125,'[2]Dĺžka realizácie'!$A$2:$AR$1148,8,0)</f>
        <v>43312</v>
      </c>
      <c r="H125" s="18"/>
      <c r="I125" s="18"/>
      <c r="J125" s="18" t="str">
        <f t="shared" si="21"/>
        <v/>
      </c>
      <c r="K125" s="18"/>
      <c r="L125" s="18"/>
      <c r="M125" s="18" t="str">
        <f t="shared" si="22"/>
        <v/>
      </c>
      <c r="N125" s="18"/>
      <c r="O125" s="18"/>
      <c r="P125" s="18" t="str">
        <f t="shared" si="23"/>
        <v/>
      </c>
      <c r="Q125" s="18"/>
      <c r="R125" s="18"/>
      <c r="S125" s="18" t="str">
        <f t="shared" si="24"/>
        <v/>
      </c>
      <c r="T125" s="18">
        <v>72</v>
      </c>
      <c r="U125" s="18"/>
      <c r="V125" s="18">
        <f t="shared" si="25"/>
        <v>72</v>
      </c>
      <c r="W125" s="18"/>
      <c r="X125" s="18"/>
      <c r="Y125" s="18" t="str">
        <f t="shared" si="26"/>
        <v/>
      </c>
      <c r="Z125" s="18"/>
      <c r="AA125" s="18"/>
      <c r="AB125" s="18" t="str">
        <f t="shared" si="27"/>
        <v/>
      </c>
      <c r="AC125" s="18"/>
      <c r="AD125" s="18"/>
      <c r="AE125" s="18" t="str">
        <f t="shared" si="28"/>
        <v/>
      </c>
      <c r="AF125" s="18"/>
      <c r="AG125" s="18"/>
      <c r="AH125" s="18" t="str">
        <f t="shared" si="29"/>
        <v/>
      </c>
      <c r="AI125" s="18"/>
      <c r="AJ125" s="18"/>
      <c r="AK125" s="18" t="str">
        <f t="shared" si="30"/>
        <v/>
      </c>
      <c r="AL125" s="18"/>
      <c r="AM125" s="18"/>
      <c r="AN125" s="18" t="str">
        <f t="shared" si="31"/>
        <v/>
      </c>
      <c r="AO125" s="18"/>
      <c r="AP125" s="18"/>
      <c r="AQ125" s="18" t="str">
        <f t="shared" si="32"/>
        <v/>
      </c>
      <c r="AR125" s="18"/>
      <c r="AS125" s="18"/>
      <c r="AT125" s="18" t="str">
        <f t="shared" si="33"/>
        <v/>
      </c>
      <c r="AU125" s="18"/>
      <c r="AV125" s="18"/>
      <c r="AW125" s="18" t="str">
        <f t="shared" si="34"/>
        <v/>
      </c>
      <c r="AX125" s="18"/>
      <c r="AY125" s="18"/>
      <c r="AZ125" s="18" t="str">
        <f t="shared" si="35"/>
        <v/>
      </c>
      <c r="BA125" s="18">
        <v>72</v>
      </c>
      <c r="BB125" s="18"/>
      <c r="BC125" s="18">
        <f t="shared" si="36"/>
        <v>72</v>
      </c>
      <c r="BD125" s="18"/>
      <c r="BE125" s="18"/>
      <c r="BF125" s="18" t="str">
        <f t="shared" si="37"/>
        <v/>
      </c>
      <c r="BG125" s="18"/>
      <c r="BH125" s="18"/>
      <c r="BI125" s="18" t="str">
        <f t="shared" si="38"/>
        <v/>
      </c>
      <c r="BJ125" s="18"/>
      <c r="BK125" s="18"/>
      <c r="BL125" s="18" t="str">
        <f t="shared" si="39"/>
        <v/>
      </c>
      <c r="BM125" s="18"/>
      <c r="BN125" s="18"/>
      <c r="BO125" s="18" t="str">
        <f t="shared" si="40"/>
        <v/>
      </c>
      <c r="BP125" s="18"/>
      <c r="BQ125" s="18"/>
      <c r="BR125" s="18" t="str">
        <f t="shared" si="41"/>
        <v/>
      </c>
    </row>
    <row r="126" spans="1:70" ht="25.5" x14ac:dyDescent="0.25">
      <c r="A126" s="2" t="s">
        <v>765</v>
      </c>
      <c r="B126" s="2" t="str">
        <f>VLOOKUP($A126,[2]Projekty!$A$2:$AR$1147,4,0)</f>
        <v>OPKZP-PO1-SC111-2016-10</v>
      </c>
      <c r="C126" s="2" t="str">
        <f>VLOOKUP($A126,[2]Projekty!$A$2:$AR$1147,6,0)</f>
        <v>Združenie obcí VIESKY</v>
      </c>
      <c r="D126" s="2" t="str">
        <f>VLOOKUP($A126,[2]Projekty!$A$2:$AR$1147,7,0)</f>
        <v>Zlepšenie systému separovaného zberu Združenia obcí VIESKY</v>
      </c>
      <c r="E126" s="2" t="str">
        <f>VLOOKUP($A126,[2]Projekty!$A$2:$AR$1147,9,0)</f>
        <v>TT</v>
      </c>
      <c r="F126" s="2" t="str">
        <f>VLOOKUP($A126,[2]Projekty!$A$2:$AR$1147,14,0)</f>
        <v>Realizácia</v>
      </c>
      <c r="G126" s="61">
        <f>VLOOKUP($A126,'[2]Dĺžka realizácie'!$A$2:$AR$1148,8,0)</f>
        <v>43281</v>
      </c>
      <c r="H126" s="18"/>
      <c r="I126" s="18"/>
      <c r="J126" s="18" t="str">
        <f t="shared" si="21"/>
        <v/>
      </c>
      <c r="K126" s="18"/>
      <c r="L126" s="18"/>
      <c r="M126" s="18" t="str">
        <f t="shared" si="22"/>
        <v/>
      </c>
      <c r="N126" s="18"/>
      <c r="O126" s="18"/>
      <c r="P126" s="18" t="str">
        <f t="shared" si="23"/>
        <v/>
      </c>
      <c r="Q126" s="18"/>
      <c r="R126" s="18"/>
      <c r="S126" s="18" t="str">
        <f t="shared" si="24"/>
        <v/>
      </c>
      <c r="T126" s="18">
        <v>250</v>
      </c>
      <c r="U126" s="18"/>
      <c r="V126" s="18">
        <f t="shared" si="25"/>
        <v>250</v>
      </c>
      <c r="W126" s="18"/>
      <c r="X126" s="18"/>
      <c r="Y126" s="18" t="str">
        <f t="shared" si="26"/>
        <v/>
      </c>
      <c r="Z126" s="18"/>
      <c r="AA126" s="18"/>
      <c r="AB126" s="18" t="str">
        <f t="shared" si="27"/>
        <v/>
      </c>
      <c r="AC126" s="18"/>
      <c r="AD126" s="18"/>
      <c r="AE126" s="18" t="str">
        <f t="shared" si="28"/>
        <v/>
      </c>
      <c r="AF126" s="18"/>
      <c r="AG126" s="18"/>
      <c r="AH126" s="18" t="str">
        <f t="shared" si="29"/>
        <v/>
      </c>
      <c r="AI126" s="18"/>
      <c r="AJ126" s="18"/>
      <c r="AK126" s="18" t="str">
        <f t="shared" si="30"/>
        <v/>
      </c>
      <c r="AL126" s="18"/>
      <c r="AM126" s="18"/>
      <c r="AN126" s="18" t="str">
        <f t="shared" si="31"/>
        <v/>
      </c>
      <c r="AO126" s="18"/>
      <c r="AP126" s="18"/>
      <c r="AQ126" s="18" t="str">
        <f t="shared" si="32"/>
        <v/>
      </c>
      <c r="AR126" s="18"/>
      <c r="AS126" s="18"/>
      <c r="AT126" s="18" t="str">
        <f t="shared" si="33"/>
        <v/>
      </c>
      <c r="AU126" s="18"/>
      <c r="AV126" s="18"/>
      <c r="AW126" s="18" t="str">
        <f t="shared" si="34"/>
        <v/>
      </c>
      <c r="AX126" s="18"/>
      <c r="AY126" s="18"/>
      <c r="AZ126" s="18" t="str">
        <f t="shared" si="35"/>
        <v/>
      </c>
      <c r="BA126" s="18">
        <v>250</v>
      </c>
      <c r="BB126" s="18"/>
      <c r="BC126" s="18">
        <f t="shared" si="36"/>
        <v>250</v>
      </c>
      <c r="BD126" s="18"/>
      <c r="BE126" s="18"/>
      <c r="BF126" s="18" t="str">
        <f t="shared" si="37"/>
        <v/>
      </c>
      <c r="BG126" s="18"/>
      <c r="BH126" s="18"/>
      <c r="BI126" s="18" t="str">
        <f t="shared" si="38"/>
        <v/>
      </c>
      <c r="BJ126" s="18"/>
      <c r="BK126" s="18"/>
      <c r="BL126" s="18" t="str">
        <f t="shared" si="39"/>
        <v/>
      </c>
      <c r="BM126" s="18"/>
      <c r="BN126" s="18"/>
      <c r="BO126" s="18" t="str">
        <f t="shared" si="40"/>
        <v/>
      </c>
      <c r="BP126" s="18"/>
      <c r="BQ126" s="18"/>
      <c r="BR126" s="18" t="str">
        <f t="shared" si="41"/>
        <v/>
      </c>
    </row>
    <row r="127" spans="1:70" ht="25.5" x14ac:dyDescent="0.25">
      <c r="A127" s="2" t="s">
        <v>818</v>
      </c>
      <c r="B127" s="2" t="str">
        <f>VLOOKUP($A127,[2]Projekty!$A$2:$AR$1147,4,0)</f>
        <v>OPKZP-PO1-SC111-2016-10</v>
      </c>
      <c r="C127" s="2" t="str">
        <f>VLOOKUP($A127,[2]Projekty!$A$2:$AR$1147,6,0)</f>
        <v>Združenie obcí Púchovská dolina</v>
      </c>
      <c r="D127" s="2" t="str">
        <f>VLOOKUP($A127,[2]Projekty!$A$2:$AR$1147,7,0)</f>
        <v>Intenzifikácia triedeného zberu združenia obcí Púchovskej Doliny</v>
      </c>
      <c r="E127" s="2" t="str">
        <f>VLOOKUP($A127,[2]Projekty!$A$2:$AR$1147,9,0)</f>
        <v>TN</v>
      </c>
      <c r="F127" s="2" t="str">
        <f>VLOOKUP($A127,[2]Projekty!$A$2:$AR$1147,14,0)</f>
        <v>Realizácia</v>
      </c>
      <c r="G127" s="61">
        <f>VLOOKUP($A127,'[2]Dĺžka realizácie'!$A$2:$AR$1148,8,0)</f>
        <v>43100</v>
      </c>
      <c r="H127" s="18"/>
      <c r="I127" s="18"/>
      <c r="J127" s="18" t="str">
        <f t="shared" si="21"/>
        <v/>
      </c>
      <c r="K127" s="18"/>
      <c r="L127" s="18"/>
      <c r="M127" s="18" t="str">
        <f t="shared" si="22"/>
        <v/>
      </c>
      <c r="N127" s="18"/>
      <c r="O127" s="18"/>
      <c r="P127" s="18" t="str">
        <f t="shared" si="23"/>
        <v/>
      </c>
      <c r="Q127" s="18"/>
      <c r="R127" s="18"/>
      <c r="S127" s="18" t="str">
        <f t="shared" si="24"/>
        <v/>
      </c>
      <c r="T127" s="18">
        <v>1266.8800000000001</v>
      </c>
      <c r="U127" s="18"/>
      <c r="V127" s="18">
        <f t="shared" si="25"/>
        <v>1266.8800000000001</v>
      </c>
      <c r="W127" s="18"/>
      <c r="X127" s="18"/>
      <c r="Y127" s="18" t="str">
        <f t="shared" si="26"/>
        <v/>
      </c>
      <c r="Z127" s="18"/>
      <c r="AA127" s="18"/>
      <c r="AB127" s="18" t="str">
        <f t="shared" si="27"/>
        <v/>
      </c>
      <c r="AC127" s="18"/>
      <c r="AD127" s="18"/>
      <c r="AE127" s="18" t="str">
        <f t="shared" si="28"/>
        <v/>
      </c>
      <c r="AF127" s="18"/>
      <c r="AG127" s="18"/>
      <c r="AH127" s="18" t="str">
        <f t="shared" si="29"/>
        <v/>
      </c>
      <c r="AI127" s="18"/>
      <c r="AJ127" s="18"/>
      <c r="AK127" s="18" t="str">
        <f t="shared" si="30"/>
        <v/>
      </c>
      <c r="AL127" s="18"/>
      <c r="AM127" s="18"/>
      <c r="AN127" s="18" t="str">
        <f t="shared" si="31"/>
        <v/>
      </c>
      <c r="AO127" s="18"/>
      <c r="AP127" s="18"/>
      <c r="AQ127" s="18" t="str">
        <f t="shared" si="32"/>
        <v/>
      </c>
      <c r="AR127" s="18"/>
      <c r="AS127" s="18"/>
      <c r="AT127" s="18" t="str">
        <f t="shared" si="33"/>
        <v/>
      </c>
      <c r="AU127" s="18"/>
      <c r="AV127" s="18"/>
      <c r="AW127" s="18" t="str">
        <f t="shared" si="34"/>
        <v/>
      </c>
      <c r="AX127" s="18"/>
      <c r="AY127" s="18"/>
      <c r="AZ127" s="18" t="str">
        <f t="shared" si="35"/>
        <v/>
      </c>
      <c r="BA127" s="18">
        <v>1266.8800000000001</v>
      </c>
      <c r="BB127" s="18"/>
      <c r="BC127" s="18">
        <f t="shared" si="36"/>
        <v>1266.8800000000001</v>
      </c>
      <c r="BD127" s="18"/>
      <c r="BE127" s="18"/>
      <c r="BF127" s="18" t="str">
        <f t="shared" si="37"/>
        <v/>
      </c>
      <c r="BG127" s="18"/>
      <c r="BH127" s="18"/>
      <c r="BI127" s="18" t="str">
        <f t="shared" si="38"/>
        <v/>
      </c>
      <c r="BJ127" s="18"/>
      <c r="BK127" s="18"/>
      <c r="BL127" s="18" t="str">
        <f t="shared" si="39"/>
        <v/>
      </c>
      <c r="BM127" s="18"/>
      <c r="BN127" s="18"/>
      <c r="BO127" s="18" t="str">
        <f t="shared" si="40"/>
        <v/>
      </c>
      <c r="BP127" s="18"/>
      <c r="BQ127" s="18"/>
      <c r="BR127" s="18" t="str">
        <f t="shared" si="41"/>
        <v/>
      </c>
    </row>
    <row r="128" spans="1:70" x14ac:dyDescent="0.25">
      <c r="A128" s="2" t="s">
        <v>821</v>
      </c>
      <c r="B128" s="2" t="str">
        <f>VLOOKUP($A128,[2]Projekty!$A$2:$AR$1147,4,0)</f>
        <v>OPKZP-PO1-SC111-2016-10</v>
      </c>
      <c r="C128" s="2" t="str">
        <f>VLOOKUP($A128,[2]Projekty!$A$2:$AR$1147,6,0)</f>
        <v>Obec Hrabušice</v>
      </c>
      <c r="D128" s="2" t="str">
        <f>VLOOKUP($A128,[2]Projekty!$A$2:$AR$1147,7,0)</f>
        <v>„Zberný dvor“ v obci Hrabušice</v>
      </c>
      <c r="E128" s="2" t="str">
        <f>VLOOKUP($A128,[2]Projekty!$A$2:$AR$1147,9,0)</f>
        <v>KE</v>
      </c>
      <c r="F128" s="2" t="str">
        <f>VLOOKUP($A128,[2]Projekty!$A$2:$AR$1147,14,0)</f>
        <v>Realizácia</v>
      </c>
      <c r="G128" s="61">
        <f>VLOOKUP($A128,'[2]Dĺžka realizácie'!$A$2:$AR$1148,8,0)</f>
        <v>43251</v>
      </c>
      <c r="H128" s="18"/>
      <c r="I128" s="18"/>
      <c r="J128" s="18" t="str">
        <f t="shared" si="21"/>
        <v/>
      </c>
      <c r="K128" s="18"/>
      <c r="L128" s="18"/>
      <c r="M128" s="18" t="str">
        <f t="shared" si="22"/>
        <v/>
      </c>
      <c r="N128" s="18"/>
      <c r="O128" s="18"/>
      <c r="P128" s="18" t="str">
        <f t="shared" si="23"/>
        <v/>
      </c>
      <c r="Q128" s="18"/>
      <c r="R128" s="18"/>
      <c r="S128" s="18" t="str">
        <f t="shared" si="24"/>
        <v/>
      </c>
      <c r="T128" s="18">
        <v>63.3</v>
      </c>
      <c r="U128" s="18"/>
      <c r="V128" s="18">
        <f t="shared" si="25"/>
        <v>63.3</v>
      </c>
      <c r="W128" s="18"/>
      <c r="X128" s="18"/>
      <c r="Y128" s="18" t="str">
        <f t="shared" si="26"/>
        <v/>
      </c>
      <c r="Z128" s="18"/>
      <c r="AA128" s="18"/>
      <c r="AB128" s="18" t="str">
        <f t="shared" si="27"/>
        <v/>
      </c>
      <c r="AC128" s="18"/>
      <c r="AD128" s="18"/>
      <c r="AE128" s="18" t="str">
        <f t="shared" si="28"/>
        <v/>
      </c>
      <c r="AF128" s="18"/>
      <c r="AG128" s="18"/>
      <c r="AH128" s="18" t="str">
        <f t="shared" si="29"/>
        <v/>
      </c>
      <c r="AI128" s="18"/>
      <c r="AJ128" s="18"/>
      <c r="AK128" s="18" t="str">
        <f t="shared" si="30"/>
        <v/>
      </c>
      <c r="AL128" s="18"/>
      <c r="AM128" s="18"/>
      <c r="AN128" s="18" t="str">
        <f t="shared" si="31"/>
        <v/>
      </c>
      <c r="AO128" s="18"/>
      <c r="AP128" s="18"/>
      <c r="AQ128" s="18" t="str">
        <f t="shared" si="32"/>
        <v/>
      </c>
      <c r="AR128" s="18"/>
      <c r="AS128" s="18"/>
      <c r="AT128" s="18" t="str">
        <f t="shared" si="33"/>
        <v/>
      </c>
      <c r="AU128" s="18"/>
      <c r="AV128" s="18"/>
      <c r="AW128" s="18" t="str">
        <f t="shared" si="34"/>
        <v/>
      </c>
      <c r="AX128" s="18"/>
      <c r="AY128" s="18"/>
      <c r="AZ128" s="18" t="str">
        <f t="shared" si="35"/>
        <v/>
      </c>
      <c r="BA128" s="18">
        <v>63.3</v>
      </c>
      <c r="BB128" s="18"/>
      <c r="BC128" s="18">
        <f t="shared" si="36"/>
        <v>63.3</v>
      </c>
      <c r="BD128" s="18"/>
      <c r="BE128" s="18"/>
      <c r="BF128" s="18" t="str">
        <f t="shared" si="37"/>
        <v/>
      </c>
      <c r="BG128" s="18"/>
      <c r="BH128" s="18"/>
      <c r="BI128" s="18" t="str">
        <f t="shared" si="38"/>
        <v/>
      </c>
      <c r="BJ128" s="18"/>
      <c r="BK128" s="18"/>
      <c r="BL128" s="18" t="str">
        <f t="shared" si="39"/>
        <v/>
      </c>
      <c r="BM128" s="18"/>
      <c r="BN128" s="18"/>
      <c r="BO128" s="18" t="str">
        <f t="shared" si="40"/>
        <v/>
      </c>
      <c r="BP128" s="18"/>
      <c r="BQ128" s="18"/>
      <c r="BR128" s="18" t="str">
        <f t="shared" si="41"/>
        <v/>
      </c>
    </row>
    <row r="129" spans="1:70" x14ac:dyDescent="0.25">
      <c r="A129" s="2" t="s">
        <v>766</v>
      </c>
      <c r="B129" s="2" t="str">
        <f>VLOOKUP($A129,[2]Projekty!$A$2:$AR$1147,4,0)</f>
        <v>OPKZP-PO1-SC111-2016-10</v>
      </c>
      <c r="C129" s="2" t="str">
        <f>VLOOKUP($A129,[2]Projekty!$A$2:$AR$1147,6,0)</f>
        <v>Obec Ľubotín</v>
      </c>
      <c r="D129" s="2" t="str">
        <f>VLOOKUP($A129,[2]Projekty!$A$2:$AR$1147,7,0)</f>
        <v>Rozšírenie separovaného zberu v obci Ľubotín</v>
      </c>
      <c r="E129" s="2" t="str">
        <f>VLOOKUP($A129,[2]Projekty!$A$2:$AR$1147,9,0)</f>
        <v>PO</v>
      </c>
      <c r="F129" s="2" t="str">
        <f>VLOOKUP($A129,[2]Projekty!$A$2:$AR$1147,14,0)</f>
        <v>Realizácia</v>
      </c>
      <c r="G129" s="61">
        <f>VLOOKUP($A129,'[2]Dĺžka realizácie'!$A$2:$AR$1148,8,0)</f>
        <v>43159</v>
      </c>
      <c r="H129" s="18"/>
      <c r="I129" s="18"/>
      <c r="J129" s="18" t="str">
        <f t="shared" si="21"/>
        <v/>
      </c>
      <c r="K129" s="18"/>
      <c r="L129" s="18"/>
      <c r="M129" s="18" t="str">
        <f t="shared" si="22"/>
        <v/>
      </c>
      <c r="N129" s="18"/>
      <c r="O129" s="18"/>
      <c r="P129" s="18" t="str">
        <f t="shared" si="23"/>
        <v/>
      </c>
      <c r="Q129" s="18"/>
      <c r="R129" s="18"/>
      <c r="S129" s="18" t="str">
        <f t="shared" si="24"/>
        <v/>
      </c>
      <c r="T129" s="18">
        <v>48</v>
      </c>
      <c r="U129" s="18"/>
      <c r="V129" s="18">
        <f t="shared" si="25"/>
        <v>48</v>
      </c>
      <c r="W129" s="18"/>
      <c r="X129" s="18"/>
      <c r="Y129" s="18" t="str">
        <f t="shared" si="26"/>
        <v/>
      </c>
      <c r="Z129" s="18"/>
      <c r="AA129" s="18"/>
      <c r="AB129" s="18" t="str">
        <f t="shared" si="27"/>
        <v/>
      </c>
      <c r="AC129" s="18"/>
      <c r="AD129" s="18"/>
      <c r="AE129" s="18" t="str">
        <f t="shared" si="28"/>
        <v/>
      </c>
      <c r="AF129" s="18"/>
      <c r="AG129" s="18"/>
      <c r="AH129" s="18" t="str">
        <f t="shared" si="29"/>
        <v/>
      </c>
      <c r="AI129" s="18"/>
      <c r="AJ129" s="18"/>
      <c r="AK129" s="18" t="str">
        <f t="shared" si="30"/>
        <v/>
      </c>
      <c r="AL129" s="18"/>
      <c r="AM129" s="18"/>
      <c r="AN129" s="18" t="str">
        <f t="shared" si="31"/>
        <v/>
      </c>
      <c r="AO129" s="18"/>
      <c r="AP129" s="18"/>
      <c r="AQ129" s="18" t="str">
        <f t="shared" si="32"/>
        <v/>
      </c>
      <c r="AR129" s="18"/>
      <c r="AS129" s="18"/>
      <c r="AT129" s="18" t="str">
        <f t="shared" si="33"/>
        <v/>
      </c>
      <c r="AU129" s="18"/>
      <c r="AV129" s="18"/>
      <c r="AW129" s="18" t="str">
        <f t="shared" si="34"/>
        <v/>
      </c>
      <c r="AX129" s="18"/>
      <c r="AY129" s="18"/>
      <c r="AZ129" s="18" t="str">
        <f t="shared" si="35"/>
        <v/>
      </c>
      <c r="BA129" s="18">
        <v>48</v>
      </c>
      <c r="BB129" s="18"/>
      <c r="BC129" s="18">
        <f t="shared" si="36"/>
        <v>48</v>
      </c>
      <c r="BD129" s="18"/>
      <c r="BE129" s="18"/>
      <c r="BF129" s="18" t="str">
        <f t="shared" si="37"/>
        <v/>
      </c>
      <c r="BG129" s="18"/>
      <c r="BH129" s="18"/>
      <c r="BI129" s="18" t="str">
        <f t="shared" si="38"/>
        <v/>
      </c>
      <c r="BJ129" s="18"/>
      <c r="BK129" s="18"/>
      <c r="BL129" s="18" t="str">
        <f t="shared" si="39"/>
        <v/>
      </c>
      <c r="BM129" s="18"/>
      <c r="BN129" s="18"/>
      <c r="BO129" s="18" t="str">
        <f t="shared" si="40"/>
        <v/>
      </c>
      <c r="BP129" s="18"/>
      <c r="BQ129" s="18"/>
      <c r="BR129" s="18" t="str">
        <f t="shared" si="41"/>
        <v/>
      </c>
    </row>
    <row r="130" spans="1:70" ht="25.5" x14ac:dyDescent="0.25">
      <c r="A130" s="2" t="s">
        <v>796</v>
      </c>
      <c r="B130" s="2" t="str">
        <f>VLOOKUP($A130,[2]Projekty!$A$2:$AR$1147,4,0)</f>
        <v>OPKZP-PO1-SC111-2016-10</v>
      </c>
      <c r="C130" s="2" t="str">
        <f>VLOOKUP($A130,[2]Projekty!$A$2:$AR$1147,6,0)</f>
        <v>Obec Kvakovce</v>
      </c>
      <c r="D130" s="2" t="str">
        <f>VLOOKUP($A130,[2]Projekty!$A$2:$AR$1147,7,0)</f>
        <v>Zvýšenie kapacity triedeného zberu komunálnych odpadov v obci Kvakovce.</v>
      </c>
      <c r="E130" s="2" t="str">
        <f>VLOOKUP($A130,[2]Projekty!$A$2:$AR$1147,9,0)</f>
        <v>PO</v>
      </c>
      <c r="F130" s="2" t="str">
        <f>VLOOKUP($A130,[2]Projekty!$A$2:$AR$1147,14,0)</f>
        <v>Realizácia</v>
      </c>
      <c r="G130" s="61">
        <f>VLOOKUP($A130,'[2]Dĺžka realizácie'!$A$2:$AR$1148,8,0)</f>
        <v>43159</v>
      </c>
      <c r="H130" s="18"/>
      <c r="I130" s="18"/>
      <c r="J130" s="18" t="str">
        <f t="shared" si="21"/>
        <v/>
      </c>
      <c r="K130" s="18"/>
      <c r="L130" s="18"/>
      <c r="M130" s="18" t="str">
        <f t="shared" si="22"/>
        <v/>
      </c>
      <c r="N130" s="18"/>
      <c r="O130" s="18"/>
      <c r="P130" s="18" t="str">
        <f t="shared" si="23"/>
        <v/>
      </c>
      <c r="Q130" s="18"/>
      <c r="R130" s="18"/>
      <c r="S130" s="18" t="str">
        <f t="shared" si="24"/>
        <v/>
      </c>
      <c r="T130" s="18">
        <v>180.2</v>
      </c>
      <c r="U130" s="18"/>
      <c r="V130" s="18">
        <f t="shared" si="25"/>
        <v>180.2</v>
      </c>
      <c r="W130" s="18"/>
      <c r="X130" s="18"/>
      <c r="Y130" s="18" t="str">
        <f t="shared" si="26"/>
        <v/>
      </c>
      <c r="Z130" s="18"/>
      <c r="AA130" s="18"/>
      <c r="AB130" s="18" t="str">
        <f t="shared" si="27"/>
        <v/>
      </c>
      <c r="AC130" s="18"/>
      <c r="AD130" s="18"/>
      <c r="AE130" s="18" t="str">
        <f t="shared" si="28"/>
        <v/>
      </c>
      <c r="AF130" s="18"/>
      <c r="AG130" s="18"/>
      <c r="AH130" s="18" t="str">
        <f t="shared" si="29"/>
        <v/>
      </c>
      <c r="AI130" s="18"/>
      <c r="AJ130" s="18"/>
      <c r="AK130" s="18" t="str">
        <f t="shared" si="30"/>
        <v/>
      </c>
      <c r="AL130" s="18"/>
      <c r="AM130" s="18"/>
      <c r="AN130" s="18" t="str">
        <f t="shared" si="31"/>
        <v/>
      </c>
      <c r="AO130" s="18"/>
      <c r="AP130" s="18"/>
      <c r="AQ130" s="18" t="str">
        <f t="shared" si="32"/>
        <v/>
      </c>
      <c r="AR130" s="18"/>
      <c r="AS130" s="18"/>
      <c r="AT130" s="18" t="str">
        <f t="shared" si="33"/>
        <v/>
      </c>
      <c r="AU130" s="18"/>
      <c r="AV130" s="18"/>
      <c r="AW130" s="18" t="str">
        <f t="shared" si="34"/>
        <v/>
      </c>
      <c r="AX130" s="18"/>
      <c r="AY130" s="18"/>
      <c r="AZ130" s="18" t="str">
        <f t="shared" si="35"/>
        <v/>
      </c>
      <c r="BA130" s="18">
        <v>180.2</v>
      </c>
      <c r="BB130" s="18"/>
      <c r="BC130" s="18">
        <f t="shared" si="36"/>
        <v>180.2</v>
      </c>
      <c r="BD130" s="18"/>
      <c r="BE130" s="18"/>
      <c r="BF130" s="18" t="str">
        <f t="shared" si="37"/>
        <v/>
      </c>
      <c r="BG130" s="18"/>
      <c r="BH130" s="18"/>
      <c r="BI130" s="18" t="str">
        <f t="shared" si="38"/>
        <v/>
      </c>
      <c r="BJ130" s="18"/>
      <c r="BK130" s="18"/>
      <c r="BL130" s="18" t="str">
        <f t="shared" si="39"/>
        <v/>
      </c>
      <c r="BM130" s="18"/>
      <c r="BN130" s="18"/>
      <c r="BO130" s="18" t="str">
        <f t="shared" si="40"/>
        <v/>
      </c>
      <c r="BP130" s="18"/>
      <c r="BQ130" s="18"/>
      <c r="BR130" s="18" t="str">
        <f t="shared" si="41"/>
        <v/>
      </c>
    </row>
    <row r="131" spans="1:70" ht="25.5" x14ac:dyDescent="0.25">
      <c r="A131" s="2" t="s">
        <v>797</v>
      </c>
      <c r="B131" s="2" t="str">
        <f>VLOOKUP($A131,[2]Projekty!$A$2:$AR$1147,4,0)</f>
        <v>OPKZP-PO1-SC111-2016-10</v>
      </c>
      <c r="C131" s="2" t="str">
        <f>VLOOKUP($A131,[2]Projekty!$A$2:$AR$1147,6,0)</f>
        <v>Obec Štiavnik</v>
      </c>
      <c r="D131" s="2" t="str">
        <f>VLOOKUP($A131,[2]Projekty!$A$2:$AR$1147,7,0)</f>
        <v>Nákup technológie do zberného dvora v obci Štiavnik</v>
      </c>
      <c r="E131" s="2" t="str">
        <f>VLOOKUP($A131,[2]Projekty!$A$2:$AR$1147,9,0)</f>
        <v>ZA</v>
      </c>
      <c r="F131" s="2" t="str">
        <f>VLOOKUP($A131,[2]Projekty!$A$2:$AR$1147,14,0)</f>
        <v>Realizácia</v>
      </c>
      <c r="G131" s="61">
        <f>VLOOKUP($A131,'[2]Dĺžka realizácie'!$A$2:$AR$1148,8,0)</f>
        <v>43159</v>
      </c>
      <c r="H131" s="18"/>
      <c r="I131" s="18"/>
      <c r="J131" s="18" t="str">
        <f t="shared" si="21"/>
        <v/>
      </c>
      <c r="K131" s="18"/>
      <c r="L131" s="18"/>
      <c r="M131" s="18" t="str">
        <f t="shared" si="22"/>
        <v/>
      </c>
      <c r="N131" s="18"/>
      <c r="O131" s="18"/>
      <c r="P131" s="18" t="str">
        <f t="shared" si="23"/>
        <v/>
      </c>
      <c r="Q131" s="18"/>
      <c r="R131" s="18"/>
      <c r="S131" s="18" t="str">
        <f t="shared" si="24"/>
        <v/>
      </c>
      <c r="T131" s="18">
        <v>321</v>
      </c>
      <c r="U131" s="18"/>
      <c r="V131" s="18">
        <f t="shared" si="25"/>
        <v>321</v>
      </c>
      <c r="W131" s="18"/>
      <c r="X131" s="18"/>
      <c r="Y131" s="18" t="str">
        <f t="shared" si="26"/>
        <v/>
      </c>
      <c r="Z131" s="18"/>
      <c r="AA131" s="18"/>
      <c r="AB131" s="18" t="str">
        <f t="shared" si="27"/>
        <v/>
      </c>
      <c r="AC131" s="18">
        <v>4103</v>
      </c>
      <c r="AD131" s="18"/>
      <c r="AE131" s="18">
        <f t="shared" si="28"/>
        <v>4103</v>
      </c>
      <c r="AF131" s="18"/>
      <c r="AG131" s="18"/>
      <c r="AH131" s="18" t="str">
        <f t="shared" si="29"/>
        <v/>
      </c>
      <c r="AI131" s="18"/>
      <c r="AJ131" s="18"/>
      <c r="AK131" s="18" t="str">
        <f t="shared" si="30"/>
        <v/>
      </c>
      <c r="AL131" s="18"/>
      <c r="AM131" s="18"/>
      <c r="AN131" s="18" t="str">
        <f t="shared" si="31"/>
        <v/>
      </c>
      <c r="AO131" s="18"/>
      <c r="AP131" s="18"/>
      <c r="AQ131" s="18" t="str">
        <f t="shared" si="32"/>
        <v/>
      </c>
      <c r="AR131" s="18">
        <v>4</v>
      </c>
      <c r="AS131" s="18"/>
      <c r="AT131" s="18">
        <f t="shared" si="33"/>
        <v>4</v>
      </c>
      <c r="AU131" s="18"/>
      <c r="AV131" s="18"/>
      <c r="AW131" s="18" t="str">
        <f t="shared" si="34"/>
        <v/>
      </c>
      <c r="AX131" s="18"/>
      <c r="AY131" s="18"/>
      <c r="AZ131" s="18" t="str">
        <f t="shared" si="35"/>
        <v/>
      </c>
      <c r="BA131" s="18">
        <v>321</v>
      </c>
      <c r="BB131" s="18"/>
      <c r="BC131" s="18">
        <f t="shared" si="36"/>
        <v>321</v>
      </c>
      <c r="BD131" s="18"/>
      <c r="BE131" s="18"/>
      <c r="BF131" s="18" t="str">
        <f t="shared" si="37"/>
        <v/>
      </c>
      <c r="BG131" s="18"/>
      <c r="BH131" s="18"/>
      <c r="BI131" s="18" t="str">
        <f t="shared" si="38"/>
        <v/>
      </c>
      <c r="BJ131" s="18"/>
      <c r="BK131" s="18"/>
      <c r="BL131" s="18" t="str">
        <f t="shared" si="39"/>
        <v/>
      </c>
      <c r="BM131" s="18"/>
      <c r="BN131" s="18"/>
      <c r="BO131" s="18" t="str">
        <f t="shared" si="40"/>
        <v/>
      </c>
      <c r="BP131" s="18"/>
      <c r="BQ131" s="18"/>
      <c r="BR131" s="18" t="str">
        <f t="shared" si="41"/>
        <v/>
      </c>
    </row>
    <row r="132" spans="1:70" ht="25.5" x14ac:dyDescent="0.25">
      <c r="A132" s="2" t="s">
        <v>767</v>
      </c>
      <c r="B132" s="2" t="str">
        <f>VLOOKUP($A132,[2]Projekty!$A$2:$AR$1147,4,0)</f>
        <v>OPKZP-PO1-SC111-2016-10</v>
      </c>
      <c r="C132" s="2" t="str">
        <f>VLOOKUP($A132,[2]Projekty!$A$2:$AR$1147,6,0)</f>
        <v>Obec Pucov</v>
      </c>
      <c r="D132" s="2" t="str">
        <f>VLOOKUP($A132,[2]Projekty!$A$2:$AR$1147,7,0)</f>
        <v>Rozšírenie a zintenzívnenie separovaného zberu v obci Pucov</v>
      </c>
      <c r="E132" s="2" t="str">
        <f>VLOOKUP($A132,[2]Projekty!$A$2:$AR$1147,9,0)</f>
        <v>ZA</v>
      </c>
      <c r="F132" s="2" t="str">
        <f>VLOOKUP($A132,[2]Projekty!$A$2:$AR$1147,14,0)</f>
        <v>Realizácia</v>
      </c>
      <c r="G132" s="61">
        <f>VLOOKUP($A132,'[2]Dĺžka realizácie'!$A$2:$AR$1148,8,0)</f>
        <v>43159</v>
      </c>
      <c r="H132" s="18"/>
      <c r="I132" s="18"/>
      <c r="J132" s="18" t="str">
        <f t="shared" si="21"/>
        <v/>
      </c>
      <c r="K132" s="18"/>
      <c r="L132" s="18"/>
      <c r="M132" s="18" t="str">
        <f t="shared" si="22"/>
        <v/>
      </c>
      <c r="N132" s="18"/>
      <c r="O132" s="18"/>
      <c r="P132" s="18" t="str">
        <f t="shared" si="23"/>
        <v/>
      </c>
      <c r="Q132" s="18"/>
      <c r="R132" s="18"/>
      <c r="S132" s="18" t="str">
        <f t="shared" si="24"/>
        <v/>
      </c>
      <c r="T132" s="18">
        <v>228</v>
      </c>
      <c r="U132" s="18"/>
      <c r="V132" s="18">
        <f t="shared" si="25"/>
        <v>228</v>
      </c>
      <c r="W132" s="18"/>
      <c r="X132" s="18"/>
      <c r="Y132" s="18" t="str">
        <f t="shared" si="26"/>
        <v/>
      </c>
      <c r="Z132" s="18"/>
      <c r="AA132" s="18"/>
      <c r="AB132" s="18" t="str">
        <f t="shared" si="27"/>
        <v/>
      </c>
      <c r="AC132" s="18"/>
      <c r="AD132" s="18"/>
      <c r="AE132" s="18" t="str">
        <f t="shared" si="28"/>
        <v/>
      </c>
      <c r="AF132" s="18"/>
      <c r="AG132" s="18"/>
      <c r="AH132" s="18" t="str">
        <f t="shared" si="29"/>
        <v/>
      </c>
      <c r="AI132" s="18"/>
      <c r="AJ132" s="18"/>
      <c r="AK132" s="18" t="str">
        <f t="shared" si="30"/>
        <v/>
      </c>
      <c r="AL132" s="18"/>
      <c r="AM132" s="18"/>
      <c r="AN132" s="18" t="str">
        <f t="shared" si="31"/>
        <v/>
      </c>
      <c r="AO132" s="18"/>
      <c r="AP132" s="18"/>
      <c r="AQ132" s="18" t="str">
        <f t="shared" si="32"/>
        <v/>
      </c>
      <c r="AR132" s="18"/>
      <c r="AS132" s="18"/>
      <c r="AT132" s="18" t="str">
        <f t="shared" si="33"/>
        <v/>
      </c>
      <c r="AU132" s="18"/>
      <c r="AV132" s="18"/>
      <c r="AW132" s="18" t="str">
        <f t="shared" si="34"/>
        <v/>
      </c>
      <c r="AX132" s="18"/>
      <c r="AY132" s="18"/>
      <c r="AZ132" s="18" t="str">
        <f t="shared" si="35"/>
        <v/>
      </c>
      <c r="BA132" s="18">
        <v>228</v>
      </c>
      <c r="BB132" s="18"/>
      <c r="BC132" s="18">
        <f t="shared" si="36"/>
        <v>228</v>
      </c>
      <c r="BD132" s="18"/>
      <c r="BE132" s="18"/>
      <c r="BF132" s="18" t="str">
        <f t="shared" si="37"/>
        <v/>
      </c>
      <c r="BG132" s="18"/>
      <c r="BH132" s="18"/>
      <c r="BI132" s="18" t="str">
        <f t="shared" si="38"/>
        <v/>
      </c>
      <c r="BJ132" s="18"/>
      <c r="BK132" s="18"/>
      <c r="BL132" s="18" t="str">
        <f t="shared" si="39"/>
        <v/>
      </c>
      <c r="BM132" s="18"/>
      <c r="BN132" s="18"/>
      <c r="BO132" s="18" t="str">
        <f t="shared" si="40"/>
        <v/>
      </c>
      <c r="BP132" s="18"/>
      <c r="BQ132" s="18"/>
      <c r="BR132" s="18" t="str">
        <f t="shared" si="41"/>
        <v/>
      </c>
    </row>
    <row r="133" spans="1:70" x14ac:dyDescent="0.25">
      <c r="A133" s="2" t="s">
        <v>1009</v>
      </c>
      <c r="B133" s="2" t="str">
        <f>VLOOKUP($A133,[2]Projekty!$A$2:$AR$1147,4,0)</f>
        <v>OPKZP-PO1-SC111-2016-11</v>
      </c>
      <c r="C133" s="2" t="str">
        <f>VLOOKUP($A133,[2]Projekty!$A$2:$AR$1147,6,0)</f>
        <v>Obec Kendice</v>
      </c>
      <c r="D133" s="2" t="str">
        <f>VLOOKUP($A133,[2]Projekty!$A$2:$AR$1147,7,0)</f>
        <v>Obecná kompostáreň pre obec Kendice</v>
      </c>
      <c r="E133" s="2" t="str">
        <f>VLOOKUP($A133,[2]Projekty!$A$2:$AR$1147,9,0)</f>
        <v>PO</v>
      </c>
      <c r="F133" s="2" t="str">
        <f>VLOOKUP($A133,[2]Projekty!$A$2:$AR$1147,14,0)</f>
        <v>Realizácia</v>
      </c>
      <c r="G133" s="61">
        <f>VLOOKUP($A133,'[2]Dĺžka realizácie'!$A$2:$AR$1148,8,0)</f>
        <v>43251</v>
      </c>
      <c r="H133" s="18"/>
      <c r="I133" s="18"/>
      <c r="J133" s="18" t="str">
        <f t="shared" si="21"/>
        <v/>
      </c>
      <c r="K133" s="18"/>
      <c r="L133" s="18"/>
      <c r="M133" s="18" t="str">
        <f t="shared" si="22"/>
        <v/>
      </c>
      <c r="N133" s="18"/>
      <c r="O133" s="18"/>
      <c r="P133" s="18" t="str">
        <f t="shared" si="23"/>
        <v/>
      </c>
      <c r="Q133" s="18"/>
      <c r="R133" s="18"/>
      <c r="S133" s="18" t="str">
        <f t="shared" si="24"/>
        <v/>
      </c>
      <c r="T133" s="18"/>
      <c r="U133" s="18"/>
      <c r="V133" s="18" t="str">
        <f t="shared" si="25"/>
        <v/>
      </c>
      <c r="W133" s="18">
        <v>100</v>
      </c>
      <c r="X133" s="18"/>
      <c r="Y133" s="18">
        <f t="shared" si="26"/>
        <v>100</v>
      </c>
      <c r="Z133" s="18"/>
      <c r="AA133" s="18"/>
      <c r="AB133" s="18" t="str">
        <f t="shared" si="27"/>
        <v/>
      </c>
      <c r="AC133" s="18"/>
      <c r="AD133" s="18"/>
      <c r="AE133" s="18" t="str">
        <f t="shared" si="28"/>
        <v/>
      </c>
      <c r="AF133" s="18"/>
      <c r="AG133" s="18"/>
      <c r="AH133" s="18" t="str">
        <f t="shared" si="29"/>
        <v/>
      </c>
      <c r="AI133" s="18"/>
      <c r="AJ133" s="18"/>
      <c r="AK133" s="18" t="str">
        <f t="shared" si="30"/>
        <v/>
      </c>
      <c r="AL133" s="18"/>
      <c r="AM133" s="18"/>
      <c r="AN133" s="18" t="str">
        <f t="shared" si="31"/>
        <v/>
      </c>
      <c r="AO133" s="18"/>
      <c r="AP133" s="18"/>
      <c r="AQ133" s="18" t="str">
        <f t="shared" si="32"/>
        <v/>
      </c>
      <c r="AR133" s="18"/>
      <c r="AS133" s="18"/>
      <c r="AT133" s="18" t="str">
        <f t="shared" si="33"/>
        <v/>
      </c>
      <c r="AU133" s="18"/>
      <c r="AV133" s="18"/>
      <c r="AW133" s="18" t="str">
        <f t="shared" si="34"/>
        <v/>
      </c>
      <c r="AX133" s="18"/>
      <c r="AY133" s="18"/>
      <c r="AZ133" s="18" t="str">
        <f t="shared" si="35"/>
        <v/>
      </c>
      <c r="BA133" s="18"/>
      <c r="BB133" s="18"/>
      <c r="BC133" s="18" t="str">
        <f t="shared" si="36"/>
        <v/>
      </c>
      <c r="BD133" s="18">
        <v>100</v>
      </c>
      <c r="BE133" s="18"/>
      <c r="BF133" s="18">
        <f t="shared" si="37"/>
        <v>100</v>
      </c>
      <c r="BG133" s="18"/>
      <c r="BH133" s="18"/>
      <c r="BI133" s="18" t="str">
        <f t="shared" si="38"/>
        <v/>
      </c>
      <c r="BJ133" s="18"/>
      <c r="BK133" s="18"/>
      <c r="BL133" s="18" t="str">
        <f t="shared" si="39"/>
        <v/>
      </c>
      <c r="BM133" s="18"/>
      <c r="BN133" s="18"/>
      <c r="BO133" s="18" t="str">
        <f t="shared" si="40"/>
        <v/>
      </c>
      <c r="BP133" s="18"/>
      <c r="BQ133" s="18"/>
      <c r="BR133" s="18" t="str">
        <f t="shared" si="41"/>
        <v/>
      </c>
    </row>
    <row r="134" spans="1:70" x14ac:dyDescent="0.25">
      <c r="A134" s="2" t="s">
        <v>819</v>
      </c>
      <c r="B134" s="2" t="str">
        <f>VLOOKUP($A134,[2]Projekty!$A$2:$AR$1147,4,0)</f>
        <v>OPKZP-PO1-SC111-2016-10</v>
      </c>
      <c r="C134" s="2" t="str">
        <f>VLOOKUP($A134,[2]Projekty!$A$2:$AR$1147,6,0)</f>
        <v>obec Búč</v>
      </c>
      <c r="D134" s="2" t="str">
        <f>VLOOKUP($A134,[2]Projekty!$A$2:$AR$1147,7,0)</f>
        <v>Zberný dvor obce Búč</v>
      </c>
      <c r="E134" s="2" t="str">
        <f>VLOOKUP($A134,[2]Projekty!$A$2:$AR$1147,9,0)</f>
        <v>NR</v>
      </c>
      <c r="F134" s="2" t="str">
        <f>VLOOKUP($A134,[2]Projekty!$A$2:$AR$1147,14,0)</f>
        <v>Realizácia</v>
      </c>
      <c r="G134" s="61">
        <f>VLOOKUP($A134,'[2]Dĺžka realizácie'!$A$2:$AR$1148,8,0)</f>
        <v>43190</v>
      </c>
      <c r="H134" s="18"/>
      <c r="I134" s="18"/>
      <c r="J134" s="18" t="str">
        <f t="shared" ref="J134:J176" si="42">IF(H134="","",IF($F134="riadne ukončený",I134,IF($G134&lt;=J$4,H134,0)))</f>
        <v/>
      </c>
      <c r="K134" s="18"/>
      <c r="L134" s="18"/>
      <c r="M134" s="18" t="str">
        <f t="shared" ref="M134:M176" si="43">IF(K134="","",IF($F134="riadne ukončený",L134,IF($G134&lt;=M$4,K134,0)))</f>
        <v/>
      </c>
      <c r="N134" s="18"/>
      <c r="O134" s="18"/>
      <c r="P134" s="18" t="str">
        <f t="shared" ref="P134:P176" si="44">IF(N134="","",IF($F134="riadne ukončený",O134,IF($G134&lt;=P$4,N134,0)))</f>
        <v/>
      </c>
      <c r="Q134" s="18"/>
      <c r="R134" s="18"/>
      <c r="S134" s="18" t="str">
        <f t="shared" ref="S134:S176" si="45">IF(Q134="","",IF($F134="riadne ukončený",R134,IF($G134&lt;=S$4,Q134,0)))</f>
        <v/>
      </c>
      <c r="T134" s="18">
        <v>202.5</v>
      </c>
      <c r="U134" s="18"/>
      <c r="V134" s="18">
        <f t="shared" ref="V134:V176" si="46">IF(T134="","",IF($F134="riadne ukončený",U134,IF($G134&lt;=V$4,T134,0)))</f>
        <v>202.5</v>
      </c>
      <c r="W134" s="18"/>
      <c r="X134" s="18"/>
      <c r="Y134" s="18" t="str">
        <f t="shared" ref="Y134:Y176" si="47">IF(W134="","",IF($F134="riadne ukončený",X134,IF($G134&lt;=Y$4,W134,0)))</f>
        <v/>
      </c>
      <c r="Z134" s="18"/>
      <c r="AA134" s="18"/>
      <c r="AB134" s="18" t="str">
        <f t="shared" ref="AB134:AB176" si="48">IF(Z134="","",IF($F134="riadne ukončený",AA134,IF($G134&lt;=AB$4,Z134,0)))</f>
        <v/>
      </c>
      <c r="AC134" s="18">
        <v>1000</v>
      </c>
      <c r="AD134" s="18"/>
      <c r="AE134" s="18">
        <f t="shared" ref="AE134:AE176" si="49">IF(AC134="","",IF($F134="riadne ukončený",AD134,IF($G134&lt;=AE$4,AC134,0)))</f>
        <v>1000</v>
      </c>
      <c r="AF134" s="18"/>
      <c r="AG134" s="18"/>
      <c r="AH134" s="18" t="str">
        <f t="shared" ref="AH134:AH176" si="50">IF(AF134="","",IF($F134="riadne ukončený",AG134,IF($G134&lt;=AH$4,AF134,0)))</f>
        <v/>
      </c>
      <c r="AI134" s="18"/>
      <c r="AJ134" s="18"/>
      <c r="AK134" s="18" t="str">
        <f t="shared" ref="AK134:AK176" si="51">IF(AI134="","",IF($F134="riadne ukončený",AJ134,IF($G134&lt;=AK$4,AI134,0)))</f>
        <v/>
      </c>
      <c r="AL134" s="18"/>
      <c r="AM134" s="18"/>
      <c r="AN134" s="18" t="str">
        <f t="shared" ref="AN134:AN176" si="52">IF(AL134="","",IF($F134="riadne ukončený",AM134,IF($G134&lt;=AN$4,AL134,0)))</f>
        <v/>
      </c>
      <c r="AO134" s="18"/>
      <c r="AP134" s="18"/>
      <c r="AQ134" s="18" t="str">
        <f t="shared" ref="AQ134:AQ176" si="53">IF(AO134="","",IF($F134="riadne ukončený",AP134,IF($G134&lt;=AQ$4,AO134,0)))</f>
        <v/>
      </c>
      <c r="AR134" s="18">
        <v>4</v>
      </c>
      <c r="AS134" s="18"/>
      <c r="AT134" s="18">
        <f t="shared" ref="AT134:AT176" si="54">IF(AR134="","",IF($F134="riadne ukončený",AS134,IF($G134&lt;=AT$4,AR134,0)))</f>
        <v>4</v>
      </c>
      <c r="AU134" s="18"/>
      <c r="AV134" s="18"/>
      <c r="AW134" s="18" t="str">
        <f t="shared" ref="AW134:AW176" si="55">IF(AU134="","",IF($F134="riadne ukončený",AV134,IF($G134&lt;=AW$4,AU134,0)))</f>
        <v/>
      </c>
      <c r="AX134" s="18"/>
      <c r="AY134" s="18"/>
      <c r="AZ134" s="18" t="str">
        <f t="shared" ref="AZ134:AZ176" si="56">IF(AX134="","",IF($F134="riadne ukončený",AY134,IF($G134&lt;=AZ$4,AX134,0)))</f>
        <v/>
      </c>
      <c r="BA134" s="18">
        <v>202.5</v>
      </c>
      <c r="BB134" s="18"/>
      <c r="BC134" s="18">
        <f t="shared" ref="BC134:BC176" si="57">IF(BA134="","",IF($F134="riadne ukončený",BB134,IF($G134&lt;=BC$4,BA134,0)))</f>
        <v>202.5</v>
      </c>
      <c r="BD134" s="18"/>
      <c r="BE134" s="18"/>
      <c r="BF134" s="18" t="str">
        <f t="shared" ref="BF134:BF176" si="58">IF(BD134="","",IF($F134="riadne ukončený",BE134,IF($G134&lt;=BF$4,BD134,0)))</f>
        <v/>
      </c>
      <c r="BG134" s="18"/>
      <c r="BH134" s="18"/>
      <c r="BI134" s="18" t="str">
        <f t="shared" ref="BI134:BI176" si="59">IF(BG134="","",IF($F134="riadne ukončený",BH134,IF($G134&lt;=BI$4,BG134,0)))</f>
        <v/>
      </c>
      <c r="BJ134" s="18"/>
      <c r="BK134" s="18"/>
      <c r="BL134" s="18" t="str">
        <f t="shared" ref="BL134:BL176" si="60">IF(BJ134="","",IF($F134="riadne ukončený",BK134,IF($G134&lt;=BL$4,BJ134,0)))</f>
        <v/>
      </c>
      <c r="BM134" s="18"/>
      <c r="BN134" s="18"/>
      <c r="BO134" s="18" t="str">
        <f t="shared" ref="BO134:BO176" si="61">IF(BM134="","",IF($F134="riadne ukončený",BN134,IF($G134&lt;=BO$4,BM134,0)))</f>
        <v/>
      </c>
      <c r="BP134" s="18"/>
      <c r="BQ134" s="18"/>
      <c r="BR134" s="18" t="str">
        <f t="shared" ref="BR134:BR176" si="62">IF(BP134="","",IF($F134="riadne ukončený",BQ134,IF($G134&lt;=BR$4,BP134,0)))</f>
        <v/>
      </c>
    </row>
    <row r="135" spans="1:70" ht="25.5" x14ac:dyDescent="0.25">
      <c r="A135" s="2" t="s">
        <v>791</v>
      </c>
      <c r="B135" s="2" t="str">
        <f>VLOOKUP($A135,[2]Projekty!$A$2:$AR$1147,4,0)</f>
        <v>OPKZP-PO1-SC111-2016-10</v>
      </c>
      <c r="C135" s="2" t="str">
        <f>VLOOKUP($A135,[2]Projekty!$A$2:$AR$1147,6,0)</f>
        <v>Obec Hatné</v>
      </c>
      <c r="D135" s="2" t="str">
        <f>VLOOKUP($A135,[2]Projekty!$A$2:$AR$1147,7,0)</f>
        <v>Triedený zber komunálnych odpadov v obci Hatné</v>
      </c>
      <c r="E135" s="2" t="str">
        <f>VLOOKUP($A135,[2]Projekty!$A$2:$AR$1147,9,0)</f>
        <v>TN</v>
      </c>
      <c r="F135" s="2" t="str">
        <f>VLOOKUP($A135,[2]Projekty!$A$2:$AR$1147,14,0)</f>
        <v>Aktivity nezačaté</v>
      </c>
      <c r="G135" s="61">
        <f>VLOOKUP($A135,'[2]Dĺžka realizácie'!$A$2:$AR$1148,8,0)</f>
        <v>43312</v>
      </c>
      <c r="H135" s="18"/>
      <c r="I135" s="18"/>
      <c r="J135" s="18" t="str">
        <f t="shared" si="42"/>
        <v/>
      </c>
      <c r="K135" s="18"/>
      <c r="L135" s="18"/>
      <c r="M135" s="18" t="str">
        <f t="shared" si="43"/>
        <v/>
      </c>
      <c r="N135" s="18"/>
      <c r="O135" s="18"/>
      <c r="P135" s="18" t="str">
        <f t="shared" si="44"/>
        <v/>
      </c>
      <c r="Q135" s="18"/>
      <c r="R135" s="18"/>
      <c r="S135" s="18" t="str">
        <f t="shared" si="45"/>
        <v/>
      </c>
      <c r="T135" s="18">
        <v>88</v>
      </c>
      <c r="U135" s="18"/>
      <c r="V135" s="18">
        <f t="shared" si="46"/>
        <v>88</v>
      </c>
      <c r="W135" s="18"/>
      <c r="X135" s="18"/>
      <c r="Y135" s="18" t="str">
        <f t="shared" si="47"/>
        <v/>
      </c>
      <c r="Z135" s="18"/>
      <c r="AA135" s="18"/>
      <c r="AB135" s="18" t="str">
        <f t="shared" si="48"/>
        <v/>
      </c>
      <c r="AC135" s="18"/>
      <c r="AD135" s="18"/>
      <c r="AE135" s="18" t="str">
        <f t="shared" si="49"/>
        <v/>
      </c>
      <c r="AF135" s="18"/>
      <c r="AG135" s="18"/>
      <c r="AH135" s="18" t="str">
        <f t="shared" si="50"/>
        <v/>
      </c>
      <c r="AI135" s="18"/>
      <c r="AJ135" s="18"/>
      <c r="AK135" s="18" t="str">
        <f t="shared" si="51"/>
        <v/>
      </c>
      <c r="AL135" s="18"/>
      <c r="AM135" s="18"/>
      <c r="AN135" s="18" t="str">
        <f t="shared" si="52"/>
        <v/>
      </c>
      <c r="AO135" s="18"/>
      <c r="AP135" s="18"/>
      <c r="AQ135" s="18" t="str">
        <f t="shared" si="53"/>
        <v/>
      </c>
      <c r="AR135" s="18"/>
      <c r="AS135" s="18"/>
      <c r="AT135" s="18" t="str">
        <f t="shared" si="54"/>
        <v/>
      </c>
      <c r="AU135" s="18"/>
      <c r="AV135" s="18"/>
      <c r="AW135" s="18" t="str">
        <f t="shared" si="55"/>
        <v/>
      </c>
      <c r="AX135" s="18"/>
      <c r="AY135" s="18"/>
      <c r="AZ135" s="18" t="str">
        <f t="shared" si="56"/>
        <v/>
      </c>
      <c r="BA135" s="18">
        <v>88</v>
      </c>
      <c r="BB135" s="18"/>
      <c r="BC135" s="18">
        <f t="shared" si="57"/>
        <v>88</v>
      </c>
      <c r="BD135" s="18"/>
      <c r="BE135" s="18"/>
      <c r="BF135" s="18" t="str">
        <f t="shared" si="58"/>
        <v/>
      </c>
      <c r="BG135" s="18"/>
      <c r="BH135" s="18"/>
      <c r="BI135" s="18" t="str">
        <f t="shared" si="59"/>
        <v/>
      </c>
      <c r="BJ135" s="18"/>
      <c r="BK135" s="18"/>
      <c r="BL135" s="18" t="str">
        <f t="shared" si="60"/>
        <v/>
      </c>
      <c r="BM135" s="18"/>
      <c r="BN135" s="18"/>
      <c r="BO135" s="18" t="str">
        <f t="shared" si="61"/>
        <v/>
      </c>
      <c r="BP135" s="18"/>
      <c r="BQ135" s="18"/>
      <c r="BR135" s="18" t="str">
        <f t="shared" si="62"/>
        <v/>
      </c>
    </row>
    <row r="136" spans="1:70" ht="25.5" x14ac:dyDescent="0.25">
      <c r="A136" s="2" t="s">
        <v>833</v>
      </c>
      <c r="B136" s="2" t="str">
        <f>VLOOKUP($A136,[2]Projekty!$A$2:$AR$1147,4,0)</f>
        <v>OPKZP-PO1-SC111-2016-10</v>
      </c>
      <c r="C136" s="2" t="str">
        <f>VLOOKUP($A136,[2]Projekty!$A$2:$AR$1147,6,0)</f>
        <v>Obec Slaská</v>
      </c>
      <c r="D136" s="2" t="str">
        <f>VLOOKUP($A136,[2]Projekty!$A$2:$AR$1147,7,0)</f>
        <v>Nákup technológie pre triedený zber komunálnych odpadov v obci Slaská</v>
      </c>
      <c r="E136" s="2" t="str">
        <f>VLOOKUP($A136,[2]Projekty!$A$2:$AR$1147,9,0)</f>
        <v>BB</v>
      </c>
      <c r="F136" s="2" t="str">
        <f>VLOOKUP($A136,[2]Projekty!$A$2:$AR$1147,14,0)</f>
        <v>Aktivity nezačaté</v>
      </c>
      <c r="G136" s="61">
        <f>VLOOKUP($A136,'[2]Dĺžka realizácie'!$A$2:$AR$1148,8,0)</f>
        <v>43131</v>
      </c>
      <c r="H136" s="18"/>
      <c r="I136" s="18"/>
      <c r="J136" s="18" t="str">
        <f t="shared" si="42"/>
        <v/>
      </c>
      <c r="K136" s="18"/>
      <c r="L136" s="18"/>
      <c r="M136" s="18" t="str">
        <f t="shared" si="43"/>
        <v/>
      </c>
      <c r="N136" s="18"/>
      <c r="O136" s="18"/>
      <c r="P136" s="18" t="str">
        <f t="shared" si="44"/>
        <v/>
      </c>
      <c r="Q136" s="18"/>
      <c r="R136" s="18"/>
      <c r="S136" s="18" t="str">
        <f t="shared" si="45"/>
        <v/>
      </c>
      <c r="T136" s="18">
        <v>99.1</v>
      </c>
      <c r="U136" s="18"/>
      <c r="V136" s="18">
        <f t="shared" si="46"/>
        <v>99.1</v>
      </c>
      <c r="W136" s="18"/>
      <c r="X136" s="18"/>
      <c r="Y136" s="18" t="str">
        <f t="shared" si="47"/>
        <v/>
      </c>
      <c r="Z136" s="18"/>
      <c r="AA136" s="18"/>
      <c r="AB136" s="18" t="str">
        <f t="shared" si="48"/>
        <v/>
      </c>
      <c r="AC136" s="18">
        <v>500</v>
      </c>
      <c r="AD136" s="18"/>
      <c r="AE136" s="18">
        <f t="shared" si="49"/>
        <v>500</v>
      </c>
      <c r="AF136" s="18"/>
      <c r="AG136" s="18"/>
      <c r="AH136" s="18" t="str">
        <f t="shared" si="50"/>
        <v/>
      </c>
      <c r="AI136" s="18"/>
      <c r="AJ136" s="18"/>
      <c r="AK136" s="18" t="str">
        <f t="shared" si="51"/>
        <v/>
      </c>
      <c r="AL136" s="18"/>
      <c r="AM136" s="18"/>
      <c r="AN136" s="18" t="str">
        <f t="shared" si="52"/>
        <v/>
      </c>
      <c r="AO136" s="18"/>
      <c r="AP136" s="18"/>
      <c r="AQ136" s="18" t="str">
        <f t="shared" si="53"/>
        <v/>
      </c>
      <c r="AR136" s="18">
        <v>4</v>
      </c>
      <c r="AS136" s="18"/>
      <c r="AT136" s="18">
        <f t="shared" si="54"/>
        <v>4</v>
      </c>
      <c r="AU136" s="18"/>
      <c r="AV136" s="18"/>
      <c r="AW136" s="18" t="str">
        <f t="shared" si="55"/>
        <v/>
      </c>
      <c r="AX136" s="18"/>
      <c r="AY136" s="18"/>
      <c r="AZ136" s="18" t="str">
        <f t="shared" si="56"/>
        <v/>
      </c>
      <c r="BA136" s="18">
        <v>99.1</v>
      </c>
      <c r="BB136" s="18"/>
      <c r="BC136" s="18">
        <f t="shared" si="57"/>
        <v>99.1</v>
      </c>
      <c r="BD136" s="18"/>
      <c r="BE136" s="18"/>
      <c r="BF136" s="18" t="str">
        <f t="shared" si="58"/>
        <v/>
      </c>
      <c r="BG136" s="18"/>
      <c r="BH136" s="18"/>
      <c r="BI136" s="18" t="str">
        <f t="shared" si="59"/>
        <v/>
      </c>
      <c r="BJ136" s="18"/>
      <c r="BK136" s="18"/>
      <c r="BL136" s="18" t="str">
        <f t="shared" si="60"/>
        <v/>
      </c>
      <c r="BM136" s="18"/>
      <c r="BN136" s="18"/>
      <c r="BO136" s="18" t="str">
        <f t="shared" si="61"/>
        <v/>
      </c>
      <c r="BP136" s="18"/>
      <c r="BQ136" s="18"/>
      <c r="BR136" s="18" t="str">
        <f t="shared" si="62"/>
        <v/>
      </c>
    </row>
    <row r="137" spans="1:70" x14ac:dyDescent="0.25">
      <c r="A137" s="2" t="s">
        <v>792</v>
      </c>
      <c r="B137" s="2" t="str">
        <f>VLOOKUP($A137,[2]Projekty!$A$2:$AR$1147,4,0)</f>
        <v>OPKZP-PO1-SC111-2016-10</v>
      </c>
      <c r="C137" s="2" t="str">
        <f>VLOOKUP($A137,[2]Projekty!$A$2:$AR$1147,6,0)</f>
        <v>obec Veľký Kýr</v>
      </c>
      <c r="D137" s="2" t="str">
        <f>VLOOKUP($A137,[2]Projekty!$A$2:$AR$1147,7,0)</f>
        <v>Zberný dvor Veľký Kýr</v>
      </c>
      <c r="E137" s="2" t="str">
        <f>VLOOKUP($A137,[2]Projekty!$A$2:$AR$1147,9,0)</f>
        <v>NR</v>
      </c>
      <c r="F137" s="2" t="str">
        <f>VLOOKUP($A137,[2]Projekty!$A$2:$AR$1147,14,0)</f>
        <v>Realizácia</v>
      </c>
      <c r="G137" s="61">
        <f>VLOOKUP($A137,'[2]Dĺžka realizácie'!$A$2:$AR$1148,8,0)</f>
        <v>43159</v>
      </c>
      <c r="H137" s="18"/>
      <c r="I137" s="18"/>
      <c r="J137" s="18" t="str">
        <f t="shared" si="42"/>
        <v/>
      </c>
      <c r="K137" s="18"/>
      <c r="L137" s="18"/>
      <c r="M137" s="18" t="str">
        <f t="shared" si="43"/>
        <v/>
      </c>
      <c r="N137" s="18"/>
      <c r="O137" s="18"/>
      <c r="P137" s="18" t="str">
        <f t="shared" si="44"/>
        <v/>
      </c>
      <c r="Q137" s="18"/>
      <c r="R137" s="18"/>
      <c r="S137" s="18" t="str">
        <f t="shared" si="45"/>
        <v/>
      </c>
      <c r="T137" s="18">
        <v>315.5</v>
      </c>
      <c r="U137" s="18"/>
      <c r="V137" s="18">
        <f t="shared" si="46"/>
        <v>315.5</v>
      </c>
      <c r="W137" s="18"/>
      <c r="X137" s="18"/>
      <c r="Y137" s="18" t="str">
        <f t="shared" si="47"/>
        <v/>
      </c>
      <c r="Z137" s="18"/>
      <c r="AA137" s="18"/>
      <c r="AB137" s="18" t="str">
        <f t="shared" si="48"/>
        <v/>
      </c>
      <c r="AC137" s="18">
        <v>500</v>
      </c>
      <c r="AD137" s="18"/>
      <c r="AE137" s="18">
        <f t="shared" si="49"/>
        <v>500</v>
      </c>
      <c r="AF137" s="18"/>
      <c r="AG137" s="18"/>
      <c r="AH137" s="18" t="str">
        <f t="shared" si="50"/>
        <v/>
      </c>
      <c r="AI137" s="18"/>
      <c r="AJ137" s="18"/>
      <c r="AK137" s="18" t="str">
        <f t="shared" si="51"/>
        <v/>
      </c>
      <c r="AL137" s="18"/>
      <c r="AM137" s="18"/>
      <c r="AN137" s="18" t="str">
        <f t="shared" si="52"/>
        <v/>
      </c>
      <c r="AO137" s="18"/>
      <c r="AP137" s="18"/>
      <c r="AQ137" s="18" t="str">
        <f t="shared" si="53"/>
        <v/>
      </c>
      <c r="AR137" s="18">
        <v>3</v>
      </c>
      <c r="AS137" s="18"/>
      <c r="AT137" s="18">
        <f t="shared" si="54"/>
        <v>3</v>
      </c>
      <c r="AU137" s="18"/>
      <c r="AV137" s="18"/>
      <c r="AW137" s="18" t="str">
        <f t="shared" si="55"/>
        <v/>
      </c>
      <c r="AX137" s="18"/>
      <c r="AY137" s="18"/>
      <c r="AZ137" s="18" t="str">
        <f t="shared" si="56"/>
        <v/>
      </c>
      <c r="BA137" s="18">
        <v>315.5</v>
      </c>
      <c r="BB137" s="18"/>
      <c r="BC137" s="18">
        <f t="shared" si="57"/>
        <v>315.5</v>
      </c>
      <c r="BD137" s="18"/>
      <c r="BE137" s="18"/>
      <c r="BF137" s="18" t="str">
        <f t="shared" si="58"/>
        <v/>
      </c>
      <c r="BG137" s="18"/>
      <c r="BH137" s="18"/>
      <c r="BI137" s="18" t="str">
        <f t="shared" si="59"/>
        <v/>
      </c>
      <c r="BJ137" s="18"/>
      <c r="BK137" s="18"/>
      <c r="BL137" s="18" t="str">
        <f t="shared" si="60"/>
        <v/>
      </c>
      <c r="BM137" s="18"/>
      <c r="BN137" s="18"/>
      <c r="BO137" s="18" t="str">
        <f t="shared" si="61"/>
        <v/>
      </c>
      <c r="BP137" s="18"/>
      <c r="BQ137" s="18"/>
      <c r="BR137" s="18" t="str">
        <f t="shared" si="62"/>
        <v/>
      </c>
    </row>
    <row r="138" spans="1:70" ht="25.5" x14ac:dyDescent="0.25">
      <c r="A138" s="2" t="s">
        <v>1014</v>
      </c>
      <c r="B138" s="2" t="str">
        <f>VLOOKUP($A138,[2]Projekty!$A$2:$AR$1147,4,0)</f>
        <v>OPKZP-PO1-SC111-2016-11</v>
      </c>
      <c r="C138" s="2" t="str">
        <f>VLOOKUP($A138,[2]Projekty!$A$2:$AR$1147,6,0)</f>
        <v>Obec Malé Lednice</v>
      </c>
      <c r="D138" s="2" t="str">
        <f>VLOOKUP($A138,[2]Projekty!$A$2:$AR$1147,7,0)</f>
        <v>Zhodnocovanie biologicky rozložiteľného komunálneho odpadu v obci Malé Lednice</v>
      </c>
      <c r="E138" s="2" t="str">
        <f>VLOOKUP($A138,[2]Projekty!$A$2:$AR$1147,9,0)</f>
        <v>TN</v>
      </c>
      <c r="F138" s="2" t="str">
        <f>VLOOKUP($A138,[2]Projekty!$A$2:$AR$1147,14,0)</f>
        <v>Realizácia</v>
      </c>
      <c r="G138" s="61">
        <f>VLOOKUP($A138,'[2]Dĺžka realizácie'!$A$2:$AR$1148,8,0)</f>
        <v>43190</v>
      </c>
      <c r="H138" s="18"/>
      <c r="I138" s="18"/>
      <c r="J138" s="18" t="str">
        <f t="shared" si="42"/>
        <v/>
      </c>
      <c r="K138" s="18"/>
      <c r="L138" s="18"/>
      <c r="M138" s="18" t="str">
        <f t="shared" si="43"/>
        <v/>
      </c>
      <c r="N138" s="18"/>
      <c r="O138" s="18"/>
      <c r="P138" s="18" t="str">
        <f t="shared" si="44"/>
        <v/>
      </c>
      <c r="Q138" s="18"/>
      <c r="R138" s="18"/>
      <c r="S138" s="18" t="str">
        <f t="shared" si="45"/>
        <v/>
      </c>
      <c r="T138" s="18"/>
      <c r="U138" s="18"/>
      <c r="V138" s="18" t="str">
        <f t="shared" si="46"/>
        <v/>
      </c>
      <c r="W138" s="18">
        <v>30</v>
      </c>
      <c r="X138" s="18"/>
      <c r="Y138" s="18">
        <f t="shared" si="47"/>
        <v>30</v>
      </c>
      <c r="Z138" s="18"/>
      <c r="AA138" s="18"/>
      <c r="AB138" s="18" t="str">
        <f t="shared" si="48"/>
        <v/>
      </c>
      <c r="AC138" s="18"/>
      <c r="AD138" s="18"/>
      <c r="AE138" s="18" t="str">
        <f t="shared" si="49"/>
        <v/>
      </c>
      <c r="AF138" s="18"/>
      <c r="AG138" s="18"/>
      <c r="AH138" s="18" t="str">
        <f t="shared" si="50"/>
        <v/>
      </c>
      <c r="AI138" s="18"/>
      <c r="AJ138" s="18"/>
      <c r="AK138" s="18" t="str">
        <f t="shared" si="51"/>
        <v/>
      </c>
      <c r="AL138" s="18"/>
      <c r="AM138" s="18"/>
      <c r="AN138" s="18" t="str">
        <f t="shared" si="52"/>
        <v/>
      </c>
      <c r="AO138" s="18"/>
      <c r="AP138" s="18"/>
      <c r="AQ138" s="18" t="str">
        <f t="shared" si="53"/>
        <v/>
      </c>
      <c r="AR138" s="18"/>
      <c r="AS138" s="18"/>
      <c r="AT138" s="18" t="str">
        <f t="shared" si="54"/>
        <v/>
      </c>
      <c r="AU138" s="18"/>
      <c r="AV138" s="18"/>
      <c r="AW138" s="18" t="str">
        <f t="shared" si="55"/>
        <v/>
      </c>
      <c r="AX138" s="18"/>
      <c r="AY138" s="18"/>
      <c r="AZ138" s="18" t="str">
        <f t="shared" si="56"/>
        <v/>
      </c>
      <c r="BA138" s="18"/>
      <c r="BB138" s="18"/>
      <c r="BC138" s="18" t="str">
        <f t="shared" si="57"/>
        <v/>
      </c>
      <c r="BD138" s="18">
        <v>30</v>
      </c>
      <c r="BE138" s="18"/>
      <c r="BF138" s="18">
        <f t="shared" si="58"/>
        <v>30</v>
      </c>
      <c r="BG138" s="18"/>
      <c r="BH138" s="18"/>
      <c r="BI138" s="18" t="str">
        <f t="shared" si="59"/>
        <v/>
      </c>
      <c r="BJ138" s="18"/>
      <c r="BK138" s="18"/>
      <c r="BL138" s="18" t="str">
        <f t="shared" si="60"/>
        <v/>
      </c>
      <c r="BM138" s="18"/>
      <c r="BN138" s="18"/>
      <c r="BO138" s="18" t="str">
        <f t="shared" si="61"/>
        <v/>
      </c>
      <c r="BP138" s="18"/>
      <c r="BQ138" s="18"/>
      <c r="BR138" s="18" t="str">
        <f t="shared" si="62"/>
        <v/>
      </c>
    </row>
    <row r="139" spans="1:70" ht="38.25" x14ac:dyDescent="0.25">
      <c r="A139" s="2" t="s">
        <v>768</v>
      </c>
      <c r="B139" s="2" t="str">
        <f>VLOOKUP($A139,[2]Projekty!$A$2:$AR$1147,4,0)</f>
        <v>OPKZP-PO1-SC111-2016-11</v>
      </c>
      <c r="C139" s="2" t="str">
        <f>VLOOKUP($A139,[2]Projekty!$A$2:$AR$1147,6,0)</f>
        <v>Technické služby mesta Prešov a.s.</v>
      </c>
      <c r="D139" s="2" t="str">
        <f>VLOOKUP($A139,[2]Projekty!$A$2:$AR$1147,7,0)</f>
        <v>Skvalitnenie triedeného zberu komunálneho odpadu.- technika pre zvoz a spracovanie biologicky rozložiteľného komunálneho odpadu.</v>
      </c>
      <c r="E139" s="2" t="str">
        <f>VLOOKUP($A139,[2]Projekty!$A$2:$AR$1147,9,0)</f>
        <v>PO</v>
      </c>
      <c r="F139" s="2" t="str">
        <f>VLOOKUP($A139,[2]Projekty!$A$2:$AR$1147,14,0)</f>
        <v>Aktivity nezačaté</v>
      </c>
      <c r="G139" s="61">
        <f>VLOOKUP($A139,'[2]Dĺžka realizácie'!$A$2:$AR$1148,8,0)</f>
        <v>43190</v>
      </c>
      <c r="H139" s="18"/>
      <c r="I139" s="18"/>
      <c r="J139" s="18" t="str">
        <f t="shared" si="42"/>
        <v/>
      </c>
      <c r="K139" s="18"/>
      <c r="L139" s="18"/>
      <c r="M139" s="18" t="str">
        <f t="shared" si="43"/>
        <v/>
      </c>
      <c r="N139" s="18"/>
      <c r="O139" s="18"/>
      <c r="P139" s="18" t="str">
        <f t="shared" si="44"/>
        <v/>
      </c>
      <c r="Q139" s="18"/>
      <c r="R139" s="18"/>
      <c r="S139" s="18" t="str">
        <f t="shared" si="45"/>
        <v/>
      </c>
      <c r="T139" s="18">
        <v>1113.8399999999999</v>
      </c>
      <c r="U139" s="18"/>
      <c r="V139" s="18">
        <f t="shared" si="46"/>
        <v>1113.8399999999999</v>
      </c>
      <c r="W139" s="18"/>
      <c r="X139" s="18"/>
      <c r="Y139" s="18" t="str">
        <f t="shared" si="47"/>
        <v/>
      </c>
      <c r="Z139" s="18"/>
      <c r="AA139" s="18"/>
      <c r="AB139" s="18" t="str">
        <f t="shared" si="48"/>
        <v/>
      </c>
      <c r="AC139" s="18"/>
      <c r="AD139" s="18"/>
      <c r="AE139" s="18" t="str">
        <f t="shared" si="49"/>
        <v/>
      </c>
      <c r="AF139" s="18"/>
      <c r="AG139" s="18"/>
      <c r="AH139" s="18" t="str">
        <f t="shared" si="50"/>
        <v/>
      </c>
      <c r="AI139" s="18"/>
      <c r="AJ139" s="18"/>
      <c r="AK139" s="18" t="str">
        <f t="shared" si="51"/>
        <v/>
      </c>
      <c r="AL139" s="18"/>
      <c r="AM139" s="18"/>
      <c r="AN139" s="18" t="str">
        <f t="shared" si="52"/>
        <v/>
      </c>
      <c r="AO139" s="18"/>
      <c r="AP139" s="18"/>
      <c r="AQ139" s="18" t="str">
        <f t="shared" si="53"/>
        <v/>
      </c>
      <c r="AR139" s="18"/>
      <c r="AS139" s="18"/>
      <c r="AT139" s="18" t="str">
        <f t="shared" si="54"/>
        <v/>
      </c>
      <c r="AU139" s="18"/>
      <c r="AV139" s="18"/>
      <c r="AW139" s="18" t="str">
        <f t="shared" si="55"/>
        <v/>
      </c>
      <c r="AX139" s="18"/>
      <c r="AY139" s="18"/>
      <c r="AZ139" s="18" t="str">
        <f t="shared" si="56"/>
        <v/>
      </c>
      <c r="BA139" s="18">
        <v>1113.8399999999999</v>
      </c>
      <c r="BB139" s="18"/>
      <c r="BC139" s="18">
        <f t="shared" si="57"/>
        <v>1113.8399999999999</v>
      </c>
      <c r="BD139" s="18"/>
      <c r="BE139" s="18"/>
      <c r="BF139" s="18" t="str">
        <f t="shared" si="58"/>
        <v/>
      </c>
      <c r="BG139" s="18"/>
      <c r="BH139" s="18"/>
      <c r="BI139" s="18" t="str">
        <f t="shared" si="59"/>
        <v/>
      </c>
      <c r="BJ139" s="18"/>
      <c r="BK139" s="18"/>
      <c r="BL139" s="18" t="str">
        <f t="shared" si="60"/>
        <v/>
      </c>
      <c r="BM139" s="18"/>
      <c r="BN139" s="18"/>
      <c r="BO139" s="18" t="str">
        <f t="shared" si="61"/>
        <v/>
      </c>
      <c r="BP139" s="18"/>
      <c r="BQ139" s="18"/>
      <c r="BR139" s="18" t="str">
        <f t="shared" si="62"/>
        <v/>
      </c>
    </row>
    <row r="140" spans="1:70" x14ac:dyDescent="0.25">
      <c r="A140" s="2" t="s">
        <v>769</v>
      </c>
      <c r="B140" s="2" t="str">
        <f>VLOOKUP($A140,[2]Projekty!$A$2:$AR$1147,4,0)</f>
        <v>OPKZP-PO1-SC111-2016-10</v>
      </c>
      <c r="C140" s="2" t="str">
        <f>VLOOKUP($A140,[2]Projekty!$A$2:$AR$1147,6,0)</f>
        <v>Obec Šoporňa</v>
      </c>
      <c r="D140" s="2" t="str">
        <f>VLOOKUP($A140,[2]Projekty!$A$2:$AR$1147,7,0)</f>
        <v>Zberný dvor Šoporňa</v>
      </c>
      <c r="E140" s="2" t="str">
        <f>VLOOKUP($A140,[2]Projekty!$A$2:$AR$1147,9,0)</f>
        <v>TT</v>
      </c>
      <c r="F140" s="2" t="str">
        <f>VLOOKUP($A140,[2]Projekty!$A$2:$AR$1147,14,0)</f>
        <v>Realizácia</v>
      </c>
      <c r="G140" s="61">
        <f>VLOOKUP($A140,'[2]Dĺžka realizácie'!$A$2:$AR$1148,8,0)</f>
        <v>42978</v>
      </c>
      <c r="H140" s="18"/>
      <c r="I140" s="18"/>
      <c r="J140" s="18" t="str">
        <f t="shared" si="42"/>
        <v/>
      </c>
      <c r="K140" s="18"/>
      <c r="L140" s="18"/>
      <c r="M140" s="18" t="str">
        <f t="shared" si="43"/>
        <v/>
      </c>
      <c r="N140" s="18"/>
      <c r="O140" s="18"/>
      <c r="P140" s="18" t="str">
        <f t="shared" si="44"/>
        <v/>
      </c>
      <c r="Q140" s="18"/>
      <c r="R140" s="18"/>
      <c r="S140" s="18" t="str">
        <f t="shared" si="45"/>
        <v/>
      </c>
      <c r="T140" s="18">
        <v>1540</v>
      </c>
      <c r="U140" s="18"/>
      <c r="V140" s="18">
        <f t="shared" si="46"/>
        <v>1540</v>
      </c>
      <c r="W140" s="18"/>
      <c r="X140" s="18"/>
      <c r="Y140" s="18" t="str">
        <f t="shared" si="47"/>
        <v/>
      </c>
      <c r="Z140" s="18"/>
      <c r="AA140" s="18"/>
      <c r="AB140" s="18" t="str">
        <f t="shared" si="48"/>
        <v/>
      </c>
      <c r="AC140" s="18"/>
      <c r="AD140" s="18"/>
      <c r="AE140" s="18" t="str">
        <f t="shared" si="49"/>
        <v/>
      </c>
      <c r="AF140" s="18"/>
      <c r="AG140" s="18"/>
      <c r="AH140" s="18" t="str">
        <f t="shared" si="50"/>
        <v/>
      </c>
      <c r="AI140" s="18"/>
      <c r="AJ140" s="18"/>
      <c r="AK140" s="18" t="str">
        <f t="shared" si="51"/>
        <v/>
      </c>
      <c r="AL140" s="18"/>
      <c r="AM140" s="18"/>
      <c r="AN140" s="18" t="str">
        <f t="shared" si="52"/>
        <v/>
      </c>
      <c r="AO140" s="18"/>
      <c r="AP140" s="18"/>
      <c r="AQ140" s="18" t="str">
        <f t="shared" si="53"/>
        <v/>
      </c>
      <c r="AR140" s="18"/>
      <c r="AS140" s="18"/>
      <c r="AT140" s="18" t="str">
        <f t="shared" si="54"/>
        <v/>
      </c>
      <c r="AU140" s="18"/>
      <c r="AV140" s="18"/>
      <c r="AW140" s="18" t="str">
        <f t="shared" si="55"/>
        <v/>
      </c>
      <c r="AX140" s="18"/>
      <c r="AY140" s="18"/>
      <c r="AZ140" s="18" t="str">
        <f t="shared" si="56"/>
        <v/>
      </c>
      <c r="BA140" s="18">
        <v>1540</v>
      </c>
      <c r="BB140" s="18"/>
      <c r="BC140" s="18">
        <f t="shared" si="57"/>
        <v>1540</v>
      </c>
      <c r="BD140" s="18"/>
      <c r="BE140" s="18"/>
      <c r="BF140" s="18" t="str">
        <f t="shared" si="58"/>
        <v/>
      </c>
      <c r="BG140" s="18"/>
      <c r="BH140" s="18"/>
      <c r="BI140" s="18" t="str">
        <f t="shared" si="59"/>
        <v/>
      </c>
      <c r="BJ140" s="18"/>
      <c r="BK140" s="18"/>
      <c r="BL140" s="18" t="str">
        <f t="shared" si="60"/>
        <v/>
      </c>
      <c r="BM140" s="18"/>
      <c r="BN140" s="18"/>
      <c r="BO140" s="18" t="str">
        <f t="shared" si="61"/>
        <v/>
      </c>
      <c r="BP140" s="18"/>
      <c r="BQ140" s="18"/>
      <c r="BR140" s="18" t="str">
        <f t="shared" si="62"/>
        <v/>
      </c>
    </row>
    <row r="141" spans="1:70" x14ac:dyDescent="0.25">
      <c r="A141" s="2" t="s">
        <v>993</v>
      </c>
      <c r="B141" s="2" t="str">
        <f>VLOOKUP($A141,[2]Projekty!$A$2:$AR$1147,4,0)</f>
        <v>OPKZP-PO1-SC111-2016-10</v>
      </c>
      <c r="C141" s="2" t="str">
        <f>VLOOKUP($A141,[2]Projekty!$A$2:$AR$1147,6,0)</f>
        <v>Obec Jablonov nad Turňou</v>
      </c>
      <c r="D141" s="2" t="str">
        <f>VLOOKUP($A141,[2]Projekty!$A$2:$AR$1147,7,0)</f>
        <v>Zberný dvor odpadu v obci Jablonov nad Turňou</v>
      </c>
      <c r="E141" s="2" t="str">
        <f>VLOOKUP($A141,[2]Projekty!$A$2:$AR$1147,9,0)</f>
        <v>KE</v>
      </c>
      <c r="F141" s="2" t="str">
        <f>VLOOKUP($A141,[2]Projekty!$A$2:$AR$1147,14,0)</f>
        <v>Realizácia</v>
      </c>
      <c r="G141" s="61">
        <f>VLOOKUP($A141,'[2]Dĺžka realizácie'!$A$2:$AR$1148,8,0)</f>
        <v>43100</v>
      </c>
      <c r="H141" s="18"/>
      <c r="I141" s="18"/>
      <c r="J141" s="18" t="str">
        <f t="shared" si="42"/>
        <v/>
      </c>
      <c r="K141" s="18"/>
      <c r="L141" s="18"/>
      <c r="M141" s="18" t="str">
        <f t="shared" si="43"/>
        <v/>
      </c>
      <c r="N141" s="18"/>
      <c r="O141" s="18"/>
      <c r="P141" s="18" t="str">
        <f t="shared" si="44"/>
        <v/>
      </c>
      <c r="Q141" s="18"/>
      <c r="R141" s="18"/>
      <c r="S141" s="18" t="str">
        <f t="shared" si="45"/>
        <v/>
      </c>
      <c r="T141" s="18">
        <v>90</v>
      </c>
      <c r="U141" s="18"/>
      <c r="V141" s="18">
        <f t="shared" si="46"/>
        <v>90</v>
      </c>
      <c r="W141" s="18"/>
      <c r="X141" s="18"/>
      <c r="Y141" s="18" t="str">
        <f t="shared" si="47"/>
        <v/>
      </c>
      <c r="Z141" s="18"/>
      <c r="AA141" s="18"/>
      <c r="AB141" s="18" t="str">
        <f t="shared" si="48"/>
        <v/>
      </c>
      <c r="AC141" s="18"/>
      <c r="AD141" s="18"/>
      <c r="AE141" s="18" t="str">
        <f t="shared" si="49"/>
        <v/>
      </c>
      <c r="AF141" s="18"/>
      <c r="AG141" s="18"/>
      <c r="AH141" s="18" t="str">
        <f t="shared" si="50"/>
        <v/>
      </c>
      <c r="AI141" s="18"/>
      <c r="AJ141" s="18"/>
      <c r="AK141" s="18" t="str">
        <f t="shared" si="51"/>
        <v/>
      </c>
      <c r="AL141" s="18"/>
      <c r="AM141" s="18"/>
      <c r="AN141" s="18" t="str">
        <f t="shared" si="52"/>
        <v/>
      </c>
      <c r="AO141" s="18"/>
      <c r="AP141" s="18"/>
      <c r="AQ141" s="18" t="str">
        <f t="shared" si="53"/>
        <v/>
      </c>
      <c r="AR141" s="18"/>
      <c r="AS141" s="18"/>
      <c r="AT141" s="18" t="str">
        <f t="shared" si="54"/>
        <v/>
      </c>
      <c r="AU141" s="18"/>
      <c r="AV141" s="18"/>
      <c r="AW141" s="18" t="str">
        <f t="shared" si="55"/>
        <v/>
      </c>
      <c r="AX141" s="18"/>
      <c r="AY141" s="18"/>
      <c r="AZ141" s="18" t="str">
        <f t="shared" si="56"/>
        <v/>
      </c>
      <c r="BA141" s="18">
        <v>90</v>
      </c>
      <c r="BB141" s="18"/>
      <c r="BC141" s="18">
        <f t="shared" si="57"/>
        <v>90</v>
      </c>
      <c r="BD141" s="18"/>
      <c r="BE141" s="18"/>
      <c r="BF141" s="18" t="str">
        <f t="shared" si="58"/>
        <v/>
      </c>
      <c r="BG141" s="18"/>
      <c r="BH141" s="18"/>
      <c r="BI141" s="18" t="str">
        <f t="shared" si="59"/>
        <v/>
      </c>
      <c r="BJ141" s="18"/>
      <c r="BK141" s="18"/>
      <c r="BL141" s="18" t="str">
        <f t="shared" si="60"/>
        <v/>
      </c>
      <c r="BM141" s="18"/>
      <c r="BN141" s="18"/>
      <c r="BO141" s="18" t="str">
        <f t="shared" si="61"/>
        <v/>
      </c>
      <c r="BP141" s="18"/>
      <c r="BQ141" s="18"/>
      <c r="BR141" s="18" t="str">
        <f t="shared" si="62"/>
        <v/>
      </c>
    </row>
    <row r="142" spans="1:70" ht="25.5" x14ac:dyDescent="0.25">
      <c r="A142" s="2" t="s">
        <v>1024</v>
      </c>
      <c r="B142" s="2" t="str">
        <f>VLOOKUP($A142,[2]Projekty!$A$2:$AR$1147,4,0)</f>
        <v>OPKZP-PO1-SC111-2016-11</v>
      </c>
      <c r="C142" s="2" t="str">
        <f>VLOOKUP($A142,[2]Projekty!$A$2:$AR$1147,6,0)</f>
        <v>Obec Motešice</v>
      </c>
      <c r="D142" s="2" t="str">
        <f>VLOOKUP($A142,[2]Projekty!$A$2:$AR$1147,7,0)</f>
        <v>Zhodnocovanie biologicky rozložiteľného komunálneho odpadu v obci Motešice</v>
      </c>
      <c r="E142" s="2" t="str">
        <f>VLOOKUP($A142,[2]Projekty!$A$2:$AR$1147,9,0)</f>
        <v>TN</v>
      </c>
      <c r="F142" s="2" t="str">
        <f>VLOOKUP($A142,[2]Projekty!$A$2:$AR$1147,14,0)</f>
        <v>Realizácia</v>
      </c>
      <c r="G142" s="61">
        <f>VLOOKUP($A142,'[2]Dĺžka realizácie'!$A$2:$AR$1148,8,0)</f>
        <v>43159</v>
      </c>
      <c r="H142" s="18"/>
      <c r="I142" s="18"/>
      <c r="J142" s="18" t="str">
        <f t="shared" si="42"/>
        <v/>
      </c>
      <c r="K142" s="18"/>
      <c r="L142" s="18"/>
      <c r="M142" s="18" t="str">
        <f t="shared" si="43"/>
        <v/>
      </c>
      <c r="N142" s="18"/>
      <c r="O142" s="18"/>
      <c r="P142" s="18" t="str">
        <f t="shared" si="44"/>
        <v/>
      </c>
      <c r="Q142" s="18"/>
      <c r="R142" s="18"/>
      <c r="S142" s="18" t="str">
        <f t="shared" si="45"/>
        <v/>
      </c>
      <c r="T142" s="18"/>
      <c r="U142" s="18"/>
      <c r="V142" s="18" t="str">
        <f t="shared" si="46"/>
        <v/>
      </c>
      <c r="W142" s="18">
        <v>25</v>
      </c>
      <c r="X142" s="18"/>
      <c r="Y142" s="18">
        <f t="shared" si="47"/>
        <v>25</v>
      </c>
      <c r="Z142" s="18"/>
      <c r="AA142" s="18"/>
      <c r="AB142" s="18" t="str">
        <f t="shared" si="48"/>
        <v/>
      </c>
      <c r="AC142" s="18"/>
      <c r="AD142" s="18"/>
      <c r="AE142" s="18" t="str">
        <f t="shared" si="49"/>
        <v/>
      </c>
      <c r="AF142" s="18"/>
      <c r="AG142" s="18"/>
      <c r="AH142" s="18" t="str">
        <f t="shared" si="50"/>
        <v/>
      </c>
      <c r="AI142" s="18"/>
      <c r="AJ142" s="18"/>
      <c r="AK142" s="18" t="str">
        <f t="shared" si="51"/>
        <v/>
      </c>
      <c r="AL142" s="18"/>
      <c r="AM142" s="18"/>
      <c r="AN142" s="18" t="str">
        <f t="shared" si="52"/>
        <v/>
      </c>
      <c r="AO142" s="18"/>
      <c r="AP142" s="18"/>
      <c r="AQ142" s="18" t="str">
        <f t="shared" si="53"/>
        <v/>
      </c>
      <c r="AR142" s="18"/>
      <c r="AS142" s="18"/>
      <c r="AT142" s="18" t="str">
        <f t="shared" si="54"/>
        <v/>
      </c>
      <c r="AU142" s="18"/>
      <c r="AV142" s="18"/>
      <c r="AW142" s="18" t="str">
        <f t="shared" si="55"/>
        <v/>
      </c>
      <c r="AX142" s="18"/>
      <c r="AY142" s="18"/>
      <c r="AZ142" s="18" t="str">
        <f t="shared" si="56"/>
        <v/>
      </c>
      <c r="BA142" s="18"/>
      <c r="BB142" s="18"/>
      <c r="BC142" s="18" t="str">
        <f t="shared" si="57"/>
        <v/>
      </c>
      <c r="BD142" s="18">
        <v>25</v>
      </c>
      <c r="BE142" s="18"/>
      <c r="BF142" s="18">
        <f t="shared" si="58"/>
        <v>25</v>
      </c>
      <c r="BG142" s="18"/>
      <c r="BH142" s="18"/>
      <c r="BI142" s="18" t="str">
        <f t="shared" si="59"/>
        <v/>
      </c>
      <c r="BJ142" s="18"/>
      <c r="BK142" s="18"/>
      <c r="BL142" s="18" t="str">
        <f t="shared" si="60"/>
        <v/>
      </c>
      <c r="BM142" s="18"/>
      <c r="BN142" s="18"/>
      <c r="BO142" s="18" t="str">
        <f t="shared" si="61"/>
        <v/>
      </c>
      <c r="BP142" s="18"/>
      <c r="BQ142" s="18"/>
      <c r="BR142" s="18" t="str">
        <f t="shared" si="62"/>
        <v/>
      </c>
    </row>
    <row r="143" spans="1:70" ht="25.5" x14ac:dyDescent="0.25">
      <c r="A143" s="2" t="s">
        <v>1015</v>
      </c>
      <c r="B143" s="2" t="str">
        <f>VLOOKUP($A143,[2]Projekty!$A$2:$AR$1147,4,0)</f>
        <v>OPKZP-PO1-SC111-2016-11</v>
      </c>
      <c r="C143" s="2" t="str">
        <f>VLOOKUP($A143,[2]Projekty!$A$2:$AR$1147,6,0)</f>
        <v>Obec Klčov</v>
      </c>
      <c r="D143" s="2" t="str">
        <f>VLOOKUP($A143,[2]Projekty!$A$2:$AR$1147,7,0)</f>
        <v>Zhodnocovanie biologicky rozložiteľného komunálneho odpadu v obci Klčov</v>
      </c>
      <c r="E143" s="2" t="str">
        <f>VLOOKUP($A143,[2]Projekty!$A$2:$AR$1147,9,0)</f>
        <v>PO</v>
      </c>
      <c r="F143" s="2" t="str">
        <f>VLOOKUP($A143,[2]Projekty!$A$2:$AR$1147,14,0)</f>
        <v>Aktivity nezačaté</v>
      </c>
      <c r="G143" s="61">
        <f>VLOOKUP($A143,'[2]Dĺžka realizácie'!$A$2:$AR$1148,8,0)</f>
        <v>43343</v>
      </c>
      <c r="H143" s="18"/>
      <c r="I143" s="18"/>
      <c r="J143" s="18" t="str">
        <f t="shared" si="42"/>
        <v/>
      </c>
      <c r="K143" s="18"/>
      <c r="L143" s="18"/>
      <c r="M143" s="18" t="str">
        <f t="shared" si="43"/>
        <v/>
      </c>
      <c r="N143" s="18"/>
      <c r="O143" s="18"/>
      <c r="P143" s="18" t="str">
        <f t="shared" si="44"/>
        <v/>
      </c>
      <c r="Q143" s="18"/>
      <c r="R143" s="18"/>
      <c r="S143" s="18" t="str">
        <f t="shared" si="45"/>
        <v/>
      </c>
      <c r="T143" s="18"/>
      <c r="U143" s="18"/>
      <c r="V143" s="18" t="str">
        <f t="shared" si="46"/>
        <v/>
      </c>
      <c r="W143" s="18">
        <v>85</v>
      </c>
      <c r="X143" s="18"/>
      <c r="Y143" s="18">
        <f t="shared" si="47"/>
        <v>85</v>
      </c>
      <c r="Z143" s="18"/>
      <c r="AA143" s="18"/>
      <c r="AB143" s="18" t="str">
        <f t="shared" si="48"/>
        <v/>
      </c>
      <c r="AC143" s="18"/>
      <c r="AD143" s="18"/>
      <c r="AE143" s="18" t="str">
        <f t="shared" si="49"/>
        <v/>
      </c>
      <c r="AF143" s="18"/>
      <c r="AG143" s="18"/>
      <c r="AH143" s="18" t="str">
        <f t="shared" si="50"/>
        <v/>
      </c>
      <c r="AI143" s="18"/>
      <c r="AJ143" s="18"/>
      <c r="AK143" s="18" t="str">
        <f t="shared" si="51"/>
        <v/>
      </c>
      <c r="AL143" s="18"/>
      <c r="AM143" s="18"/>
      <c r="AN143" s="18" t="str">
        <f t="shared" si="52"/>
        <v/>
      </c>
      <c r="AO143" s="18"/>
      <c r="AP143" s="18"/>
      <c r="AQ143" s="18" t="str">
        <f t="shared" si="53"/>
        <v/>
      </c>
      <c r="AR143" s="18"/>
      <c r="AS143" s="18"/>
      <c r="AT143" s="18" t="str">
        <f t="shared" si="54"/>
        <v/>
      </c>
      <c r="AU143" s="18"/>
      <c r="AV143" s="18"/>
      <c r="AW143" s="18" t="str">
        <f t="shared" si="55"/>
        <v/>
      </c>
      <c r="AX143" s="18"/>
      <c r="AY143" s="18"/>
      <c r="AZ143" s="18" t="str">
        <f t="shared" si="56"/>
        <v/>
      </c>
      <c r="BA143" s="18"/>
      <c r="BB143" s="18"/>
      <c r="BC143" s="18" t="str">
        <f t="shared" si="57"/>
        <v/>
      </c>
      <c r="BD143" s="18">
        <v>85</v>
      </c>
      <c r="BE143" s="18"/>
      <c r="BF143" s="18">
        <f t="shared" si="58"/>
        <v>85</v>
      </c>
      <c r="BG143" s="18"/>
      <c r="BH143" s="18"/>
      <c r="BI143" s="18" t="str">
        <f t="shared" si="59"/>
        <v/>
      </c>
      <c r="BJ143" s="18"/>
      <c r="BK143" s="18"/>
      <c r="BL143" s="18" t="str">
        <f t="shared" si="60"/>
        <v/>
      </c>
      <c r="BM143" s="18"/>
      <c r="BN143" s="18"/>
      <c r="BO143" s="18" t="str">
        <f t="shared" si="61"/>
        <v/>
      </c>
      <c r="BP143" s="18"/>
      <c r="BQ143" s="18"/>
      <c r="BR143" s="18" t="str">
        <f t="shared" si="62"/>
        <v/>
      </c>
    </row>
    <row r="144" spans="1:70" ht="25.5" x14ac:dyDescent="0.25">
      <c r="A144" s="2" t="s">
        <v>1025</v>
      </c>
      <c r="B144" s="2" t="str">
        <f>VLOOKUP($A144,[2]Projekty!$A$2:$AR$1147,4,0)</f>
        <v>OPKZP-PO1-SC111-2016-11</v>
      </c>
      <c r="C144" s="2" t="str">
        <f>VLOOKUP($A144,[2]Projekty!$A$2:$AR$1147,6,0)</f>
        <v>Obec Ňagov</v>
      </c>
      <c r="D144" s="2" t="str">
        <f>VLOOKUP($A144,[2]Projekty!$A$2:$AR$1147,7,0)</f>
        <v>Zhodnocovanie biologicky rozložiteľného komunálneho odpadu v obci Ňagov</v>
      </c>
      <c r="E144" s="2" t="str">
        <f>VLOOKUP($A144,[2]Projekty!$A$2:$AR$1147,9,0)</f>
        <v>PO</v>
      </c>
      <c r="F144" s="2" t="str">
        <f>VLOOKUP($A144,[2]Projekty!$A$2:$AR$1147,14,0)</f>
        <v>Aktivity nezačaté</v>
      </c>
      <c r="G144" s="61">
        <f>VLOOKUP($A144,'[2]Dĺžka realizácie'!$A$2:$AR$1148,8,0)</f>
        <v>43312</v>
      </c>
      <c r="H144" s="18"/>
      <c r="I144" s="18"/>
      <c r="J144" s="18" t="str">
        <f t="shared" si="42"/>
        <v/>
      </c>
      <c r="K144" s="18"/>
      <c r="L144" s="18"/>
      <c r="M144" s="18" t="str">
        <f t="shared" si="43"/>
        <v/>
      </c>
      <c r="N144" s="18"/>
      <c r="O144" s="18"/>
      <c r="P144" s="18" t="str">
        <f t="shared" si="44"/>
        <v/>
      </c>
      <c r="Q144" s="18"/>
      <c r="R144" s="18"/>
      <c r="S144" s="18" t="str">
        <f t="shared" si="45"/>
        <v/>
      </c>
      <c r="T144" s="18"/>
      <c r="U144" s="18"/>
      <c r="V144" s="18" t="str">
        <f t="shared" si="46"/>
        <v/>
      </c>
      <c r="W144" s="18">
        <v>85</v>
      </c>
      <c r="X144" s="18"/>
      <c r="Y144" s="18">
        <f t="shared" si="47"/>
        <v>85</v>
      </c>
      <c r="Z144" s="18"/>
      <c r="AA144" s="18"/>
      <c r="AB144" s="18" t="str">
        <f t="shared" si="48"/>
        <v/>
      </c>
      <c r="AC144" s="18"/>
      <c r="AD144" s="18"/>
      <c r="AE144" s="18" t="str">
        <f t="shared" si="49"/>
        <v/>
      </c>
      <c r="AF144" s="18"/>
      <c r="AG144" s="18"/>
      <c r="AH144" s="18" t="str">
        <f t="shared" si="50"/>
        <v/>
      </c>
      <c r="AI144" s="18"/>
      <c r="AJ144" s="18"/>
      <c r="AK144" s="18" t="str">
        <f t="shared" si="51"/>
        <v/>
      </c>
      <c r="AL144" s="18"/>
      <c r="AM144" s="18"/>
      <c r="AN144" s="18" t="str">
        <f t="shared" si="52"/>
        <v/>
      </c>
      <c r="AO144" s="18"/>
      <c r="AP144" s="18"/>
      <c r="AQ144" s="18" t="str">
        <f t="shared" si="53"/>
        <v/>
      </c>
      <c r="AR144" s="18"/>
      <c r="AS144" s="18"/>
      <c r="AT144" s="18" t="str">
        <f t="shared" si="54"/>
        <v/>
      </c>
      <c r="AU144" s="18"/>
      <c r="AV144" s="18"/>
      <c r="AW144" s="18" t="str">
        <f t="shared" si="55"/>
        <v/>
      </c>
      <c r="AX144" s="18"/>
      <c r="AY144" s="18"/>
      <c r="AZ144" s="18" t="str">
        <f t="shared" si="56"/>
        <v/>
      </c>
      <c r="BA144" s="18"/>
      <c r="BB144" s="18"/>
      <c r="BC144" s="18" t="str">
        <f t="shared" si="57"/>
        <v/>
      </c>
      <c r="BD144" s="18">
        <v>85</v>
      </c>
      <c r="BE144" s="18"/>
      <c r="BF144" s="18">
        <f t="shared" si="58"/>
        <v>85</v>
      </c>
      <c r="BG144" s="18"/>
      <c r="BH144" s="18"/>
      <c r="BI144" s="18" t="str">
        <f t="shared" si="59"/>
        <v/>
      </c>
      <c r="BJ144" s="18"/>
      <c r="BK144" s="18"/>
      <c r="BL144" s="18" t="str">
        <f t="shared" si="60"/>
        <v/>
      </c>
      <c r="BM144" s="18"/>
      <c r="BN144" s="18"/>
      <c r="BO144" s="18" t="str">
        <f t="shared" si="61"/>
        <v/>
      </c>
      <c r="BP144" s="18"/>
      <c r="BQ144" s="18"/>
      <c r="BR144" s="18" t="str">
        <f t="shared" si="62"/>
        <v/>
      </c>
    </row>
    <row r="145" spans="1:70" x14ac:dyDescent="0.25">
      <c r="A145" s="2" t="s">
        <v>877</v>
      </c>
      <c r="B145" s="2" t="str">
        <f>VLOOKUP($A145,[2]Projekty!$A$2:$AR$1147,4,0)</f>
        <v>OPKZP-PO1-SC111-2016-10</v>
      </c>
      <c r="C145" s="2" t="str">
        <f>VLOOKUP($A145,[2]Projekty!$A$2:$AR$1147,6,0)</f>
        <v>Mesto Gbely</v>
      </c>
      <c r="D145" s="2" t="str">
        <f>VLOOKUP($A145,[2]Projekty!$A$2:$AR$1147,7,0)</f>
        <v>Zberný dvor odpadov Gbely – druhá etapa</v>
      </c>
      <c r="E145" s="2" t="str">
        <f>VLOOKUP($A145,[2]Projekty!$A$2:$AR$1147,9,0)</f>
        <v>TT</v>
      </c>
      <c r="F145" s="2" t="str">
        <f>VLOOKUP($A145,[2]Projekty!$A$2:$AR$1147,14,0)</f>
        <v>Realizácia</v>
      </c>
      <c r="G145" s="61">
        <f>VLOOKUP($A145,'[2]Dĺžka realizácie'!$A$2:$AR$1148,8,0)</f>
        <v>43131</v>
      </c>
      <c r="H145" s="18"/>
      <c r="I145" s="18"/>
      <c r="J145" s="18" t="str">
        <f t="shared" si="42"/>
        <v/>
      </c>
      <c r="K145" s="18"/>
      <c r="L145" s="18"/>
      <c r="M145" s="18" t="str">
        <f t="shared" si="43"/>
        <v/>
      </c>
      <c r="N145" s="18"/>
      <c r="O145" s="18"/>
      <c r="P145" s="18" t="str">
        <f t="shared" si="44"/>
        <v/>
      </c>
      <c r="Q145" s="18"/>
      <c r="R145" s="18"/>
      <c r="S145" s="18" t="str">
        <f t="shared" si="45"/>
        <v/>
      </c>
      <c r="T145" s="18">
        <v>75.05</v>
      </c>
      <c r="U145" s="18"/>
      <c r="V145" s="18">
        <f t="shared" si="46"/>
        <v>75.05</v>
      </c>
      <c r="W145" s="18"/>
      <c r="X145" s="18"/>
      <c r="Y145" s="18" t="str">
        <f t="shared" si="47"/>
        <v/>
      </c>
      <c r="Z145" s="18"/>
      <c r="AA145" s="18"/>
      <c r="AB145" s="18" t="str">
        <f t="shared" si="48"/>
        <v/>
      </c>
      <c r="AC145" s="18"/>
      <c r="AD145" s="18"/>
      <c r="AE145" s="18" t="str">
        <f t="shared" si="49"/>
        <v/>
      </c>
      <c r="AF145" s="18"/>
      <c r="AG145" s="18"/>
      <c r="AH145" s="18" t="str">
        <f t="shared" si="50"/>
        <v/>
      </c>
      <c r="AI145" s="18"/>
      <c r="AJ145" s="18"/>
      <c r="AK145" s="18" t="str">
        <f t="shared" si="51"/>
        <v/>
      </c>
      <c r="AL145" s="18"/>
      <c r="AM145" s="18"/>
      <c r="AN145" s="18" t="str">
        <f t="shared" si="52"/>
        <v/>
      </c>
      <c r="AO145" s="18"/>
      <c r="AP145" s="18"/>
      <c r="AQ145" s="18" t="str">
        <f t="shared" si="53"/>
        <v/>
      </c>
      <c r="AR145" s="18"/>
      <c r="AS145" s="18"/>
      <c r="AT145" s="18" t="str">
        <f t="shared" si="54"/>
        <v/>
      </c>
      <c r="AU145" s="18"/>
      <c r="AV145" s="18"/>
      <c r="AW145" s="18" t="str">
        <f t="shared" si="55"/>
        <v/>
      </c>
      <c r="AX145" s="18"/>
      <c r="AY145" s="18"/>
      <c r="AZ145" s="18" t="str">
        <f t="shared" si="56"/>
        <v/>
      </c>
      <c r="BA145" s="18">
        <v>75.05</v>
      </c>
      <c r="BB145" s="18"/>
      <c r="BC145" s="18">
        <f t="shared" si="57"/>
        <v>75.05</v>
      </c>
      <c r="BD145" s="18"/>
      <c r="BE145" s="18"/>
      <c r="BF145" s="18" t="str">
        <f t="shared" si="58"/>
        <v/>
      </c>
      <c r="BG145" s="18"/>
      <c r="BH145" s="18"/>
      <c r="BI145" s="18" t="str">
        <f t="shared" si="59"/>
        <v/>
      </c>
      <c r="BJ145" s="18"/>
      <c r="BK145" s="18"/>
      <c r="BL145" s="18" t="str">
        <f t="shared" si="60"/>
        <v/>
      </c>
      <c r="BM145" s="18"/>
      <c r="BN145" s="18"/>
      <c r="BO145" s="18" t="str">
        <f t="shared" si="61"/>
        <v/>
      </c>
      <c r="BP145" s="18"/>
      <c r="BQ145" s="18"/>
      <c r="BR145" s="18" t="str">
        <f t="shared" si="62"/>
        <v/>
      </c>
    </row>
    <row r="146" spans="1:70" ht="25.5" x14ac:dyDescent="0.25">
      <c r="A146" s="2" t="s">
        <v>1026</v>
      </c>
      <c r="B146" s="2" t="str">
        <f>VLOOKUP($A146,[2]Projekty!$A$2:$AR$1147,4,0)</f>
        <v>OPKZP-PO1-SC111-2016-11</v>
      </c>
      <c r="C146" s="2" t="str">
        <f>VLOOKUP($A146,[2]Projekty!$A$2:$AR$1147,6,0)</f>
        <v>Obec Vinné</v>
      </c>
      <c r="D146" s="2" t="str">
        <f>VLOOKUP($A146,[2]Projekty!$A$2:$AR$1147,7,0)</f>
        <v>Zberný dvor Vinné - výstavba zariadenia pre zhodnocovanie BRO</v>
      </c>
      <c r="E146" s="2" t="str">
        <f>VLOOKUP($A146,[2]Projekty!$A$2:$AR$1147,9,0)</f>
        <v>KE</v>
      </c>
      <c r="F146" s="2" t="str">
        <f>VLOOKUP($A146,[2]Projekty!$A$2:$AR$1147,14,0)</f>
        <v>Aktivity nezačaté</v>
      </c>
      <c r="G146" s="61">
        <f>VLOOKUP($A146,'[2]Dĺžka realizácie'!$A$2:$AR$1148,8,0)</f>
        <v>43343</v>
      </c>
      <c r="H146" s="18"/>
      <c r="I146" s="18"/>
      <c r="J146" s="18" t="str">
        <f t="shared" si="42"/>
        <v/>
      </c>
      <c r="K146" s="18"/>
      <c r="L146" s="18"/>
      <c r="M146" s="18" t="str">
        <f t="shared" si="43"/>
        <v/>
      </c>
      <c r="N146" s="18"/>
      <c r="O146" s="18"/>
      <c r="P146" s="18" t="str">
        <f t="shared" si="44"/>
        <v/>
      </c>
      <c r="Q146" s="18"/>
      <c r="R146" s="18"/>
      <c r="S146" s="18" t="str">
        <f t="shared" si="45"/>
        <v/>
      </c>
      <c r="T146" s="18"/>
      <c r="U146" s="18"/>
      <c r="V146" s="18" t="str">
        <f t="shared" si="46"/>
        <v/>
      </c>
      <c r="W146" s="18">
        <v>99.5</v>
      </c>
      <c r="X146" s="18"/>
      <c r="Y146" s="18">
        <f t="shared" si="47"/>
        <v>99.5</v>
      </c>
      <c r="Z146" s="18"/>
      <c r="AA146" s="18"/>
      <c r="AB146" s="18" t="str">
        <f t="shared" si="48"/>
        <v/>
      </c>
      <c r="AC146" s="18"/>
      <c r="AD146" s="18"/>
      <c r="AE146" s="18" t="str">
        <f t="shared" si="49"/>
        <v/>
      </c>
      <c r="AF146" s="18"/>
      <c r="AG146" s="18"/>
      <c r="AH146" s="18" t="str">
        <f t="shared" si="50"/>
        <v/>
      </c>
      <c r="AI146" s="18"/>
      <c r="AJ146" s="18"/>
      <c r="AK146" s="18" t="str">
        <f t="shared" si="51"/>
        <v/>
      </c>
      <c r="AL146" s="18"/>
      <c r="AM146" s="18"/>
      <c r="AN146" s="18" t="str">
        <f t="shared" si="52"/>
        <v/>
      </c>
      <c r="AO146" s="18"/>
      <c r="AP146" s="18"/>
      <c r="AQ146" s="18" t="str">
        <f t="shared" si="53"/>
        <v/>
      </c>
      <c r="AR146" s="18"/>
      <c r="AS146" s="18"/>
      <c r="AT146" s="18" t="str">
        <f t="shared" si="54"/>
        <v/>
      </c>
      <c r="AU146" s="18"/>
      <c r="AV146" s="18"/>
      <c r="AW146" s="18" t="str">
        <f t="shared" si="55"/>
        <v/>
      </c>
      <c r="AX146" s="18"/>
      <c r="AY146" s="18"/>
      <c r="AZ146" s="18" t="str">
        <f t="shared" si="56"/>
        <v/>
      </c>
      <c r="BA146" s="18"/>
      <c r="BB146" s="18"/>
      <c r="BC146" s="18" t="str">
        <f t="shared" si="57"/>
        <v/>
      </c>
      <c r="BD146" s="18">
        <v>99.5</v>
      </c>
      <c r="BE146" s="18"/>
      <c r="BF146" s="18">
        <f t="shared" si="58"/>
        <v>99.5</v>
      </c>
      <c r="BG146" s="18"/>
      <c r="BH146" s="18"/>
      <c r="BI146" s="18" t="str">
        <f t="shared" si="59"/>
        <v/>
      </c>
      <c r="BJ146" s="18"/>
      <c r="BK146" s="18"/>
      <c r="BL146" s="18" t="str">
        <f t="shared" si="60"/>
        <v/>
      </c>
      <c r="BM146" s="18"/>
      <c r="BN146" s="18"/>
      <c r="BO146" s="18" t="str">
        <f t="shared" si="61"/>
        <v/>
      </c>
      <c r="BP146" s="18"/>
      <c r="BQ146" s="18"/>
      <c r="BR146" s="18" t="str">
        <f t="shared" si="62"/>
        <v/>
      </c>
    </row>
    <row r="147" spans="1:70" ht="25.5" x14ac:dyDescent="0.25">
      <c r="A147" s="2" t="s">
        <v>1031</v>
      </c>
      <c r="B147" s="2" t="str">
        <f>VLOOKUP($A147,[2]Projekty!$A$2:$AR$1147,4,0)</f>
        <v>OPKZP-PO1-SC111-2016-11</v>
      </c>
      <c r="C147" s="2" t="str">
        <f>VLOOKUP($A147,[2]Projekty!$A$2:$AR$1147,6,0)</f>
        <v>VEPOS, spol. s.r.o.</v>
      </c>
      <c r="D147" s="2" t="str">
        <f>VLOOKUP($A147,[2]Projekty!$A$2:$AR$1147,7,0)</f>
        <v>Rozšírenie zberu BRO pre mesto Vráble</v>
      </c>
      <c r="E147" s="2" t="str">
        <f>VLOOKUP($A147,[2]Projekty!$A$2:$AR$1147,9,0)</f>
        <v>NR</v>
      </c>
      <c r="F147" s="2" t="str">
        <f>VLOOKUP($A147,[2]Projekty!$A$2:$AR$1147,14,0)</f>
        <v>Aktivity nezačaté</v>
      </c>
      <c r="G147" s="61">
        <f>VLOOKUP($A147,'[2]Dĺžka realizácie'!$A$2:$AR$1148,8,0)</f>
        <v>43404</v>
      </c>
      <c r="H147" s="18"/>
      <c r="I147" s="18"/>
      <c r="J147" s="18" t="str">
        <f t="shared" si="42"/>
        <v/>
      </c>
      <c r="K147" s="18"/>
      <c r="L147" s="18"/>
      <c r="M147" s="18" t="str">
        <f t="shared" si="43"/>
        <v/>
      </c>
      <c r="N147" s="18"/>
      <c r="O147" s="18"/>
      <c r="P147" s="18" t="str">
        <f t="shared" si="44"/>
        <v/>
      </c>
      <c r="Q147" s="18"/>
      <c r="R147" s="18"/>
      <c r="S147" s="18" t="str">
        <f t="shared" si="45"/>
        <v/>
      </c>
      <c r="T147" s="18">
        <v>824</v>
      </c>
      <c r="U147" s="18"/>
      <c r="V147" s="18">
        <f t="shared" si="46"/>
        <v>824</v>
      </c>
      <c r="W147" s="18"/>
      <c r="X147" s="18"/>
      <c r="Y147" s="18" t="str">
        <f t="shared" si="47"/>
        <v/>
      </c>
      <c r="Z147" s="18"/>
      <c r="AA147" s="18"/>
      <c r="AB147" s="18" t="str">
        <f t="shared" si="48"/>
        <v/>
      </c>
      <c r="AC147" s="18"/>
      <c r="AD147" s="18"/>
      <c r="AE147" s="18" t="str">
        <f t="shared" si="49"/>
        <v/>
      </c>
      <c r="AF147" s="18"/>
      <c r="AG147" s="18"/>
      <c r="AH147" s="18" t="str">
        <f t="shared" si="50"/>
        <v/>
      </c>
      <c r="AI147" s="18"/>
      <c r="AJ147" s="18"/>
      <c r="AK147" s="18" t="str">
        <f t="shared" si="51"/>
        <v/>
      </c>
      <c r="AL147" s="18"/>
      <c r="AM147" s="18"/>
      <c r="AN147" s="18" t="str">
        <f t="shared" si="52"/>
        <v/>
      </c>
      <c r="AO147" s="18"/>
      <c r="AP147" s="18"/>
      <c r="AQ147" s="18" t="str">
        <f t="shared" si="53"/>
        <v/>
      </c>
      <c r="AR147" s="18"/>
      <c r="AS147" s="18"/>
      <c r="AT147" s="18" t="str">
        <f t="shared" si="54"/>
        <v/>
      </c>
      <c r="AU147" s="18"/>
      <c r="AV147" s="18"/>
      <c r="AW147" s="18" t="str">
        <f t="shared" si="55"/>
        <v/>
      </c>
      <c r="AX147" s="18"/>
      <c r="AY147" s="18"/>
      <c r="AZ147" s="18" t="str">
        <f t="shared" si="56"/>
        <v/>
      </c>
      <c r="BA147" s="18">
        <v>824</v>
      </c>
      <c r="BB147" s="18"/>
      <c r="BC147" s="18">
        <f t="shared" si="57"/>
        <v>824</v>
      </c>
      <c r="BD147" s="18"/>
      <c r="BE147" s="18"/>
      <c r="BF147" s="18" t="str">
        <f t="shared" si="58"/>
        <v/>
      </c>
      <c r="BG147" s="18"/>
      <c r="BH147" s="18"/>
      <c r="BI147" s="18" t="str">
        <f t="shared" si="59"/>
        <v/>
      </c>
      <c r="BJ147" s="18"/>
      <c r="BK147" s="18"/>
      <c r="BL147" s="18" t="str">
        <f t="shared" si="60"/>
        <v/>
      </c>
      <c r="BM147" s="18"/>
      <c r="BN147" s="18"/>
      <c r="BO147" s="18" t="str">
        <f t="shared" si="61"/>
        <v/>
      </c>
      <c r="BP147" s="18"/>
      <c r="BQ147" s="18"/>
      <c r="BR147" s="18" t="str">
        <f t="shared" si="62"/>
        <v/>
      </c>
    </row>
    <row r="148" spans="1:70" ht="25.5" x14ac:dyDescent="0.25">
      <c r="A148" s="2" t="s">
        <v>822</v>
      </c>
      <c r="B148" s="2" t="str">
        <f>VLOOKUP($A148,[2]Projekty!$A$2:$AR$1147,4,0)</f>
        <v>OPKZP-PO1-SC111-2016-10</v>
      </c>
      <c r="C148" s="2" t="str">
        <f>VLOOKUP($A148,[2]Projekty!$A$2:$AR$1147,6,0)</f>
        <v>Obec Ipeľské Predmostie</v>
      </c>
      <c r="D148" s="2" t="str">
        <f>VLOOKUP($A148,[2]Projekty!$A$2:$AR$1147,7,0)</f>
        <v>Zefektívnenie triedeného zberu v obci Ipeľské Predmostie</v>
      </c>
      <c r="E148" s="2" t="str">
        <f>VLOOKUP($A148,[2]Projekty!$A$2:$AR$1147,9,0)</f>
        <v>BB</v>
      </c>
      <c r="F148" s="2" t="str">
        <f>VLOOKUP($A148,[2]Projekty!$A$2:$AR$1147,14,0)</f>
        <v>Realizácia</v>
      </c>
      <c r="G148" s="110">
        <f>VLOOKUP($A148,'[2]Dĺžka realizácie'!$A$2:$AR$1148,8,0)</f>
        <v>43159</v>
      </c>
      <c r="H148" s="18"/>
      <c r="I148" s="18"/>
      <c r="J148" s="18" t="str">
        <f t="shared" si="42"/>
        <v/>
      </c>
      <c r="K148" s="18"/>
      <c r="L148" s="18"/>
      <c r="M148" s="18" t="str">
        <f t="shared" si="43"/>
        <v/>
      </c>
      <c r="N148" s="18"/>
      <c r="O148" s="18"/>
      <c r="P148" s="18" t="str">
        <f t="shared" si="44"/>
        <v/>
      </c>
      <c r="Q148" s="18"/>
      <c r="R148" s="18"/>
      <c r="S148" s="18" t="str">
        <f t="shared" si="45"/>
        <v/>
      </c>
      <c r="T148" s="18">
        <v>78.62</v>
      </c>
      <c r="U148" s="18"/>
      <c r="V148" s="18">
        <f t="shared" si="46"/>
        <v>78.62</v>
      </c>
      <c r="W148" s="18"/>
      <c r="X148" s="18"/>
      <c r="Y148" s="18" t="str">
        <f t="shared" si="47"/>
        <v/>
      </c>
      <c r="Z148" s="18"/>
      <c r="AA148" s="18"/>
      <c r="AB148" s="18" t="str">
        <f t="shared" si="48"/>
        <v/>
      </c>
      <c r="AC148" s="18"/>
      <c r="AD148" s="18"/>
      <c r="AE148" s="18" t="str">
        <f t="shared" si="49"/>
        <v/>
      </c>
      <c r="AF148" s="18"/>
      <c r="AG148" s="18"/>
      <c r="AH148" s="18" t="str">
        <f t="shared" si="50"/>
        <v/>
      </c>
      <c r="AI148" s="18"/>
      <c r="AJ148" s="18"/>
      <c r="AK148" s="18" t="str">
        <f t="shared" si="51"/>
        <v/>
      </c>
      <c r="AL148" s="18"/>
      <c r="AM148" s="18"/>
      <c r="AN148" s="18" t="str">
        <f t="shared" si="52"/>
        <v/>
      </c>
      <c r="AO148" s="18"/>
      <c r="AP148" s="18"/>
      <c r="AQ148" s="18" t="str">
        <f t="shared" si="53"/>
        <v/>
      </c>
      <c r="AR148" s="18"/>
      <c r="AS148" s="18"/>
      <c r="AT148" s="18" t="str">
        <f t="shared" si="54"/>
        <v/>
      </c>
      <c r="AU148" s="18"/>
      <c r="AV148" s="18"/>
      <c r="AW148" s="18" t="str">
        <f t="shared" si="55"/>
        <v/>
      </c>
      <c r="AX148" s="18"/>
      <c r="AY148" s="18"/>
      <c r="AZ148" s="18" t="str">
        <f t="shared" si="56"/>
        <v/>
      </c>
      <c r="BA148" s="18">
        <v>78.62</v>
      </c>
      <c r="BB148" s="111"/>
      <c r="BC148" s="18">
        <f t="shared" si="57"/>
        <v>78.62</v>
      </c>
      <c r="BD148" s="18"/>
      <c r="BE148" s="18"/>
      <c r="BF148" s="18" t="str">
        <f t="shared" si="58"/>
        <v/>
      </c>
      <c r="BG148" s="18"/>
      <c r="BH148" s="18"/>
      <c r="BI148" s="18" t="str">
        <f t="shared" si="59"/>
        <v/>
      </c>
      <c r="BJ148" s="18"/>
      <c r="BK148" s="18"/>
      <c r="BL148" s="18" t="str">
        <f t="shared" si="60"/>
        <v/>
      </c>
      <c r="BM148" s="18"/>
      <c r="BN148" s="18"/>
      <c r="BO148" s="18" t="str">
        <f t="shared" si="61"/>
        <v/>
      </c>
      <c r="BP148" s="18"/>
      <c r="BQ148" s="18"/>
      <c r="BR148" s="18" t="str">
        <f t="shared" si="62"/>
        <v/>
      </c>
    </row>
    <row r="149" spans="1:70" x14ac:dyDescent="0.25">
      <c r="A149" s="2" t="s">
        <v>823</v>
      </c>
      <c r="B149" s="2" t="str">
        <f>VLOOKUP($A149,[2]Projekty!$A$2:$AR$1147,4,0)</f>
        <v>OPKZP-PO1-SC111-2016-10</v>
      </c>
      <c r="C149" s="2" t="str">
        <f>VLOOKUP($A149,[2]Projekty!$A$2:$AR$1147,6,0)</f>
        <v>Obec Lula</v>
      </c>
      <c r="D149" s="2" t="str">
        <f>VLOOKUP($A149,[2]Projekty!$A$2:$AR$1147,7,0)</f>
        <v>Zberný dvor - Lula</v>
      </c>
      <c r="E149" s="2" t="str">
        <f>VLOOKUP($A149,[2]Projekty!$A$2:$AR$1147,9,0)</f>
        <v>NR</v>
      </c>
      <c r="F149" s="2" t="str">
        <f>VLOOKUP($A149,[2]Projekty!$A$2:$AR$1147,14,0)</f>
        <v>Realizácia</v>
      </c>
      <c r="G149" s="61">
        <f>VLOOKUP($A149,'[2]Dĺžka realizácie'!$A$2:$AR$1148,8,0)</f>
        <v>43465</v>
      </c>
      <c r="H149" s="18"/>
      <c r="I149" s="18"/>
      <c r="J149" s="18" t="str">
        <f t="shared" si="42"/>
        <v/>
      </c>
      <c r="K149" s="18"/>
      <c r="L149" s="18"/>
      <c r="M149" s="18" t="str">
        <f t="shared" si="43"/>
        <v/>
      </c>
      <c r="N149" s="18"/>
      <c r="O149" s="18"/>
      <c r="P149" s="18" t="str">
        <f t="shared" si="44"/>
        <v/>
      </c>
      <c r="Q149" s="18"/>
      <c r="R149" s="18"/>
      <c r="S149" s="18" t="str">
        <f t="shared" si="45"/>
        <v/>
      </c>
      <c r="T149" s="18">
        <v>40</v>
      </c>
      <c r="U149" s="18"/>
      <c r="V149" s="18">
        <f t="shared" si="46"/>
        <v>40</v>
      </c>
      <c r="W149" s="18"/>
      <c r="X149" s="18"/>
      <c r="Y149" s="18" t="str">
        <f t="shared" si="47"/>
        <v/>
      </c>
      <c r="Z149" s="18"/>
      <c r="AA149" s="18"/>
      <c r="AB149" s="18" t="str">
        <f t="shared" si="48"/>
        <v/>
      </c>
      <c r="AC149" s="18"/>
      <c r="AD149" s="18"/>
      <c r="AE149" s="18" t="str">
        <f t="shared" si="49"/>
        <v/>
      </c>
      <c r="AF149" s="18"/>
      <c r="AG149" s="18"/>
      <c r="AH149" s="18" t="str">
        <f t="shared" si="50"/>
        <v/>
      </c>
      <c r="AI149" s="18"/>
      <c r="AJ149" s="18"/>
      <c r="AK149" s="18" t="str">
        <f t="shared" si="51"/>
        <v/>
      </c>
      <c r="AL149" s="18"/>
      <c r="AM149" s="18"/>
      <c r="AN149" s="18" t="str">
        <f t="shared" si="52"/>
        <v/>
      </c>
      <c r="AO149" s="18"/>
      <c r="AP149" s="18"/>
      <c r="AQ149" s="18" t="str">
        <f t="shared" si="53"/>
        <v/>
      </c>
      <c r="AR149" s="18"/>
      <c r="AS149" s="18"/>
      <c r="AT149" s="18" t="str">
        <f t="shared" si="54"/>
        <v/>
      </c>
      <c r="AU149" s="18"/>
      <c r="AV149" s="18"/>
      <c r="AW149" s="18" t="str">
        <f t="shared" si="55"/>
        <v/>
      </c>
      <c r="AX149" s="18"/>
      <c r="AY149" s="18"/>
      <c r="AZ149" s="18" t="str">
        <f t="shared" si="56"/>
        <v/>
      </c>
      <c r="BA149" s="18">
        <v>40</v>
      </c>
      <c r="BB149" s="18"/>
      <c r="BC149" s="18">
        <f t="shared" si="57"/>
        <v>40</v>
      </c>
      <c r="BD149" s="18"/>
      <c r="BE149" s="18"/>
      <c r="BF149" s="18" t="str">
        <f t="shared" si="58"/>
        <v/>
      </c>
      <c r="BG149" s="18"/>
      <c r="BH149" s="18"/>
      <c r="BI149" s="18" t="str">
        <f t="shared" si="59"/>
        <v/>
      </c>
      <c r="BJ149" s="18"/>
      <c r="BK149" s="18"/>
      <c r="BL149" s="18" t="str">
        <f t="shared" si="60"/>
        <v/>
      </c>
      <c r="BM149" s="18"/>
      <c r="BN149" s="18"/>
      <c r="BO149" s="18" t="str">
        <f t="shared" si="61"/>
        <v/>
      </c>
      <c r="BP149" s="18"/>
      <c r="BQ149" s="18"/>
      <c r="BR149" s="18" t="str">
        <f t="shared" si="62"/>
        <v/>
      </c>
    </row>
    <row r="150" spans="1:70" ht="25.5" x14ac:dyDescent="0.25">
      <c r="A150" s="2" t="s">
        <v>834</v>
      </c>
      <c r="B150" s="2" t="str">
        <f>VLOOKUP($A150,[2]Projekty!$A$2:$AR$1147,4,0)</f>
        <v>OPKZP-PO1-SC111-2016-10</v>
      </c>
      <c r="C150" s="2" t="str">
        <f>VLOOKUP($A150,[2]Projekty!$A$2:$AR$1147,6,0)</f>
        <v>Obec Valaliky</v>
      </c>
      <c r="D150" s="2" t="str">
        <f>VLOOKUP($A150,[2]Projekty!$A$2:$AR$1147,7,0)</f>
        <v>Podpora triedeného zberu komunálnych odpadov v obci Valaliky</v>
      </c>
      <c r="E150" s="2" t="str">
        <f>VLOOKUP($A150,[2]Projekty!$A$2:$AR$1147,9,0)</f>
        <v>KE</v>
      </c>
      <c r="F150" s="2" t="str">
        <f>VLOOKUP($A150,[2]Projekty!$A$2:$AR$1147,14,0)</f>
        <v>Realizácia</v>
      </c>
      <c r="G150" s="61">
        <f>VLOOKUP($A150,'[2]Dĺžka realizácie'!$A$2:$AR$1148,8,0)</f>
        <v>43190</v>
      </c>
      <c r="H150" s="18"/>
      <c r="I150" s="18"/>
      <c r="J150" s="18" t="str">
        <f t="shared" si="42"/>
        <v/>
      </c>
      <c r="K150" s="18"/>
      <c r="L150" s="18"/>
      <c r="M150" s="18" t="str">
        <f t="shared" si="43"/>
        <v/>
      </c>
      <c r="N150" s="18"/>
      <c r="O150" s="18"/>
      <c r="P150" s="18" t="str">
        <f t="shared" si="44"/>
        <v/>
      </c>
      <c r="Q150" s="18"/>
      <c r="R150" s="18"/>
      <c r="S150" s="18" t="str">
        <f t="shared" si="45"/>
        <v/>
      </c>
      <c r="T150" s="18">
        <v>330</v>
      </c>
      <c r="U150" s="18"/>
      <c r="V150" s="18">
        <f t="shared" si="46"/>
        <v>330</v>
      </c>
      <c r="W150" s="18"/>
      <c r="X150" s="18"/>
      <c r="Y150" s="18" t="str">
        <f t="shared" si="47"/>
        <v/>
      </c>
      <c r="Z150" s="18"/>
      <c r="AA150" s="18"/>
      <c r="AB150" s="18" t="str">
        <f t="shared" si="48"/>
        <v/>
      </c>
      <c r="AC150" s="18"/>
      <c r="AD150" s="18"/>
      <c r="AE150" s="18" t="str">
        <f t="shared" si="49"/>
        <v/>
      </c>
      <c r="AF150" s="18"/>
      <c r="AG150" s="18"/>
      <c r="AH150" s="18" t="str">
        <f t="shared" si="50"/>
        <v/>
      </c>
      <c r="AI150" s="18"/>
      <c r="AJ150" s="18"/>
      <c r="AK150" s="18" t="str">
        <f t="shared" si="51"/>
        <v/>
      </c>
      <c r="AL150" s="18"/>
      <c r="AM150" s="18"/>
      <c r="AN150" s="18" t="str">
        <f t="shared" si="52"/>
        <v/>
      </c>
      <c r="AO150" s="18"/>
      <c r="AP150" s="18"/>
      <c r="AQ150" s="18" t="str">
        <f t="shared" si="53"/>
        <v/>
      </c>
      <c r="AR150" s="18"/>
      <c r="AS150" s="18"/>
      <c r="AT150" s="18" t="str">
        <f t="shared" si="54"/>
        <v/>
      </c>
      <c r="AU150" s="18"/>
      <c r="AV150" s="18"/>
      <c r="AW150" s="18" t="str">
        <f t="shared" si="55"/>
        <v/>
      </c>
      <c r="AX150" s="18"/>
      <c r="AY150" s="18"/>
      <c r="AZ150" s="18" t="str">
        <f t="shared" si="56"/>
        <v/>
      </c>
      <c r="BA150" s="18">
        <v>330</v>
      </c>
      <c r="BB150" s="18"/>
      <c r="BC150" s="18">
        <f t="shared" si="57"/>
        <v>330</v>
      </c>
      <c r="BD150" s="18"/>
      <c r="BE150" s="18"/>
      <c r="BF150" s="18" t="str">
        <f t="shared" si="58"/>
        <v/>
      </c>
      <c r="BG150" s="18"/>
      <c r="BH150" s="18"/>
      <c r="BI150" s="18" t="str">
        <f t="shared" si="59"/>
        <v/>
      </c>
      <c r="BJ150" s="18"/>
      <c r="BK150" s="18"/>
      <c r="BL150" s="18" t="str">
        <f t="shared" si="60"/>
        <v/>
      </c>
      <c r="BM150" s="18"/>
      <c r="BN150" s="18"/>
      <c r="BO150" s="18" t="str">
        <f t="shared" si="61"/>
        <v/>
      </c>
      <c r="BP150" s="18"/>
      <c r="BQ150" s="18"/>
      <c r="BR150" s="18" t="str">
        <f t="shared" si="62"/>
        <v/>
      </c>
    </row>
    <row r="151" spans="1:70" ht="25.5" x14ac:dyDescent="0.25">
      <c r="A151" s="2" t="s">
        <v>1016</v>
      </c>
      <c r="B151" s="2" t="str">
        <f>VLOOKUP($A151,[2]Projekty!$A$2:$AR$1147,4,0)</f>
        <v>OPKZP-PO1-SC111-2016-11</v>
      </c>
      <c r="C151" s="2" t="str">
        <f>VLOOKUP($A151,[2]Projekty!$A$2:$AR$1147,6,0)</f>
        <v>Obec Oslany</v>
      </c>
      <c r="D151" s="2" t="str">
        <f>VLOOKUP($A151,[2]Projekty!$A$2:$AR$1147,7,0)</f>
        <v>Zhodnotenie biologicky rozložiteľného odpadu v obci Oslany, Oslany, p.č. 1419/2</v>
      </c>
      <c r="E151" s="2" t="str">
        <f>VLOOKUP($A151,[2]Projekty!$A$2:$AR$1147,9,0)</f>
        <v>TN</v>
      </c>
      <c r="F151" s="2" t="str">
        <f>VLOOKUP($A151,[2]Projekty!$A$2:$AR$1147,14,0)</f>
        <v>Realizácia</v>
      </c>
      <c r="G151" s="61">
        <f>VLOOKUP($A151,'[2]Dĺžka realizácie'!$A$2:$AR$1148,8,0)</f>
        <v>43190</v>
      </c>
      <c r="H151" s="18"/>
      <c r="I151" s="18"/>
      <c r="J151" s="18" t="str">
        <f t="shared" si="42"/>
        <v/>
      </c>
      <c r="K151" s="18"/>
      <c r="L151" s="18"/>
      <c r="M151" s="18" t="str">
        <f t="shared" si="43"/>
        <v/>
      </c>
      <c r="N151" s="18"/>
      <c r="O151" s="18"/>
      <c r="P151" s="18" t="str">
        <f t="shared" si="44"/>
        <v/>
      </c>
      <c r="Q151" s="18"/>
      <c r="R151" s="18"/>
      <c r="S151" s="18" t="str">
        <f t="shared" si="45"/>
        <v/>
      </c>
      <c r="T151" s="18"/>
      <c r="U151" s="18"/>
      <c r="V151" s="18" t="str">
        <f t="shared" si="46"/>
        <v/>
      </c>
      <c r="W151" s="18">
        <v>100</v>
      </c>
      <c r="X151" s="18"/>
      <c r="Y151" s="18">
        <f t="shared" si="47"/>
        <v>100</v>
      </c>
      <c r="Z151" s="18"/>
      <c r="AA151" s="18"/>
      <c r="AB151" s="18" t="str">
        <f t="shared" si="48"/>
        <v/>
      </c>
      <c r="AC151" s="18"/>
      <c r="AD151" s="18"/>
      <c r="AE151" s="18" t="str">
        <f t="shared" si="49"/>
        <v/>
      </c>
      <c r="AF151" s="18"/>
      <c r="AG151" s="18"/>
      <c r="AH151" s="18" t="str">
        <f t="shared" si="50"/>
        <v/>
      </c>
      <c r="AI151" s="18"/>
      <c r="AJ151" s="18"/>
      <c r="AK151" s="18" t="str">
        <f t="shared" si="51"/>
        <v/>
      </c>
      <c r="AL151" s="18"/>
      <c r="AM151" s="18"/>
      <c r="AN151" s="18" t="str">
        <f t="shared" si="52"/>
        <v/>
      </c>
      <c r="AO151" s="18"/>
      <c r="AP151" s="18"/>
      <c r="AQ151" s="18" t="str">
        <f t="shared" si="53"/>
        <v/>
      </c>
      <c r="AR151" s="18"/>
      <c r="AS151" s="18"/>
      <c r="AT151" s="18" t="str">
        <f t="shared" si="54"/>
        <v/>
      </c>
      <c r="AU151" s="18"/>
      <c r="AV151" s="18"/>
      <c r="AW151" s="18" t="str">
        <f t="shared" si="55"/>
        <v/>
      </c>
      <c r="AX151" s="18"/>
      <c r="AY151" s="18"/>
      <c r="AZ151" s="18" t="str">
        <f t="shared" si="56"/>
        <v/>
      </c>
      <c r="BA151" s="18"/>
      <c r="BB151" s="18"/>
      <c r="BC151" s="18" t="str">
        <f t="shared" si="57"/>
        <v/>
      </c>
      <c r="BD151" s="18">
        <v>100</v>
      </c>
      <c r="BE151" s="18"/>
      <c r="BF151" s="18">
        <f t="shared" si="58"/>
        <v>100</v>
      </c>
      <c r="BG151" s="18"/>
      <c r="BH151" s="18"/>
      <c r="BI151" s="18" t="str">
        <f t="shared" si="59"/>
        <v/>
      </c>
      <c r="BJ151" s="18"/>
      <c r="BK151" s="18"/>
      <c r="BL151" s="18" t="str">
        <f t="shared" si="60"/>
        <v/>
      </c>
      <c r="BM151" s="18"/>
      <c r="BN151" s="18"/>
      <c r="BO151" s="18" t="str">
        <f t="shared" si="61"/>
        <v/>
      </c>
      <c r="BP151" s="18"/>
      <c r="BQ151" s="18"/>
      <c r="BR151" s="18" t="str">
        <f t="shared" si="62"/>
        <v/>
      </c>
    </row>
    <row r="152" spans="1:70" x14ac:dyDescent="0.25">
      <c r="A152" s="2" t="s">
        <v>1017</v>
      </c>
      <c r="B152" s="2" t="str">
        <f>VLOOKUP($A152,[2]Projekty!$A$2:$AR$1147,4,0)</f>
        <v>OPKZP-PO1-SC111-2016-11</v>
      </c>
      <c r="C152" s="2" t="str">
        <f>VLOOKUP($A152,[2]Projekty!$A$2:$AR$1147,6,0)</f>
        <v>Mesto Tisovec</v>
      </c>
      <c r="D152" s="2" t="str">
        <f>VLOOKUP($A152,[2]Projekty!$A$2:$AR$1147,7,0)</f>
        <v>Mestská kompostáreň Rudov dvor</v>
      </c>
      <c r="E152" s="2" t="str">
        <f>VLOOKUP($A152,[2]Projekty!$A$2:$AR$1147,9,0)</f>
        <v>BB</v>
      </c>
      <c r="F152" s="2" t="str">
        <f>VLOOKUP($A152,[2]Projekty!$A$2:$AR$1147,14,0)</f>
        <v>Realizácia</v>
      </c>
      <c r="G152" s="61">
        <f>VLOOKUP($A152,'[2]Dĺžka realizácie'!$A$2:$AR$1148,8,0)</f>
        <v>43251</v>
      </c>
      <c r="H152" s="18"/>
      <c r="I152" s="18"/>
      <c r="J152" s="18" t="str">
        <f t="shared" si="42"/>
        <v/>
      </c>
      <c r="K152" s="18"/>
      <c r="L152" s="18"/>
      <c r="M152" s="18" t="str">
        <f t="shared" si="43"/>
        <v/>
      </c>
      <c r="N152" s="18"/>
      <c r="O152" s="18"/>
      <c r="P152" s="18" t="str">
        <f t="shared" si="44"/>
        <v/>
      </c>
      <c r="Q152" s="18"/>
      <c r="R152" s="18"/>
      <c r="S152" s="18" t="str">
        <f t="shared" si="45"/>
        <v/>
      </c>
      <c r="T152" s="18"/>
      <c r="U152" s="18"/>
      <c r="V152" s="18" t="str">
        <f t="shared" si="46"/>
        <v/>
      </c>
      <c r="W152" s="18">
        <v>500</v>
      </c>
      <c r="X152" s="18"/>
      <c r="Y152" s="18">
        <f t="shared" si="47"/>
        <v>500</v>
      </c>
      <c r="Z152" s="18"/>
      <c r="AA152" s="18"/>
      <c r="AB152" s="18" t="str">
        <f t="shared" si="48"/>
        <v/>
      </c>
      <c r="AC152" s="18"/>
      <c r="AD152" s="18"/>
      <c r="AE152" s="18" t="str">
        <f t="shared" si="49"/>
        <v/>
      </c>
      <c r="AF152" s="18"/>
      <c r="AG152" s="18"/>
      <c r="AH152" s="18" t="str">
        <f t="shared" si="50"/>
        <v/>
      </c>
      <c r="AI152" s="18"/>
      <c r="AJ152" s="18"/>
      <c r="AK152" s="18" t="str">
        <f t="shared" si="51"/>
        <v/>
      </c>
      <c r="AL152" s="18"/>
      <c r="AM152" s="18"/>
      <c r="AN152" s="18" t="str">
        <f t="shared" si="52"/>
        <v/>
      </c>
      <c r="AO152" s="18"/>
      <c r="AP152" s="18"/>
      <c r="AQ152" s="18" t="str">
        <f t="shared" si="53"/>
        <v/>
      </c>
      <c r="AR152" s="18"/>
      <c r="AS152" s="18"/>
      <c r="AT152" s="18" t="str">
        <f t="shared" si="54"/>
        <v/>
      </c>
      <c r="AU152" s="18"/>
      <c r="AV152" s="18"/>
      <c r="AW152" s="18" t="str">
        <f t="shared" si="55"/>
        <v/>
      </c>
      <c r="AX152" s="18"/>
      <c r="AY152" s="18"/>
      <c r="AZ152" s="18" t="str">
        <f t="shared" si="56"/>
        <v/>
      </c>
      <c r="BA152" s="18"/>
      <c r="BB152" s="18"/>
      <c r="BC152" s="18" t="str">
        <f t="shared" si="57"/>
        <v/>
      </c>
      <c r="BD152" s="18">
        <v>500</v>
      </c>
      <c r="BE152" s="18"/>
      <c r="BF152" s="18">
        <f t="shared" si="58"/>
        <v>500</v>
      </c>
      <c r="BG152" s="18"/>
      <c r="BH152" s="18"/>
      <c r="BI152" s="18" t="str">
        <f t="shared" si="59"/>
        <v/>
      </c>
      <c r="BJ152" s="18"/>
      <c r="BK152" s="18"/>
      <c r="BL152" s="18" t="str">
        <f t="shared" si="60"/>
        <v/>
      </c>
      <c r="BM152" s="18"/>
      <c r="BN152" s="18"/>
      <c r="BO152" s="18" t="str">
        <f t="shared" si="61"/>
        <v/>
      </c>
      <c r="BP152" s="18"/>
      <c r="BQ152" s="18"/>
      <c r="BR152" s="18" t="str">
        <f t="shared" si="62"/>
        <v/>
      </c>
    </row>
    <row r="153" spans="1:70" ht="38.25" x14ac:dyDescent="0.25">
      <c r="A153" s="2" t="s">
        <v>1027</v>
      </c>
      <c r="B153" s="2" t="str">
        <f>VLOOKUP($A153,[2]Projekty!$A$2:$AR$1147,4,0)</f>
        <v>OPKZP-PO1-SC111-2016-11</v>
      </c>
      <c r="C153" s="2" t="str">
        <f>VLOOKUP($A153,[2]Projekty!$A$2:$AR$1147,6,0)</f>
        <v>Obec Dolné Saliby</v>
      </c>
      <c r="D153" s="2" t="str">
        <f>VLOOKUP($A153,[2]Projekty!$A$2:$AR$1147,7,0)</f>
        <v>Kompostáreň pre zhodnocovanie biologicky rozložiteľného komunálneho odpadu v obci Dolné Saliby</v>
      </c>
      <c r="E153" s="2" t="str">
        <f>VLOOKUP($A153,[2]Projekty!$A$2:$AR$1147,9,0)</f>
        <v>TT</v>
      </c>
      <c r="F153" s="2" t="str">
        <f>VLOOKUP($A153,[2]Projekty!$A$2:$AR$1147,14,0)</f>
        <v>Realizácia</v>
      </c>
      <c r="G153" s="61">
        <f>VLOOKUP($A153,'[2]Dĺžka realizácie'!$A$2:$AR$1148,8,0)</f>
        <v>43281</v>
      </c>
      <c r="H153" s="18"/>
      <c r="I153" s="18"/>
      <c r="J153" s="18" t="str">
        <f t="shared" si="42"/>
        <v/>
      </c>
      <c r="K153" s="18"/>
      <c r="L153" s="18"/>
      <c r="M153" s="18" t="str">
        <f t="shared" si="43"/>
        <v/>
      </c>
      <c r="N153" s="18"/>
      <c r="O153" s="18"/>
      <c r="P153" s="18" t="str">
        <f t="shared" si="44"/>
        <v/>
      </c>
      <c r="Q153" s="18"/>
      <c r="R153" s="18"/>
      <c r="S153" s="18" t="str">
        <f t="shared" si="45"/>
        <v/>
      </c>
      <c r="T153" s="18"/>
      <c r="U153" s="18"/>
      <c r="V153" s="18" t="str">
        <f t="shared" si="46"/>
        <v/>
      </c>
      <c r="W153" s="18">
        <v>100</v>
      </c>
      <c r="X153" s="18"/>
      <c r="Y153" s="18">
        <f t="shared" si="47"/>
        <v>100</v>
      </c>
      <c r="Z153" s="18"/>
      <c r="AA153" s="18"/>
      <c r="AB153" s="18" t="str">
        <f t="shared" si="48"/>
        <v/>
      </c>
      <c r="AC153" s="18"/>
      <c r="AD153" s="18"/>
      <c r="AE153" s="18" t="str">
        <f t="shared" si="49"/>
        <v/>
      </c>
      <c r="AF153" s="18"/>
      <c r="AG153" s="18"/>
      <c r="AH153" s="18" t="str">
        <f t="shared" si="50"/>
        <v/>
      </c>
      <c r="AI153" s="18"/>
      <c r="AJ153" s="18"/>
      <c r="AK153" s="18" t="str">
        <f t="shared" si="51"/>
        <v/>
      </c>
      <c r="AL153" s="18"/>
      <c r="AM153" s="18"/>
      <c r="AN153" s="18" t="str">
        <f t="shared" si="52"/>
        <v/>
      </c>
      <c r="AO153" s="18"/>
      <c r="AP153" s="18"/>
      <c r="AQ153" s="18" t="str">
        <f t="shared" si="53"/>
        <v/>
      </c>
      <c r="AR153" s="18"/>
      <c r="AS153" s="18"/>
      <c r="AT153" s="18" t="str">
        <f t="shared" si="54"/>
        <v/>
      </c>
      <c r="AU153" s="18"/>
      <c r="AV153" s="18"/>
      <c r="AW153" s="18" t="str">
        <f t="shared" si="55"/>
        <v/>
      </c>
      <c r="AX153" s="18"/>
      <c r="AY153" s="18"/>
      <c r="AZ153" s="18" t="str">
        <f t="shared" si="56"/>
        <v/>
      </c>
      <c r="BA153" s="18"/>
      <c r="BB153" s="18"/>
      <c r="BC153" s="18" t="str">
        <f t="shared" si="57"/>
        <v/>
      </c>
      <c r="BD153" s="18">
        <v>100</v>
      </c>
      <c r="BE153" s="18"/>
      <c r="BF153" s="18">
        <f t="shared" si="58"/>
        <v>100</v>
      </c>
      <c r="BG153" s="18"/>
      <c r="BH153" s="18"/>
      <c r="BI153" s="18" t="str">
        <f t="shared" si="59"/>
        <v/>
      </c>
      <c r="BJ153" s="18"/>
      <c r="BK153" s="18"/>
      <c r="BL153" s="18" t="str">
        <f t="shared" si="60"/>
        <v/>
      </c>
      <c r="BM153" s="18"/>
      <c r="BN153" s="18"/>
      <c r="BO153" s="18" t="str">
        <f t="shared" si="61"/>
        <v/>
      </c>
      <c r="BP153" s="18"/>
      <c r="BQ153" s="18"/>
      <c r="BR153" s="18" t="str">
        <f t="shared" si="62"/>
        <v/>
      </c>
    </row>
    <row r="154" spans="1:70" ht="25.5" x14ac:dyDescent="0.25">
      <c r="A154" s="2" t="s">
        <v>1040</v>
      </c>
      <c r="B154" s="2" t="str">
        <f>VLOOKUP($A154,[2]Projekty!$A$2:$AR$1147,4,0)</f>
        <v>OPKZP-PO1-SC111-2016-11</v>
      </c>
      <c r="C154" s="2" t="str">
        <f>VLOOKUP($A154,[2]Projekty!$A$2:$AR$1147,6,0)</f>
        <v>Obec Jastrabie nad Topľou</v>
      </c>
      <c r="D154" s="2" t="str">
        <f>VLOOKUP($A154,[2]Projekty!$A$2:$AR$1147,7,0)</f>
        <v>Kompostáreň na zhodnocovanie biologicky rozložiteľného odpadu v obci Jastrabie nad Topľou</v>
      </c>
      <c r="E154" s="2" t="str">
        <f>VLOOKUP($A154,[2]Projekty!$A$2:$AR$1147,9,0)</f>
        <v>PO</v>
      </c>
      <c r="F154" s="2" t="str">
        <f>VLOOKUP($A154,[2]Projekty!$A$2:$AR$1147,14,0)</f>
        <v>Aktivity nezačaté</v>
      </c>
      <c r="G154" s="61">
        <f>VLOOKUP($A154,'[2]Dĺžka realizácie'!$A$2:$AR$1148,8,0)</f>
        <v>43131</v>
      </c>
      <c r="H154" s="18"/>
      <c r="I154" s="18"/>
      <c r="J154" s="18" t="str">
        <f t="shared" si="42"/>
        <v/>
      </c>
      <c r="K154" s="18"/>
      <c r="L154" s="18"/>
      <c r="M154" s="18" t="str">
        <f t="shared" si="43"/>
        <v/>
      </c>
      <c r="N154" s="18"/>
      <c r="O154" s="18"/>
      <c r="P154" s="18" t="str">
        <f t="shared" si="44"/>
        <v/>
      </c>
      <c r="Q154" s="18"/>
      <c r="R154" s="18"/>
      <c r="S154" s="18" t="str">
        <f t="shared" si="45"/>
        <v/>
      </c>
      <c r="T154" s="18"/>
      <c r="U154" s="18"/>
      <c r="V154" s="18" t="str">
        <f t="shared" si="46"/>
        <v/>
      </c>
      <c r="W154" s="18">
        <v>62</v>
      </c>
      <c r="X154" s="18"/>
      <c r="Y154" s="18">
        <f t="shared" si="47"/>
        <v>62</v>
      </c>
      <c r="Z154" s="18"/>
      <c r="AA154" s="18"/>
      <c r="AB154" s="18" t="str">
        <f t="shared" si="48"/>
        <v/>
      </c>
      <c r="AC154" s="18"/>
      <c r="AD154" s="18"/>
      <c r="AE154" s="18" t="str">
        <f t="shared" si="49"/>
        <v/>
      </c>
      <c r="AF154" s="18"/>
      <c r="AG154" s="18"/>
      <c r="AH154" s="18" t="str">
        <f t="shared" si="50"/>
        <v/>
      </c>
      <c r="AI154" s="18"/>
      <c r="AJ154" s="18"/>
      <c r="AK154" s="18" t="str">
        <f t="shared" si="51"/>
        <v/>
      </c>
      <c r="AL154" s="18"/>
      <c r="AM154" s="18"/>
      <c r="AN154" s="18" t="str">
        <f t="shared" si="52"/>
        <v/>
      </c>
      <c r="AO154" s="18"/>
      <c r="AP154" s="18"/>
      <c r="AQ154" s="18" t="str">
        <f t="shared" si="53"/>
        <v/>
      </c>
      <c r="AR154" s="18"/>
      <c r="AS154" s="18"/>
      <c r="AT154" s="18" t="str">
        <f t="shared" si="54"/>
        <v/>
      </c>
      <c r="AU154" s="18"/>
      <c r="AV154" s="18"/>
      <c r="AW154" s="18" t="str">
        <f t="shared" si="55"/>
        <v/>
      </c>
      <c r="AX154" s="18"/>
      <c r="AY154" s="18"/>
      <c r="AZ154" s="18" t="str">
        <f t="shared" si="56"/>
        <v/>
      </c>
      <c r="BA154" s="18"/>
      <c r="BB154" s="18"/>
      <c r="BC154" s="18" t="str">
        <f t="shared" si="57"/>
        <v/>
      </c>
      <c r="BD154" s="18">
        <v>100</v>
      </c>
      <c r="BE154" s="18"/>
      <c r="BF154" s="18">
        <f t="shared" si="58"/>
        <v>100</v>
      </c>
      <c r="BG154" s="18"/>
      <c r="BH154" s="18"/>
      <c r="BI154" s="18" t="str">
        <f t="shared" si="59"/>
        <v/>
      </c>
      <c r="BJ154" s="18"/>
      <c r="BK154" s="18"/>
      <c r="BL154" s="18" t="str">
        <f t="shared" si="60"/>
        <v/>
      </c>
      <c r="BM154" s="18"/>
      <c r="BN154" s="18"/>
      <c r="BO154" s="18" t="str">
        <f t="shared" si="61"/>
        <v/>
      </c>
      <c r="BP154" s="18"/>
      <c r="BQ154" s="18"/>
      <c r="BR154" s="18" t="str">
        <f t="shared" si="62"/>
        <v/>
      </c>
    </row>
    <row r="155" spans="1:70" ht="25.5" x14ac:dyDescent="0.25">
      <c r="A155" s="2" t="s">
        <v>1034</v>
      </c>
      <c r="B155" s="2" t="str">
        <f>VLOOKUP($A155,[2]Projekty!$A$2:$AR$1147,4,0)</f>
        <v>OPKZP-PO1-SC111-2016-11</v>
      </c>
      <c r="C155" s="2" t="str">
        <f>VLOOKUP($A155,[2]Projekty!$A$2:$AR$1147,6,0)</f>
        <v>Združenie obcí Kľakovskej doliny</v>
      </c>
      <c r="D155" s="2" t="str">
        <f>VLOOKUP($A155,[2]Projekty!$A$2:$AR$1147,7,0)</f>
        <v>Zhodnocovanie biologicky rozložiteľného komunálneho odpadu v Kľakovskej doline</v>
      </c>
      <c r="E155" s="2" t="str">
        <f>VLOOKUP($A155,[2]Projekty!$A$2:$AR$1147,9,0)</f>
        <v>BB</v>
      </c>
      <c r="F155" s="2" t="str">
        <f>VLOOKUP($A155,[2]Projekty!$A$2:$AR$1147,14,0)</f>
        <v>Aktivity nezačaté</v>
      </c>
      <c r="G155" s="61">
        <f>VLOOKUP($A155,'[2]Dĺžka realizácie'!$A$2:$AR$1148,8,0)</f>
        <v>43220</v>
      </c>
      <c r="H155" s="18"/>
      <c r="I155" s="18"/>
      <c r="J155" s="18" t="str">
        <f t="shared" si="42"/>
        <v/>
      </c>
      <c r="K155" s="18"/>
      <c r="L155" s="18"/>
      <c r="M155" s="18" t="str">
        <f t="shared" si="43"/>
        <v/>
      </c>
      <c r="N155" s="18"/>
      <c r="O155" s="18"/>
      <c r="P155" s="18" t="str">
        <f t="shared" si="44"/>
        <v/>
      </c>
      <c r="Q155" s="18"/>
      <c r="R155" s="18"/>
      <c r="S155" s="18" t="str">
        <f t="shared" si="45"/>
        <v/>
      </c>
      <c r="T155" s="18"/>
      <c r="U155" s="18"/>
      <c r="V155" s="18" t="str">
        <f t="shared" si="46"/>
        <v/>
      </c>
      <c r="W155" s="18">
        <v>475</v>
      </c>
      <c r="X155" s="18"/>
      <c r="Y155" s="18">
        <f t="shared" si="47"/>
        <v>475</v>
      </c>
      <c r="Z155" s="18"/>
      <c r="AA155" s="18"/>
      <c r="AB155" s="18" t="str">
        <f t="shared" si="48"/>
        <v/>
      </c>
      <c r="AC155" s="18"/>
      <c r="AD155" s="18"/>
      <c r="AE155" s="18" t="str">
        <f t="shared" si="49"/>
        <v/>
      </c>
      <c r="AF155" s="18"/>
      <c r="AG155" s="18"/>
      <c r="AH155" s="18" t="str">
        <f t="shared" si="50"/>
        <v/>
      </c>
      <c r="AI155" s="18"/>
      <c r="AJ155" s="18"/>
      <c r="AK155" s="18" t="str">
        <f t="shared" si="51"/>
        <v/>
      </c>
      <c r="AL155" s="18"/>
      <c r="AM155" s="18"/>
      <c r="AN155" s="18" t="str">
        <f t="shared" si="52"/>
        <v/>
      </c>
      <c r="AO155" s="18"/>
      <c r="AP155" s="18"/>
      <c r="AQ155" s="18" t="str">
        <f t="shared" si="53"/>
        <v/>
      </c>
      <c r="AR155" s="18"/>
      <c r="AS155" s="18"/>
      <c r="AT155" s="18" t="str">
        <f t="shared" si="54"/>
        <v/>
      </c>
      <c r="AU155" s="18"/>
      <c r="AV155" s="18"/>
      <c r="AW155" s="18" t="str">
        <f t="shared" si="55"/>
        <v/>
      </c>
      <c r="AX155" s="18"/>
      <c r="AY155" s="18"/>
      <c r="AZ155" s="18" t="str">
        <f t="shared" si="56"/>
        <v/>
      </c>
      <c r="BA155" s="18"/>
      <c r="BB155" s="18"/>
      <c r="BC155" s="18" t="str">
        <f t="shared" si="57"/>
        <v/>
      </c>
      <c r="BD155" s="18">
        <v>475</v>
      </c>
      <c r="BE155" s="18"/>
      <c r="BF155" s="18">
        <f t="shared" si="58"/>
        <v>475</v>
      </c>
      <c r="BG155" s="18"/>
      <c r="BH155" s="18"/>
      <c r="BI155" s="18" t="str">
        <f t="shared" si="59"/>
        <v/>
      </c>
      <c r="BJ155" s="18"/>
      <c r="BK155" s="18"/>
      <c r="BL155" s="18" t="str">
        <f t="shared" si="60"/>
        <v/>
      </c>
      <c r="BM155" s="18"/>
      <c r="BN155" s="18"/>
      <c r="BO155" s="18" t="str">
        <f t="shared" si="61"/>
        <v/>
      </c>
      <c r="BP155" s="18"/>
      <c r="BQ155" s="18"/>
      <c r="BR155" s="18" t="str">
        <f t="shared" si="62"/>
        <v/>
      </c>
    </row>
    <row r="156" spans="1:70" ht="25.5" x14ac:dyDescent="0.25">
      <c r="A156" s="2" t="s">
        <v>1023</v>
      </c>
      <c r="B156" s="2" t="str">
        <f>VLOOKUP($A156,[2]Projekty!$A$2:$AR$1147,4,0)</f>
        <v>OPKZP-PO1-SC111-2016-11</v>
      </c>
      <c r="C156" s="2" t="str">
        <f>VLOOKUP($A156,[2]Projekty!$A$2:$AR$1147,6,0)</f>
        <v>TSM Dubnica nad Váhom, s.r.o.</v>
      </c>
      <c r="D156" s="2" t="str">
        <f>VLOOKUP($A156,[2]Projekty!$A$2:$AR$1147,7,0)</f>
        <v>Zberný dvor, Dubnica nad Váhom</v>
      </c>
      <c r="E156" s="2" t="str">
        <f>VLOOKUP($A156,[2]Projekty!$A$2:$AR$1147,9,0)</f>
        <v>TN</v>
      </c>
      <c r="F156" s="2" t="str">
        <f>VLOOKUP($A156,[2]Projekty!$A$2:$AR$1147,14,0)</f>
        <v>Aktivity nezačaté</v>
      </c>
      <c r="G156" s="61">
        <f>VLOOKUP($A156,'[2]Dĺžka realizácie'!$A$2:$AR$1148,8,0)</f>
        <v>43281</v>
      </c>
      <c r="H156" s="18"/>
      <c r="I156" s="18"/>
      <c r="J156" s="18" t="str">
        <f t="shared" si="42"/>
        <v/>
      </c>
      <c r="K156" s="18"/>
      <c r="L156" s="18"/>
      <c r="M156" s="18" t="str">
        <f t="shared" si="43"/>
        <v/>
      </c>
      <c r="N156" s="18"/>
      <c r="O156" s="18"/>
      <c r="P156" s="18" t="str">
        <f t="shared" si="44"/>
        <v/>
      </c>
      <c r="Q156" s="18"/>
      <c r="R156" s="18"/>
      <c r="S156" s="18" t="str">
        <f t="shared" si="45"/>
        <v/>
      </c>
      <c r="T156" s="18">
        <v>568.69000000000005</v>
      </c>
      <c r="U156" s="18"/>
      <c r="V156" s="18">
        <f t="shared" si="46"/>
        <v>568.69000000000005</v>
      </c>
      <c r="W156" s="18"/>
      <c r="X156" s="18"/>
      <c r="Y156" s="18" t="str">
        <f t="shared" si="47"/>
        <v/>
      </c>
      <c r="Z156" s="18"/>
      <c r="AA156" s="18"/>
      <c r="AB156" s="18" t="str">
        <f t="shared" si="48"/>
        <v/>
      </c>
      <c r="AC156" s="18"/>
      <c r="AD156" s="18"/>
      <c r="AE156" s="18" t="str">
        <f t="shared" si="49"/>
        <v/>
      </c>
      <c r="AF156" s="18"/>
      <c r="AG156" s="18"/>
      <c r="AH156" s="18" t="str">
        <f t="shared" si="50"/>
        <v/>
      </c>
      <c r="AI156" s="18"/>
      <c r="AJ156" s="18"/>
      <c r="AK156" s="18" t="str">
        <f t="shared" si="51"/>
        <v/>
      </c>
      <c r="AL156" s="18"/>
      <c r="AM156" s="18"/>
      <c r="AN156" s="18" t="str">
        <f t="shared" si="52"/>
        <v/>
      </c>
      <c r="AO156" s="18"/>
      <c r="AP156" s="18"/>
      <c r="AQ156" s="18" t="str">
        <f t="shared" si="53"/>
        <v/>
      </c>
      <c r="AR156" s="18"/>
      <c r="AS156" s="18"/>
      <c r="AT156" s="18" t="str">
        <f t="shared" si="54"/>
        <v/>
      </c>
      <c r="AU156" s="18"/>
      <c r="AV156" s="18"/>
      <c r="AW156" s="18" t="str">
        <f t="shared" si="55"/>
        <v/>
      </c>
      <c r="AX156" s="18"/>
      <c r="AY156" s="18"/>
      <c r="AZ156" s="18" t="str">
        <f t="shared" si="56"/>
        <v/>
      </c>
      <c r="BA156" s="18">
        <v>568.69000000000005</v>
      </c>
      <c r="BB156" s="18"/>
      <c r="BC156" s="18">
        <f t="shared" si="57"/>
        <v>568.69000000000005</v>
      </c>
      <c r="BD156" s="18"/>
      <c r="BE156" s="18"/>
      <c r="BF156" s="18" t="str">
        <f t="shared" si="58"/>
        <v/>
      </c>
      <c r="BG156" s="18"/>
      <c r="BH156" s="18"/>
      <c r="BI156" s="18" t="str">
        <f t="shared" si="59"/>
        <v/>
      </c>
      <c r="BJ156" s="18"/>
      <c r="BK156" s="18"/>
      <c r="BL156" s="18" t="str">
        <f t="shared" si="60"/>
        <v/>
      </c>
      <c r="BM156" s="18"/>
      <c r="BN156" s="18"/>
      <c r="BO156" s="18" t="str">
        <f t="shared" si="61"/>
        <v/>
      </c>
      <c r="BP156" s="18"/>
      <c r="BQ156" s="18"/>
      <c r="BR156" s="18" t="str">
        <f t="shared" si="62"/>
        <v/>
      </c>
    </row>
    <row r="157" spans="1:70" ht="25.5" x14ac:dyDescent="0.25">
      <c r="A157" s="2" t="s">
        <v>1022</v>
      </c>
      <c r="B157" s="2" t="str">
        <f>VLOOKUP($A157,[2]Projekty!$A$2:$AR$1147,4,0)</f>
        <v>OPKZP-PO1-SC111-2016-11</v>
      </c>
      <c r="C157" s="2" t="str">
        <f>VLOOKUP($A157,[2]Projekty!$A$2:$AR$1147,6,0)</f>
        <v>Podnik služieb Opatovce nad Nitrou, s. r. o.</v>
      </c>
      <c r="D157" s="2" t="str">
        <f>VLOOKUP($A157,[2]Projekty!$A$2:$AR$1147,7,0)</f>
        <v>Vybudovanie zberného dvora v obci Opatovce nad Nitrou</v>
      </c>
      <c r="E157" s="2" t="str">
        <f>VLOOKUP($A157,[2]Projekty!$A$2:$AR$1147,9,0)</f>
        <v>TN</v>
      </c>
      <c r="F157" s="2" t="str">
        <f>VLOOKUP($A157,[2]Projekty!$A$2:$AR$1147,14,0)</f>
        <v>Realizácia</v>
      </c>
      <c r="G157" s="61">
        <f>VLOOKUP($A157,'[2]Dĺžka realizácie'!$A$2:$AR$1148,8,0)</f>
        <v>43281</v>
      </c>
      <c r="H157" s="18"/>
      <c r="I157" s="18"/>
      <c r="J157" s="18" t="str">
        <f t="shared" si="42"/>
        <v/>
      </c>
      <c r="K157" s="18"/>
      <c r="L157" s="18"/>
      <c r="M157" s="18" t="str">
        <f t="shared" si="43"/>
        <v/>
      </c>
      <c r="N157" s="18"/>
      <c r="O157" s="18"/>
      <c r="P157" s="18" t="str">
        <f t="shared" si="44"/>
        <v/>
      </c>
      <c r="Q157" s="18"/>
      <c r="R157" s="18"/>
      <c r="S157" s="18" t="str">
        <f t="shared" si="45"/>
        <v/>
      </c>
      <c r="T157" s="18">
        <v>1225</v>
      </c>
      <c r="U157" s="18"/>
      <c r="V157" s="18">
        <f t="shared" si="46"/>
        <v>1225</v>
      </c>
      <c r="W157" s="18"/>
      <c r="X157" s="18"/>
      <c r="Y157" s="18" t="str">
        <f t="shared" si="47"/>
        <v/>
      </c>
      <c r="Z157" s="18"/>
      <c r="AA157" s="18"/>
      <c r="AB157" s="18" t="str">
        <f t="shared" si="48"/>
        <v/>
      </c>
      <c r="AC157" s="18"/>
      <c r="AD157" s="18"/>
      <c r="AE157" s="18" t="str">
        <f t="shared" si="49"/>
        <v/>
      </c>
      <c r="AF157" s="18"/>
      <c r="AG157" s="18"/>
      <c r="AH157" s="18" t="str">
        <f t="shared" si="50"/>
        <v/>
      </c>
      <c r="AI157" s="18"/>
      <c r="AJ157" s="18"/>
      <c r="AK157" s="18" t="str">
        <f t="shared" si="51"/>
        <v/>
      </c>
      <c r="AL157" s="18"/>
      <c r="AM157" s="18"/>
      <c r="AN157" s="18" t="str">
        <f t="shared" si="52"/>
        <v/>
      </c>
      <c r="AO157" s="18"/>
      <c r="AP157" s="18"/>
      <c r="AQ157" s="18" t="str">
        <f t="shared" si="53"/>
        <v/>
      </c>
      <c r="AR157" s="18"/>
      <c r="AS157" s="18"/>
      <c r="AT157" s="18" t="str">
        <f t="shared" si="54"/>
        <v/>
      </c>
      <c r="AU157" s="18"/>
      <c r="AV157" s="18"/>
      <c r="AW157" s="18" t="str">
        <f t="shared" si="55"/>
        <v/>
      </c>
      <c r="AX157" s="18"/>
      <c r="AY157" s="18"/>
      <c r="AZ157" s="18" t="str">
        <f t="shared" si="56"/>
        <v/>
      </c>
      <c r="BA157" s="18">
        <v>1225</v>
      </c>
      <c r="BB157" s="18"/>
      <c r="BC157" s="18">
        <f t="shared" si="57"/>
        <v>1225</v>
      </c>
      <c r="BD157" s="18"/>
      <c r="BE157" s="18"/>
      <c r="BF157" s="18" t="str">
        <f t="shared" si="58"/>
        <v/>
      </c>
      <c r="BG157" s="18"/>
      <c r="BH157" s="18"/>
      <c r="BI157" s="18" t="str">
        <f t="shared" si="59"/>
        <v/>
      </c>
      <c r="BJ157" s="18"/>
      <c r="BK157" s="18"/>
      <c r="BL157" s="18" t="str">
        <f t="shared" si="60"/>
        <v/>
      </c>
      <c r="BM157" s="18"/>
      <c r="BN157" s="18"/>
      <c r="BO157" s="18" t="str">
        <f t="shared" si="61"/>
        <v/>
      </c>
      <c r="BP157" s="18"/>
      <c r="BQ157" s="18"/>
      <c r="BR157" s="18" t="str">
        <f t="shared" si="62"/>
        <v/>
      </c>
    </row>
    <row r="158" spans="1:70" ht="25.5" x14ac:dyDescent="0.25">
      <c r="A158" s="2" t="s">
        <v>1032</v>
      </c>
      <c r="B158" s="2" t="str">
        <f>VLOOKUP($A158,[2]Projekty!$A$2:$AR$1147,4,0)</f>
        <v>OPKZP-PO1-SC111-2016-11</v>
      </c>
      <c r="C158" s="2" t="str">
        <f>VLOOKUP($A158,[2]Projekty!$A$2:$AR$1147,6,0)</f>
        <v>Mestský podnik služieb Turzovka</v>
      </c>
      <c r="D158" s="2" t="str">
        <f>VLOOKUP($A158,[2]Projekty!$A$2:$AR$1147,7,0)</f>
        <v>Podpora triedeného zberu KO, Turzovka</v>
      </c>
      <c r="E158" s="2" t="str">
        <f>VLOOKUP($A158,[2]Projekty!$A$2:$AR$1147,9,0)</f>
        <v>ZA</v>
      </c>
      <c r="F158" s="2" t="str">
        <f>VLOOKUP($A158,[2]Projekty!$A$2:$AR$1147,14,0)</f>
        <v>Realizácia</v>
      </c>
      <c r="G158" s="61">
        <f>VLOOKUP($A158,'[2]Dĺžka realizácie'!$A$2:$AR$1148,8,0)</f>
        <v>43100</v>
      </c>
      <c r="H158" s="18"/>
      <c r="I158" s="18"/>
      <c r="J158" s="18" t="str">
        <f t="shared" si="42"/>
        <v/>
      </c>
      <c r="K158" s="18"/>
      <c r="L158" s="18"/>
      <c r="M158" s="18" t="str">
        <f t="shared" si="43"/>
        <v/>
      </c>
      <c r="N158" s="18"/>
      <c r="O158" s="18"/>
      <c r="P158" s="18" t="str">
        <f t="shared" si="44"/>
        <v/>
      </c>
      <c r="Q158" s="18"/>
      <c r="R158" s="18"/>
      <c r="S158" s="18" t="str">
        <f t="shared" si="45"/>
        <v/>
      </c>
      <c r="T158" s="18">
        <v>180</v>
      </c>
      <c r="U158" s="18"/>
      <c r="V158" s="18">
        <f t="shared" si="46"/>
        <v>180</v>
      </c>
      <c r="W158" s="18"/>
      <c r="X158" s="18"/>
      <c r="Y158" s="18" t="str">
        <f t="shared" si="47"/>
        <v/>
      </c>
      <c r="Z158" s="18"/>
      <c r="AA158" s="18"/>
      <c r="AB158" s="18" t="str">
        <f t="shared" si="48"/>
        <v/>
      </c>
      <c r="AC158" s="18"/>
      <c r="AD158" s="18"/>
      <c r="AE158" s="18" t="str">
        <f t="shared" si="49"/>
        <v/>
      </c>
      <c r="AF158" s="18"/>
      <c r="AG158" s="18"/>
      <c r="AH158" s="18" t="str">
        <f t="shared" si="50"/>
        <v/>
      </c>
      <c r="AI158" s="18"/>
      <c r="AJ158" s="18"/>
      <c r="AK158" s="18" t="str">
        <f t="shared" si="51"/>
        <v/>
      </c>
      <c r="AL158" s="18"/>
      <c r="AM158" s="18"/>
      <c r="AN158" s="18" t="str">
        <f t="shared" si="52"/>
        <v/>
      </c>
      <c r="AO158" s="18"/>
      <c r="AP158" s="18"/>
      <c r="AQ158" s="18" t="str">
        <f t="shared" si="53"/>
        <v/>
      </c>
      <c r="AR158" s="18"/>
      <c r="AS158" s="18"/>
      <c r="AT158" s="18" t="str">
        <f t="shared" si="54"/>
        <v/>
      </c>
      <c r="AU158" s="18"/>
      <c r="AV158" s="18"/>
      <c r="AW158" s="18" t="str">
        <f t="shared" si="55"/>
        <v/>
      </c>
      <c r="AX158" s="18"/>
      <c r="AY158" s="18"/>
      <c r="AZ158" s="18" t="str">
        <f t="shared" si="56"/>
        <v/>
      </c>
      <c r="BA158" s="18">
        <v>180</v>
      </c>
      <c r="BB158" s="18"/>
      <c r="BC158" s="18">
        <f t="shared" si="57"/>
        <v>180</v>
      </c>
      <c r="BD158" s="18"/>
      <c r="BE158" s="18"/>
      <c r="BF158" s="18" t="str">
        <f t="shared" si="58"/>
        <v/>
      </c>
      <c r="BG158" s="18"/>
      <c r="BH158" s="18"/>
      <c r="BI158" s="18" t="str">
        <f t="shared" si="59"/>
        <v/>
      </c>
      <c r="BJ158" s="18"/>
      <c r="BK158" s="18"/>
      <c r="BL158" s="18" t="str">
        <f t="shared" si="60"/>
        <v/>
      </c>
      <c r="BM158" s="18"/>
      <c r="BN158" s="18"/>
      <c r="BO158" s="18" t="str">
        <f t="shared" si="61"/>
        <v/>
      </c>
      <c r="BP158" s="18"/>
      <c r="BQ158" s="18"/>
      <c r="BR158" s="18" t="str">
        <f t="shared" si="62"/>
        <v/>
      </c>
    </row>
    <row r="159" spans="1:70" x14ac:dyDescent="0.25">
      <c r="A159" s="2" t="s">
        <v>1028</v>
      </c>
      <c r="B159" s="2" t="str">
        <f>VLOOKUP($A159,[2]Projekty!$A$2:$AR$1147,4,0)</f>
        <v>OPKZP-PO1-SC111-2016-11</v>
      </c>
      <c r="C159" s="2" t="str">
        <f>VLOOKUP($A159,[2]Projekty!$A$2:$AR$1147,6,0)</f>
        <v>Obec Cerovo</v>
      </c>
      <c r="D159" s="2" t="str">
        <f>VLOOKUP($A159,[2]Projekty!$A$2:$AR$1147,7,0)</f>
        <v>Kompostáreň - Bioodpad</v>
      </c>
      <c r="E159" s="2" t="str">
        <f>VLOOKUP($A159,[2]Projekty!$A$2:$AR$1147,9,0)</f>
        <v>BB</v>
      </c>
      <c r="F159" s="2" t="str">
        <f>VLOOKUP($A159,[2]Projekty!$A$2:$AR$1147,14,0)</f>
        <v>Realizácia</v>
      </c>
      <c r="G159" s="61">
        <f>VLOOKUP($A159,'[2]Dĺžka realizácie'!$A$2:$AR$1148,8,0)</f>
        <v>43373</v>
      </c>
      <c r="H159" s="18"/>
      <c r="I159" s="18"/>
      <c r="J159" s="18" t="str">
        <f t="shared" si="42"/>
        <v/>
      </c>
      <c r="K159" s="18"/>
      <c r="L159" s="18"/>
      <c r="M159" s="18" t="str">
        <f t="shared" si="43"/>
        <v/>
      </c>
      <c r="N159" s="18"/>
      <c r="O159" s="18"/>
      <c r="P159" s="18" t="str">
        <f t="shared" si="44"/>
        <v/>
      </c>
      <c r="Q159" s="18"/>
      <c r="R159" s="18"/>
      <c r="S159" s="18" t="str">
        <f t="shared" si="45"/>
        <v/>
      </c>
      <c r="T159" s="18"/>
      <c r="U159" s="18"/>
      <c r="V159" s="18" t="str">
        <f t="shared" si="46"/>
        <v/>
      </c>
      <c r="W159" s="18">
        <v>99</v>
      </c>
      <c r="X159" s="18"/>
      <c r="Y159" s="18">
        <f t="shared" si="47"/>
        <v>99</v>
      </c>
      <c r="Z159" s="18"/>
      <c r="AA159" s="18"/>
      <c r="AB159" s="18" t="str">
        <f t="shared" si="48"/>
        <v/>
      </c>
      <c r="AC159" s="18"/>
      <c r="AD159" s="18"/>
      <c r="AE159" s="18" t="str">
        <f t="shared" si="49"/>
        <v/>
      </c>
      <c r="AF159" s="18"/>
      <c r="AG159" s="18"/>
      <c r="AH159" s="18" t="str">
        <f t="shared" si="50"/>
        <v/>
      </c>
      <c r="AI159" s="18"/>
      <c r="AJ159" s="18"/>
      <c r="AK159" s="18" t="str">
        <f t="shared" si="51"/>
        <v/>
      </c>
      <c r="AL159" s="18"/>
      <c r="AM159" s="18"/>
      <c r="AN159" s="18" t="str">
        <f t="shared" si="52"/>
        <v/>
      </c>
      <c r="AO159" s="18"/>
      <c r="AP159" s="18"/>
      <c r="AQ159" s="18" t="str">
        <f t="shared" si="53"/>
        <v/>
      </c>
      <c r="AR159" s="18"/>
      <c r="AS159" s="18"/>
      <c r="AT159" s="18" t="str">
        <f t="shared" si="54"/>
        <v/>
      </c>
      <c r="AU159" s="18"/>
      <c r="AV159" s="18"/>
      <c r="AW159" s="18" t="str">
        <f t="shared" si="55"/>
        <v/>
      </c>
      <c r="AX159" s="18"/>
      <c r="AY159" s="18"/>
      <c r="AZ159" s="18" t="str">
        <f t="shared" si="56"/>
        <v/>
      </c>
      <c r="BA159" s="18"/>
      <c r="BB159" s="18"/>
      <c r="BC159" s="18" t="str">
        <f t="shared" si="57"/>
        <v/>
      </c>
      <c r="BD159" s="18">
        <v>99</v>
      </c>
      <c r="BE159" s="18"/>
      <c r="BF159" s="18">
        <f t="shared" si="58"/>
        <v>99</v>
      </c>
      <c r="BG159" s="18"/>
      <c r="BH159" s="18"/>
      <c r="BI159" s="18" t="str">
        <f t="shared" si="59"/>
        <v/>
      </c>
      <c r="BJ159" s="18"/>
      <c r="BK159" s="18"/>
      <c r="BL159" s="18" t="str">
        <f t="shared" si="60"/>
        <v/>
      </c>
      <c r="BM159" s="18"/>
      <c r="BN159" s="18"/>
      <c r="BO159" s="18" t="str">
        <f t="shared" si="61"/>
        <v/>
      </c>
      <c r="BP159" s="18"/>
      <c r="BQ159" s="18"/>
      <c r="BR159" s="18" t="str">
        <f t="shared" si="62"/>
        <v/>
      </c>
    </row>
    <row r="160" spans="1:70" ht="25.5" x14ac:dyDescent="0.25">
      <c r="A160" s="2" t="s">
        <v>1029</v>
      </c>
      <c r="B160" s="2" t="str">
        <f>VLOOKUP($A160,[2]Projekty!$A$2:$AR$1147,4,0)</f>
        <v>OPKZP-PO1-SC111-2016-11</v>
      </c>
      <c r="C160" s="2" t="str">
        <f>VLOOKUP($A160,[2]Projekty!$A$2:$AR$1147,6,0)</f>
        <v>Mesto Prievidza</v>
      </c>
      <c r="D160" s="2" t="str">
        <f>VLOOKUP($A160,[2]Projekty!$A$2:$AR$1147,7,0)</f>
        <v>Zhodnocovanie biologicky rozložiteľného odpadu v Prievidzi</v>
      </c>
      <c r="E160" s="2" t="str">
        <f>VLOOKUP($A160,[2]Projekty!$A$2:$AR$1147,9,0)</f>
        <v>TN</v>
      </c>
      <c r="F160" s="2" t="str">
        <f>VLOOKUP($A160,[2]Projekty!$A$2:$AR$1147,14,0)</f>
        <v>Aktivity nezačaté</v>
      </c>
      <c r="G160" s="61">
        <f>VLOOKUP($A160,'[2]Dĺžka realizácie'!$A$2:$AR$1148,8,0)</f>
        <v>43524</v>
      </c>
      <c r="H160" s="18"/>
      <c r="I160" s="18"/>
      <c r="J160" s="18" t="str">
        <f t="shared" si="42"/>
        <v/>
      </c>
      <c r="K160" s="18"/>
      <c r="L160" s="18"/>
      <c r="M160" s="18" t="str">
        <f t="shared" si="43"/>
        <v/>
      </c>
      <c r="N160" s="18"/>
      <c r="O160" s="18"/>
      <c r="P160" s="18" t="str">
        <f t="shared" si="44"/>
        <v/>
      </c>
      <c r="Q160" s="18"/>
      <c r="R160" s="18"/>
      <c r="S160" s="18" t="str">
        <f t="shared" si="45"/>
        <v/>
      </c>
      <c r="T160" s="18"/>
      <c r="U160" s="18"/>
      <c r="V160" s="18" t="str">
        <f t="shared" si="46"/>
        <v/>
      </c>
      <c r="W160" s="18">
        <v>4500</v>
      </c>
      <c r="X160" s="18"/>
      <c r="Y160" s="18">
        <f t="shared" si="47"/>
        <v>0</v>
      </c>
      <c r="Z160" s="18"/>
      <c r="AA160" s="18"/>
      <c r="AB160" s="18" t="str">
        <f t="shared" si="48"/>
        <v/>
      </c>
      <c r="AC160" s="18"/>
      <c r="AD160" s="18"/>
      <c r="AE160" s="18" t="str">
        <f t="shared" si="49"/>
        <v/>
      </c>
      <c r="AF160" s="18"/>
      <c r="AG160" s="18"/>
      <c r="AH160" s="18" t="str">
        <f t="shared" si="50"/>
        <v/>
      </c>
      <c r="AI160" s="18"/>
      <c r="AJ160" s="18"/>
      <c r="AK160" s="18" t="str">
        <f t="shared" si="51"/>
        <v/>
      </c>
      <c r="AL160" s="18"/>
      <c r="AM160" s="18"/>
      <c r="AN160" s="18" t="str">
        <f t="shared" si="52"/>
        <v/>
      </c>
      <c r="AO160" s="18"/>
      <c r="AP160" s="18"/>
      <c r="AQ160" s="18" t="str">
        <f t="shared" si="53"/>
        <v/>
      </c>
      <c r="AR160" s="18"/>
      <c r="AS160" s="18"/>
      <c r="AT160" s="18" t="str">
        <f t="shared" si="54"/>
        <v/>
      </c>
      <c r="AU160" s="18"/>
      <c r="AV160" s="18"/>
      <c r="AW160" s="18" t="str">
        <f t="shared" si="55"/>
        <v/>
      </c>
      <c r="AX160" s="18"/>
      <c r="AY160" s="18"/>
      <c r="AZ160" s="18" t="str">
        <f t="shared" si="56"/>
        <v/>
      </c>
      <c r="BA160" s="18"/>
      <c r="BB160" s="18"/>
      <c r="BC160" s="18" t="str">
        <f t="shared" si="57"/>
        <v/>
      </c>
      <c r="BD160" s="18">
        <v>4500</v>
      </c>
      <c r="BE160" s="18"/>
      <c r="BF160" s="18">
        <f t="shared" si="58"/>
        <v>0</v>
      </c>
      <c r="BG160" s="18"/>
      <c r="BH160" s="18"/>
      <c r="BI160" s="18" t="str">
        <f t="shared" si="59"/>
        <v/>
      </c>
      <c r="BJ160" s="18"/>
      <c r="BK160" s="18"/>
      <c r="BL160" s="18" t="str">
        <f t="shared" si="60"/>
        <v/>
      </c>
      <c r="BM160" s="18"/>
      <c r="BN160" s="18"/>
      <c r="BO160" s="18" t="str">
        <f t="shared" si="61"/>
        <v/>
      </c>
      <c r="BP160" s="18"/>
      <c r="BQ160" s="18"/>
      <c r="BR160" s="18" t="str">
        <f t="shared" si="62"/>
        <v/>
      </c>
    </row>
    <row r="161" spans="1:70" x14ac:dyDescent="0.25">
      <c r="A161" s="2" t="s">
        <v>1019</v>
      </c>
      <c r="B161" s="2" t="str">
        <f>VLOOKUP($A161,[2]Projekty!$A$2:$AR$1147,4,0)</f>
        <v>OPKZP-PO1-SC111-2016-11</v>
      </c>
      <c r="C161" s="2" t="str">
        <f>VLOOKUP($A161,[2]Projekty!$A$2:$AR$1147,6,0)</f>
        <v>Mesto Piešťany</v>
      </c>
      <c r="D161" s="2" t="str">
        <f>VLOOKUP($A161,[2]Projekty!$A$2:$AR$1147,7,0)</f>
        <v>Vybudovanie kompostárne v meste Piešťany</v>
      </c>
      <c r="E161" s="2" t="str">
        <f>VLOOKUP($A161,[2]Projekty!$A$2:$AR$1147,9,0)</f>
        <v>TT</v>
      </c>
      <c r="F161" s="2" t="str">
        <f>VLOOKUP($A161,[2]Projekty!$A$2:$AR$1147,14,0)</f>
        <v>Realizácia</v>
      </c>
      <c r="G161" s="61">
        <f>VLOOKUP($A161,'[2]Dĺžka realizácie'!$A$2:$AR$1148,8,0)</f>
        <v>43465</v>
      </c>
      <c r="H161" s="18"/>
      <c r="I161" s="18"/>
      <c r="J161" s="18" t="str">
        <f t="shared" si="42"/>
        <v/>
      </c>
      <c r="K161" s="18"/>
      <c r="L161" s="18"/>
      <c r="M161" s="18" t="str">
        <f t="shared" si="43"/>
        <v/>
      </c>
      <c r="N161" s="18"/>
      <c r="O161" s="18"/>
      <c r="P161" s="18" t="str">
        <f t="shared" si="44"/>
        <v/>
      </c>
      <c r="Q161" s="18"/>
      <c r="R161" s="18"/>
      <c r="S161" s="18" t="str">
        <f t="shared" si="45"/>
        <v/>
      </c>
      <c r="T161" s="18"/>
      <c r="U161" s="18"/>
      <c r="V161" s="18" t="str">
        <f t="shared" si="46"/>
        <v/>
      </c>
      <c r="W161" s="18">
        <v>4800</v>
      </c>
      <c r="X161" s="18"/>
      <c r="Y161" s="18">
        <f t="shared" si="47"/>
        <v>4800</v>
      </c>
      <c r="Z161" s="18"/>
      <c r="AA161" s="18"/>
      <c r="AB161" s="18" t="str">
        <f t="shared" si="48"/>
        <v/>
      </c>
      <c r="AC161" s="18"/>
      <c r="AD161" s="18"/>
      <c r="AE161" s="18" t="str">
        <f t="shared" si="49"/>
        <v/>
      </c>
      <c r="AF161" s="18"/>
      <c r="AG161" s="18"/>
      <c r="AH161" s="18" t="str">
        <f t="shared" si="50"/>
        <v/>
      </c>
      <c r="AI161" s="18"/>
      <c r="AJ161" s="18"/>
      <c r="AK161" s="18" t="str">
        <f t="shared" si="51"/>
        <v/>
      </c>
      <c r="AL161" s="18"/>
      <c r="AM161" s="18"/>
      <c r="AN161" s="18" t="str">
        <f t="shared" si="52"/>
        <v/>
      </c>
      <c r="AO161" s="18"/>
      <c r="AP161" s="18"/>
      <c r="AQ161" s="18" t="str">
        <f t="shared" si="53"/>
        <v/>
      </c>
      <c r="AR161" s="18"/>
      <c r="AS161" s="18"/>
      <c r="AT161" s="18" t="str">
        <f t="shared" si="54"/>
        <v/>
      </c>
      <c r="AU161" s="18"/>
      <c r="AV161" s="18"/>
      <c r="AW161" s="18" t="str">
        <f t="shared" si="55"/>
        <v/>
      </c>
      <c r="AX161" s="18"/>
      <c r="AY161" s="18"/>
      <c r="AZ161" s="18" t="str">
        <f t="shared" si="56"/>
        <v/>
      </c>
      <c r="BA161" s="18"/>
      <c r="BB161" s="18"/>
      <c r="BC161" s="18" t="str">
        <f t="shared" si="57"/>
        <v/>
      </c>
      <c r="BD161" s="18">
        <v>4800</v>
      </c>
      <c r="BE161" s="18"/>
      <c r="BF161" s="18">
        <f t="shared" si="58"/>
        <v>4800</v>
      </c>
      <c r="BG161" s="18"/>
      <c r="BH161" s="18"/>
      <c r="BI161" s="18" t="str">
        <f t="shared" si="59"/>
        <v/>
      </c>
      <c r="BJ161" s="18"/>
      <c r="BK161" s="18"/>
      <c r="BL161" s="18" t="str">
        <f t="shared" si="60"/>
        <v/>
      </c>
      <c r="BM161" s="18"/>
      <c r="BN161" s="18"/>
      <c r="BO161" s="18" t="str">
        <f t="shared" si="61"/>
        <v/>
      </c>
      <c r="BP161" s="18"/>
      <c r="BQ161" s="18"/>
      <c r="BR161" s="18" t="str">
        <f t="shared" si="62"/>
        <v/>
      </c>
    </row>
    <row r="162" spans="1:70" ht="25.5" x14ac:dyDescent="0.25">
      <c r="A162" s="2" t="s">
        <v>1033</v>
      </c>
      <c r="B162" s="2" t="str">
        <f>VLOOKUP($A162,[2]Projekty!$A$2:$AR$1147,4,0)</f>
        <v>OPKZP-PO1-SC111-2016-11</v>
      </c>
      <c r="C162" s="2" t="str">
        <f>VLOOKUP($A162,[2]Projekty!$A$2:$AR$1147,6,0)</f>
        <v>Obec Brehy</v>
      </c>
      <c r="D162" s="2" t="str">
        <f>VLOOKUP($A162,[2]Projekty!$A$2:$AR$1147,7,0)</f>
        <v>Zhodnocovanie biologicky rozložiteľného komunálneho odpadu v obci Brehy</v>
      </c>
      <c r="E162" s="2" t="str">
        <f>VLOOKUP($A162,[2]Projekty!$A$2:$AR$1147,9,0)</f>
        <v>BB</v>
      </c>
      <c r="F162" s="2" t="str">
        <f>VLOOKUP($A162,[2]Projekty!$A$2:$AR$1147,14,0)</f>
        <v>Aktivity nezačaté</v>
      </c>
      <c r="G162" s="61">
        <f>VLOOKUP($A162,'[2]Dĺžka realizácie'!$A$2:$AR$1148,8,0)</f>
        <v>43220</v>
      </c>
      <c r="H162" s="18"/>
      <c r="I162" s="18"/>
      <c r="J162" s="18" t="str">
        <f t="shared" si="42"/>
        <v/>
      </c>
      <c r="K162" s="18"/>
      <c r="L162" s="18"/>
      <c r="M162" s="18" t="str">
        <f t="shared" si="43"/>
        <v/>
      </c>
      <c r="N162" s="18"/>
      <c r="O162" s="18"/>
      <c r="P162" s="18" t="str">
        <f t="shared" si="44"/>
        <v/>
      </c>
      <c r="Q162" s="18"/>
      <c r="R162" s="18"/>
      <c r="S162" s="18" t="str">
        <f t="shared" si="45"/>
        <v/>
      </c>
      <c r="T162" s="18"/>
      <c r="U162" s="18"/>
      <c r="V162" s="18" t="str">
        <f t="shared" si="46"/>
        <v/>
      </c>
      <c r="W162" s="18">
        <v>406</v>
      </c>
      <c r="X162" s="18"/>
      <c r="Y162" s="18">
        <f t="shared" si="47"/>
        <v>406</v>
      </c>
      <c r="Z162" s="18"/>
      <c r="AA162" s="18"/>
      <c r="AB162" s="18" t="str">
        <f t="shared" si="48"/>
        <v/>
      </c>
      <c r="AC162" s="18"/>
      <c r="AD162" s="18"/>
      <c r="AE162" s="18" t="str">
        <f t="shared" si="49"/>
        <v/>
      </c>
      <c r="AF162" s="18"/>
      <c r="AG162" s="18"/>
      <c r="AH162" s="18" t="str">
        <f t="shared" si="50"/>
        <v/>
      </c>
      <c r="AI162" s="18"/>
      <c r="AJ162" s="18"/>
      <c r="AK162" s="18" t="str">
        <f t="shared" si="51"/>
        <v/>
      </c>
      <c r="AL162" s="18"/>
      <c r="AM162" s="18"/>
      <c r="AN162" s="18" t="str">
        <f t="shared" si="52"/>
        <v/>
      </c>
      <c r="AO162" s="18"/>
      <c r="AP162" s="18"/>
      <c r="AQ162" s="18" t="str">
        <f t="shared" si="53"/>
        <v/>
      </c>
      <c r="AR162" s="18"/>
      <c r="AS162" s="18"/>
      <c r="AT162" s="18" t="str">
        <f t="shared" si="54"/>
        <v/>
      </c>
      <c r="AU162" s="18"/>
      <c r="AV162" s="18"/>
      <c r="AW162" s="18" t="str">
        <f t="shared" si="55"/>
        <v/>
      </c>
      <c r="AX162" s="18"/>
      <c r="AY162" s="18"/>
      <c r="AZ162" s="18" t="str">
        <f t="shared" si="56"/>
        <v/>
      </c>
      <c r="BA162" s="18"/>
      <c r="BB162" s="18"/>
      <c r="BC162" s="18" t="str">
        <f t="shared" si="57"/>
        <v/>
      </c>
      <c r="BD162" s="18">
        <v>406</v>
      </c>
      <c r="BE162" s="18"/>
      <c r="BF162" s="18">
        <f t="shared" si="58"/>
        <v>406</v>
      </c>
      <c r="BG162" s="18"/>
      <c r="BH162" s="18"/>
      <c r="BI162" s="18" t="str">
        <f t="shared" si="59"/>
        <v/>
      </c>
      <c r="BJ162" s="18"/>
      <c r="BK162" s="18"/>
      <c r="BL162" s="18" t="str">
        <f t="shared" si="60"/>
        <v/>
      </c>
      <c r="BM162" s="18"/>
      <c r="BN162" s="18"/>
      <c r="BO162" s="18" t="str">
        <f t="shared" si="61"/>
        <v/>
      </c>
      <c r="BP162" s="18"/>
      <c r="BQ162" s="18"/>
      <c r="BR162" s="18" t="str">
        <f t="shared" si="62"/>
        <v/>
      </c>
    </row>
    <row r="163" spans="1:70" ht="25.5" x14ac:dyDescent="0.25">
      <c r="A163" s="2" t="s">
        <v>1030</v>
      </c>
      <c r="B163" s="2" t="str">
        <f>VLOOKUP($A163,[2]Projekty!$A$2:$AR$1147,4,0)</f>
        <v>OPKZP-PO1-SC111-2016-11</v>
      </c>
      <c r="C163" s="2" t="str">
        <f>VLOOKUP($A163,[2]Projekty!$A$2:$AR$1147,6,0)</f>
        <v>Obec Kálnica</v>
      </c>
      <c r="D163" s="2" t="str">
        <f>VLOOKUP($A163,[2]Projekty!$A$2:$AR$1147,7,0)</f>
        <v>Zhodnocovanie biologicky rozložiteľného komunálneho odpadu v obci Kálnica</v>
      </c>
      <c r="E163" s="2" t="str">
        <f>VLOOKUP($A163,[2]Projekty!$A$2:$AR$1147,9,0)</f>
        <v>TN</v>
      </c>
      <c r="F163" s="2" t="str">
        <f>VLOOKUP($A163,[2]Projekty!$A$2:$AR$1147,14,0)</f>
        <v>Aktivity nezačaté</v>
      </c>
      <c r="G163" s="61">
        <f>VLOOKUP($A163,'[2]Dĺžka realizácie'!$A$2:$AR$1148,8,0)</f>
        <v>43434</v>
      </c>
      <c r="H163" s="18"/>
      <c r="I163" s="18"/>
      <c r="J163" s="18" t="str">
        <f t="shared" si="42"/>
        <v/>
      </c>
      <c r="K163" s="18"/>
      <c r="L163" s="18"/>
      <c r="M163" s="18" t="str">
        <f t="shared" si="43"/>
        <v/>
      </c>
      <c r="N163" s="18"/>
      <c r="O163" s="18"/>
      <c r="P163" s="18" t="str">
        <f t="shared" si="44"/>
        <v/>
      </c>
      <c r="Q163" s="18"/>
      <c r="R163" s="18"/>
      <c r="S163" s="18" t="str">
        <f t="shared" si="45"/>
        <v/>
      </c>
      <c r="T163" s="18"/>
      <c r="U163" s="18"/>
      <c r="V163" s="18" t="str">
        <f t="shared" si="46"/>
        <v/>
      </c>
      <c r="W163" s="18">
        <v>450</v>
      </c>
      <c r="X163" s="18"/>
      <c r="Y163" s="18">
        <f t="shared" si="47"/>
        <v>450</v>
      </c>
      <c r="Z163" s="18"/>
      <c r="AA163" s="18"/>
      <c r="AB163" s="18" t="str">
        <f t="shared" si="48"/>
        <v/>
      </c>
      <c r="AC163" s="18"/>
      <c r="AD163" s="18"/>
      <c r="AE163" s="18" t="str">
        <f t="shared" si="49"/>
        <v/>
      </c>
      <c r="AF163" s="18"/>
      <c r="AG163" s="18"/>
      <c r="AH163" s="18" t="str">
        <f t="shared" si="50"/>
        <v/>
      </c>
      <c r="AI163" s="18"/>
      <c r="AJ163" s="18"/>
      <c r="AK163" s="18" t="str">
        <f t="shared" si="51"/>
        <v/>
      </c>
      <c r="AL163" s="18"/>
      <c r="AM163" s="18"/>
      <c r="AN163" s="18" t="str">
        <f t="shared" si="52"/>
        <v/>
      </c>
      <c r="AO163" s="18"/>
      <c r="AP163" s="18"/>
      <c r="AQ163" s="18" t="str">
        <f t="shared" si="53"/>
        <v/>
      </c>
      <c r="AR163" s="18"/>
      <c r="AS163" s="18"/>
      <c r="AT163" s="18" t="str">
        <f t="shared" si="54"/>
        <v/>
      </c>
      <c r="AU163" s="18"/>
      <c r="AV163" s="18"/>
      <c r="AW163" s="18" t="str">
        <f t="shared" si="55"/>
        <v/>
      </c>
      <c r="AX163" s="18"/>
      <c r="AY163" s="18"/>
      <c r="AZ163" s="18" t="str">
        <f t="shared" si="56"/>
        <v/>
      </c>
      <c r="BA163" s="18"/>
      <c r="BB163" s="18"/>
      <c r="BC163" s="18" t="str">
        <f t="shared" si="57"/>
        <v/>
      </c>
      <c r="BD163" s="18">
        <v>450</v>
      </c>
      <c r="BE163" s="18"/>
      <c r="BF163" s="18">
        <f t="shared" si="58"/>
        <v>450</v>
      </c>
      <c r="BG163" s="18"/>
      <c r="BH163" s="18"/>
      <c r="BI163" s="18" t="str">
        <f t="shared" si="59"/>
        <v/>
      </c>
      <c r="BJ163" s="18"/>
      <c r="BK163" s="18"/>
      <c r="BL163" s="18" t="str">
        <f t="shared" si="60"/>
        <v/>
      </c>
      <c r="BM163" s="18"/>
      <c r="BN163" s="18"/>
      <c r="BO163" s="18" t="str">
        <f t="shared" si="61"/>
        <v/>
      </c>
      <c r="BP163" s="18"/>
      <c r="BQ163" s="18"/>
      <c r="BR163" s="18" t="str">
        <f t="shared" si="62"/>
        <v/>
      </c>
    </row>
    <row r="164" spans="1:70" ht="25.5" x14ac:dyDescent="0.25">
      <c r="A164" s="2" t="s">
        <v>1042</v>
      </c>
      <c r="B164" s="2" t="str">
        <f>VLOOKUP($A164,[2]Projekty!$A$2:$AR$1147,4,0)</f>
        <v>OPKZP-PO1-SC111-2016-11</v>
      </c>
      <c r="C164" s="2" t="str">
        <f>VLOOKUP($A164,[2]Projekty!$A$2:$AR$1147,6,0)</f>
        <v>Obec Bajany</v>
      </c>
      <c r="D164" s="2" t="str">
        <f>VLOOKUP($A164,[2]Projekty!$A$2:$AR$1147,7,0)</f>
        <v>Kompostáreň na zhodnocovanie biologicky rozložiteľného odpadu v obci Bajany</v>
      </c>
      <c r="E164" s="2" t="str">
        <f>VLOOKUP($A164,[2]Projekty!$A$2:$AR$1147,9,0)</f>
        <v>KE</v>
      </c>
      <c r="F164" s="2" t="str">
        <f>VLOOKUP($A164,[2]Projekty!$A$2:$AR$1147,14,0)</f>
        <v>Realizácia</v>
      </c>
      <c r="G164" s="61">
        <f>VLOOKUP($A164,'[2]Dĺžka realizácie'!$A$2:$AR$1148,8,0)</f>
        <v>43404</v>
      </c>
      <c r="H164" s="18"/>
      <c r="I164" s="18"/>
      <c r="J164" s="18" t="str">
        <f t="shared" si="42"/>
        <v/>
      </c>
      <c r="K164" s="18"/>
      <c r="L164" s="18"/>
      <c r="M164" s="18" t="str">
        <f t="shared" si="43"/>
        <v/>
      </c>
      <c r="N164" s="18"/>
      <c r="O164" s="18"/>
      <c r="P164" s="18" t="str">
        <f t="shared" si="44"/>
        <v/>
      </c>
      <c r="Q164" s="18"/>
      <c r="R164" s="18"/>
      <c r="S164" s="18" t="str">
        <f t="shared" si="45"/>
        <v/>
      </c>
      <c r="T164" s="18"/>
      <c r="U164" s="18"/>
      <c r="V164" s="18" t="str">
        <f t="shared" si="46"/>
        <v/>
      </c>
      <c r="W164" s="18">
        <v>64</v>
      </c>
      <c r="X164" s="18"/>
      <c r="Y164" s="18">
        <f t="shared" si="47"/>
        <v>64</v>
      </c>
      <c r="Z164" s="18"/>
      <c r="AA164" s="18"/>
      <c r="AB164" s="18" t="str">
        <f t="shared" si="48"/>
        <v/>
      </c>
      <c r="AC164" s="18"/>
      <c r="AD164" s="18"/>
      <c r="AE164" s="18" t="str">
        <f t="shared" si="49"/>
        <v/>
      </c>
      <c r="AF164" s="18"/>
      <c r="AG164" s="18"/>
      <c r="AH164" s="18" t="str">
        <f t="shared" si="50"/>
        <v/>
      </c>
      <c r="AI164" s="18"/>
      <c r="AJ164" s="18"/>
      <c r="AK164" s="18" t="str">
        <f t="shared" si="51"/>
        <v/>
      </c>
      <c r="AL164" s="18"/>
      <c r="AM164" s="18"/>
      <c r="AN164" s="18" t="str">
        <f t="shared" si="52"/>
        <v/>
      </c>
      <c r="AO164" s="18"/>
      <c r="AP164" s="18"/>
      <c r="AQ164" s="18" t="str">
        <f t="shared" si="53"/>
        <v/>
      </c>
      <c r="AR164" s="18"/>
      <c r="AS164" s="18"/>
      <c r="AT164" s="18" t="str">
        <f t="shared" si="54"/>
        <v/>
      </c>
      <c r="AU164" s="18"/>
      <c r="AV164" s="18"/>
      <c r="AW164" s="18" t="str">
        <f t="shared" si="55"/>
        <v/>
      </c>
      <c r="AX164" s="18"/>
      <c r="AY164" s="18"/>
      <c r="AZ164" s="18" t="str">
        <f t="shared" si="56"/>
        <v/>
      </c>
      <c r="BA164" s="18"/>
      <c r="BB164" s="18"/>
      <c r="BC164" s="18" t="str">
        <f t="shared" si="57"/>
        <v/>
      </c>
      <c r="BD164" s="18">
        <v>100</v>
      </c>
      <c r="BE164" s="18"/>
      <c r="BF164" s="18">
        <f t="shared" si="58"/>
        <v>100</v>
      </c>
      <c r="BG164" s="18"/>
      <c r="BH164" s="18"/>
      <c r="BI164" s="18" t="str">
        <f t="shared" si="59"/>
        <v/>
      </c>
      <c r="BJ164" s="18"/>
      <c r="BK164" s="18"/>
      <c r="BL164" s="18" t="str">
        <f t="shared" si="60"/>
        <v/>
      </c>
      <c r="BM164" s="18"/>
      <c r="BN164" s="18"/>
      <c r="BO164" s="18" t="str">
        <f t="shared" si="61"/>
        <v/>
      </c>
      <c r="BP164" s="18"/>
      <c r="BQ164" s="18"/>
      <c r="BR164" s="18" t="str">
        <f t="shared" si="62"/>
        <v/>
      </c>
    </row>
    <row r="165" spans="1:70" ht="25.5" x14ac:dyDescent="0.25">
      <c r="A165" s="2" t="s">
        <v>1010</v>
      </c>
      <c r="B165" s="2" t="str">
        <f>VLOOKUP($A165,[2]Projekty!$A$2:$AR$1147,4,0)</f>
        <v>OPKZP-PO1-SC111-2016-11</v>
      </c>
      <c r="C165" s="2" t="str">
        <f>VLOOKUP($A165,[2]Projekty!$A$2:$AR$1147,6,0)</f>
        <v>Technické služby Obce Bošany s.r.o.</v>
      </c>
      <c r="D165" s="2" t="str">
        <f>VLOOKUP($A165,[2]Projekty!$A$2:$AR$1147,7,0)</f>
        <v>Vybudovanie zberného dvora a rozšírenie triedeného zberu odpadu v Bošanoch</v>
      </c>
      <c r="E165" s="2" t="str">
        <f>VLOOKUP($A165,[2]Projekty!$A$2:$AR$1147,9,0)</f>
        <v>TN</v>
      </c>
      <c r="F165" s="2" t="str">
        <f>VLOOKUP($A165,[2]Projekty!$A$2:$AR$1147,14,0)</f>
        <v>Aktivity nezačaté</v>
      </c>
      <c r="G165" s="61">
        <f>VLOOKUP($A165,'[2]Dĺžka realizácie'!$A$2:$AR$1148,8,0)</f>
        <v>43496</v>
      </c>
      <c r="H165" s="18"/>
      <c r="I165" s="18"/>
      <c r="J165" s="18" t="str">
        <f t="shared" si="42"/>
        <v/>
      </c>
      <c r="K165" s="18"/>
      <c r="L165" s="18"/>
      <c r="M165" s="18" t="str">
        <f t="shared" si="43"/>
        <v/>
      </c>
      <c r="N165" s="18"/>
      <c r="O165" s="18"/>
      <c r="P165" s="18" t="str">
        <f t="shared" si="44"/>
        <v/>
      </c>
      <c r="Q165" s="18"/>
      <c r="R165" s="18"/>
      <c r="S165" s="18" t="str">
        <f t="shared" si="45"/>
        <v/>
      </c>
      <c r="T165" s="18">
        <v>668</v>
      </c>
      <c r="U165" s="18"/>
      <c r="V165" s="18">
        <f t="shared" si="46"/>
        <v>0</v>
      </c>
      <c r="W165" s="18"/>
      <c r="X165" s="18"/>
      <c r="Y165" s="18" t="str">
        <f t="shared" si="47"/>
        <v/>
      </c>
      <c r="Z165" s="18"/>
      <c r="AA165" s="18"/>
      <c r="AB165" s="18" t="str">
        <f t="shared" si="48"/>
        <v/>
      </c>
      <c r="AC165" s="18"/>
      <c r="AD165" s="18"/>
      <c r="AE165" s="18" t="str">
        <f t="shared" si="49"/>
        <v/>
      </c>
      <c r="AF165" s="18"/>
      <c r="AG165" s="18"/>
      <c r="AH165" s="18" t="str">
        <f t="shared" si="50"/>
        <v/>
      </c>
      <c r="AI165" s="18"/>
      <c r="AJ165" s="18"/>
      <c r="AK165" s="18" t="str">
        <f t="shared" si="51"/>
        <v/>
      </c>
      <c r="AL165" s="18"/>
      <c r="AM165" s="18"/>
      <c r="AN165" s="18" t="str">
        <f t="shared" si="52"/>
        <v/>
      </c>
      <c r="AO165" s="18"/>
      <c r="AP165" s="18"/>
      <c r="AQ165" s="18" t="str">
        <f t="shared" si="53"/>
        <v/>
      </c>
      <c r="AR165" s="18"/>
      <c r="AS165" s="18"/>
      <c r="AT165" s="18" t="str">
        <f t="shared" si="54"/>
        <v/>
      </c>
      <c r="AU165" s="18"/>
      <c r="AV165" s="18"/>
      <c r="AW165" s="18" t="str">
        <f t="shared" si="55"/>
        <v/>
      </c>
      <c r="AX165" s="18"/>
      <c r="AY165" s="18"/>
      <c r="AZ165" s="18" t="str">
        <f t="shared" si="56"/>
        <v/>
      </c>
      <c r="BA165" s="18">
        <v>668</v>
      </c>
      <c r="BB165" s="18"/>
      <c r="BC165" s="18">
        <f t="shared" si="57"/>
        <v>0</v>
      </c>
      <c r="BD165" s="18"/>
      <c r="BE165" s="18"/>
      <c r="BF165" s="18" t="str">
        <f t="shared" si="58"/>
        <v/>
      </c>
      <c r="BG165" s="18"/>
      <c r="BH165" s="18"/>
      <c r="BI165" s="18" t="str">
        <f t="shared" si="59"/>
        <v/>
      </c>
      <c r="BJ165" s="18"/>
      <c r="BK165" s="18"/>
      <c r="BL165" s="18" t="str">
        <f t="shared" si="60"/>
        <v/>
      </c>
      <c r="BM165" s="18"/>
      <c r="BN165" s="18"/>
      <c r="BO165" s="18" t="str">
        <f t="shared" si="61"/>
        <v/>
      </c>
      <c r="BP165" s="18"/>
      <c r="BQ165" s="18"/>
      <c r="BR165" s="18" t="str">
        <f t="shared" si="62"/>
        <v/>
      </c>
    </row>
    <row r="166" spans="1:70" ht="25.5" x14ac:dyDescent="0.25">
      <c r="A166" s="2" t="s">
        <v>1011</v>
      </c>
      <c r="B166" s="2" t="str">
        <f>VLOOKUP($A166,[2]Projekty!$A$2:$AR$1147,4,0)</f>
        <v>OPKZP-PO1-SC111-2016-11</v>
      </c>
      <c r="C166" s="2" t="str">
        <f>VLOOKUP($A166,[2]Projekty!$A$2:$AR$1147,6,0)</f>
        <v>Mesto Topoľčany</v>
      </c>
      <c r="D166" s="2" t="str">
        <f>VLOOKUP($A166,[2]Projekty!$A$2:$AR$1147,7,0)</f>
        <v>Rozšírenie a intenzifikácia prevádzky kompostárne bioodpadov mesta Topoľčany</v>
      </c>
      <c r="E166" s="2" t="str">
        <f>VLOOKUP($A166,[2]Projekty!$A$2:$AR$1147,9,0)</f>
        <v>NR</v>
      </c>
      <c r="F166" s="2" t="str">
        <f>VLOOKUP($A166,[2]Projekty!$A$2:$AR$1147,14,0)</f>
        <v>Realizácia</v>
      </c>
      <c r="G166" s="61">
        <f>VLOOKUP($A166,'[2]Dĺžka realizácie'!$A$2:$AR$1148,8,0)</f>
        <v>43251</v>
      </c>
      <c r="H166" s="18"/>
      <c r="I166" s="18"/>
      <c r="J166" s="18" t="str">
        <f t="shared" si="42"/>
        <v/>
      </c>
      <c r="K166" s="18"/>
      <c r="L166" s="18"/>
      <c r="M166" s="18" t="str">
        <f t="shared" si="43"/>
        <v/>
      </c>
      <c r="N166" s="18"/>
      <c r="O166" s="18"/>
      <c r="P166" s="18" t="str">
        <f t="shared" si="44"/>
        <v/>
      </c>
      <c r="Q166" s="18"/>
      <c r="R166" s="18"/>
      <c r="S166" s="18" t="str">
        <f t="shared" si="45"/>
        <v/>
      </c>
      <c r="T166" s="18"/>
      <c r="U166" s="18"/>
      <c r="V166" s="18" t="str">
        <f t="shared" si="46"/>
        <v/>
      </c>
      <c r="W166" s="18">
        <v>2000</v>
      </c>
      <c r="X166" s="18"/>
      <c r="Y166" s="18">
        <f t="shared" si="47"/>
        <v>2000</v>
      </c>
      <c r="Z166" s="18"/>
      <c r="AA166" s="18"/>
      <c r="AB166" s="18" t="str">
        <f t="shared" si="48"/>
        <v/>
      </c>
      <c r="AC166" s="18"/>
      <c r="AD166" s="18"/>
      <c r="AE166" s="18" t="str">
        <f t="shared" si="49"/>
        <v/>
      </c>
      <c r="AF166" s="18"/>
      <c r="AG166" s="18"/>
      <c r="AH166" s="18" t="str">
        <f t="shared" si="50"/>
        <v/>
      </c>
      <c r="AI166" s="18"/>
      <c r="AJ166" s="18"/>
      <c r="AK166" s="18" t="str">
        <f t="shared" si="51"/>
        <v/>
      </c>
      <c r="AL166" s="18"/>
      <c r="AM166" s="18"/>
      <c r="AN166" s="18" t="str">
        <f t="shared" si="52"/>
        <v/>
      </c>
      <c r="AO166" s="18"/>
      <c r="AP166" s="18"/>
      <c r="AQ166" s="18" t="str">
        <f t="shared" si="53"/>
        <v/>
      </c>
      <c r="AR166" s="18"/>
      <c r="AS166" s="18"/>
      <c r="AT166" s="18" t="str">
        <f t="shared" si="54"/>
        <v/>
      </c>
      <c r="AU166" s="18"/>
      <c r="AV166" s="18"/>
      <c r="AW166" s="18" t="str">
        <f t="shared" si="55"/>
        <v/>
      </c>
      <c r="AX166" s="18"/>
      <c r="AY166" s="18"/>
      <c r="AZ166" s="18" t="str">
        <f t="shared" si="56"/>
        <v/>
      </c>
      <c r="BA166" s="18"/>
      <c r="BB166" s="18"/>
      <c r="BC166" s="18" t="str">
        <f t="shared" si="57"/>
        <v/>
      </c>
      <c r="BD166" s="18">
        <v>2500</v>
      </c>
      <c r="BE166" s="18"/>
      <c r="BF166" s="18">
        <f t="shared" si="58"/>
        <v>2500</v>
      </c>
      <c r="BG166" s="18"/>
      <c r="BH166" s="18"/>
      <c r="BI166" s="18" t="str">
        <f t="shared" si="59"/>
        <v/>
      </c>
      <c r="BJ166" s="18"/>
      <c r="BK166" s="18"/>
      <c r="BL166" s="18" t="str">
        <f t="shared" si="60"/>
        <v/>
      </c>
      <c r="BM166" s="18"/>
      <c r="BN166" s="18"/>
      <c r="BO166" s="18" t="str">
        <f t="shared" si="61"/>
        <v/>
      </c>
      <c r="BP166" s="18"/>
      <c r="BQ166" s="18"/>
      <c r="BR166" s="18" t="str">
        <f t="shared" si="62"/>
        <v/>
      </c>
    </row>
    <row r="167" spans="1:70" ht="38.25" x14ac:dyDescent="0.25">
      <c r="A167" s="2" t="s">
        <v>1012</v>
      </c>
      <c r="B167" s="2" t="str">
        <f>VLOOKUP($A167,[2]Projekty!$A$2:$AR$1147,4,0)</f>
        <v>OPKZP-PO1-SC111-2016-11</v>
      </c>
      <c r="C167" s="2" t="str">
        <f>VLOOKUP($A167,[2]Projekty!$A$2:$AR$1147,6,0)</f>
        <v>Mesto Hanušovce nad Topľou</v>
      </c>
      <c r="D167" s="2" t="str">
        <f>VLOOKUP($A167,[2]Projekty!$A$2:$AR$1147,7,0)</f>
        <v>Kompostáreň na zhodnocovanie biologicky rozložiteľného odpadu v meste Hanušovce nad Topľou</v>
      </c>
      <c r="E167" s="2" t="str">
        <f>VLOOKUP($A167,[2]Projekty!$A$2:$AR$1147,9,0)</f>
        <v>PO</v>
      </c>
      <c r="F167" s="2" t="str">
        <f>VLOOKUP($A167,[2]Projekty!$A$2:$AR$1147,14,0)</f>
        <v>Realizácia</v>
      </c>
      <c r="G167" s="61">
        <f>VLOOKUP($A167,'[2]Dĺžka realizácie'!$A$2:$AR$1148,8,0)</f>
        <v>43131</v>
      </c>
      <c r="H167" s="18"/>
      <c r="I167" s="18"/>
      <c r="J167" s="18" t="str">
        <f t="shared" si="42"/>
        <v/>
      </c>
      <c r="K167" s="18"/>
      <c r="L167" s="18"/>
      <c r="M167" s="18" t="str">
        <f t="shared" si="43"/>
        <v/>
      </c>
      <c r="N167" s="18"/>
      <c r="O167" s="18"/>
      <c r="P167" s="18" t="str">
        <f t="shared" si="44"/>
        <v/>
      </c>
      <c r="Q167" s="18"/>
      <c r="R167" s="18"/>
      <c r="S167" s="18" t="str">
        <f t="shared" si="45"/>
        <v/>
      </c>
      <c r="T167" s="18"/>
      <c r="U167" s="18"/>
      <c r="V167" s="18" t="str">
        <f t="shared" si="46"/>
        <v/>
      </c>
      <c r="W167" s="18">
        <v>90</v>
      </c>
      <c r="X167" s="18"/>
      <c r="Y167" s="18">
        <f t="shared" si="47"/>
        <v>90</v>
      </c>
      <c r="Z167" s="18"/>
      <c r="AA167" s="18"/>
      <c r="AB167" s="18" t="str">
        <f t="shared" si="48"/>
        <v/>
      </c>
      <c r="AC167" s="18"/>
      <c r="AD167" s="18"/>
      <c r="AE167" s="18" t="str">
        <f t="shared" si="49"/>
        <v/>
      </c>
      <c r="AF167" s="18"/>
      <c r="AG167" s="18"/>
      <c r="AH167" s="18" t="str">
        <f t="shared" si="50"/>
        <v/>
      </c>
      <c r="AI167" s="18"/>
      <c r="AJ167" s="18"/>
      <c r="AK167" s="18" t="str">
        <f t="shared" si="51"/>
        <v/>
      </c>
      <c r="AL167" s="18"/>
      <c r="AM167" s="18"/>
      <c r="AN167" s="18" t="str">
        <f t="shared" si="52"/>
        <v/>
      </c>
      <c r="AO167" s="18"/>
      <c r="AP167" s="18"/>
      <c r="AQ167" s="18" t="str">
        <f t="shared" si="53"/>
        <v/>
      </c>
      <c r="AR167" s="18"/>
      <c r="AS167" s="18"/>
      <c r="AT167" s="18" t="str">
        <f t="shared" si="54"/>
        <v/>
      </c>
      <c r="AU167" s="18"/>
      <c r="AV167" s="18"/>
      <c r="AW167" s="18" t="str">
        <f t="shared" si="55"/>
        <v/>
      </c>
      <c r="AX167" s="18"/>
      <c r="AY167" s="18"/>
      <c r="AZ167" s="18" t="str">
        <f t="shared" si="56"/>
        <v/>
      </c>
      <c r="BA167" s="18"/>
      <c r="BB167" s="18"/>
      <c r="BC167" s="18" t="str">
        <f t="shared" si="57"/>
        <v/>
      </c>
      <c r="BD167" s="18">
        <v>100</v>
      </c>
      <c r="BE167" s="18"/>
      <c r="BF167" s="18">
        <f t="shared" si="58"/>
        <v>100</v>
      </c>
      <c r="BG167" s="18"/>
      <c r="BH167" s="18"/>
      <c r="BI167" s="18" t="str">
        <f t="shared" si="59"/>
        <v/>
      </c>
      <c r="BJ167" s="18"/>
      <c r="BK167" s="18"/>
      <c r="BL167" s="18" t="str">
        <f t="shared" si="60"/>
        <v/>
      </c>
      <c r="BM167" s="18"/>
      <c r="BN167" s="18"/>
      <c r="BO167" s="18" t="str">
        <f t="shared" si="61"/>
        <v/>
      </c>
      <c r="BP167" s="18"/>
      <c r="BQ167" s="18"/>
      <c r="BR167" s="18" t="str">
        <f t="shared" si="62"/>
        <v/>
      </c>
    </row>
    <row r="168" spans="1:70" ht="25.5" x14ac:dyDescent="0.25">
      <c r="A168" s="2" t="s">
        <v>1013</v>
      </c>
      <c r="B168" s="2" t="str">
        <f>VLOOKUP($A168,[2]Projekty!$A$2:$AR$1147,4,0)</f>
        <v>OPKZP-PO1-SC111-2016-11</v>
      </c>
      <c r="C168" s="2" t="str">
        <f>VLOOKUP($A168,[2]Projekty!$A$2:$AR$1147,6,0)</f>
        <v>Obec Lužianky</v>
      </c>
      <c r="D168" s="2" t="str">
        <f>VLOOKUP($A168,[2]Projekty!$A$2:$AR$1147,7,0)</f>
        <v>Zhodnocovanie biologicky rozložiteľného komunálneho odpadu obce Lužianky</v>
      </c>
      <c r="E168" s="2" t="str">
        <f>VLOOKUP($A168,[2]Projekty!$A$2:$AR$1147,9,0)</f>
        <v>NR</v>
      </c>
      <c r="F168" s="2" t="str">
        <f>VLOOKUP($A168,[2]Projekty!$A$2:$AR$1147,14,0)</f>
        <v>Aktivity nezačaté</v>
      </c>
      <c r="G168" s="61">
        <f>VLOOKUP($A168,'[2]Dĺžka realizácie'!$A$2:$AR$1148,8,0)</f>
        <v>43738</v>
      </c>
      <c r="H168" s="18"/>
      <c r="I168" s="18"/>
      <c r="J168" s="18" t="str">
        <f t="shared" si="42"/>
        <v/>
      </c>
      <c r="K168" s="18"/>
      <c r="L168" s="18"/>
      <c r="M168" s="18" t="str">
        <f t="shared" si="43"/>
        <v/>
      </c>
      <c r="N168" s="18"/>
      <c r="O168" s="18"/>
      <c r="P168" s="18" t="str">
        <f t="shared" si="44"/>
        <v/>
      </c>
      <c r="Q168" s="18"/>
      <c r="R168" s="18"/>
      <c r="S168" s="18" t="str">
        <f t="shared" si="45"/>
        <v/>
      </c>
      <c r="T168" s="18"/>
      <c r="U168" s="18"/>
      <c r="V168" s="18" t="str">
        <f t="shared" si="46"/>
        <v/>
      </c>
      <c r="W168" s="18">
        <v>380</v>
      </c>
      <c r="X168" s="18"/>
      <c r="Y168" s="18">
        <f t="shared" si="47"/>
        <v>0</v>
      </c>
      <c r="Z168" s="18"/>
      <c r="AA168" s="18"/>
      <c r="AB168" s="18" t="str">
        <f t="shared" si="48"/>
        <v/>
      </c>
      <c r="AC168" s="18"/>
      <c r="AD168" s="18"/>
      <c r="AE168" s="18" t="str">
        <f t="shared" si="49"/>
        <v/>
      </c>
      <c r="AF168" s="18"/>
      <c r="AG168" s="18"/>
      <c r="AH168" s="18" t="str">
        <f t="shared" si="50"/>
        <v/>
      </c>
      <c r="AI168" s="18"/>
      <c r="AJ168" s="18"/>
      <c r="AK168" s="18" t="str">
        <f t="shared" si="51"/>
        <v/>
      </c>
      <c r="AL168" s="18"/>
      <c r="AM168" s="18"/>
      <c r="AN168" s="18" t="str">
        <f t="shared" si="52"/>
        <v/>
      </c>
      <c r="AO168" s="18"/>
      <c r="AP168" s="18"/>
      <c r="AQ168" s="18" t="str">
        <f t="shared" si="53"/>
        <v/>
      </c>
      <c r="AR168" s="18"/>
      <c r="AS168" s="18"/>
      <c r="AT168" s="18" t="str">
        <f t="shared" si="54"/>
        <v/>
      </c>
      <c r="AU168" s="18"/>
      <c r="AV168" s="18"/>
      <c r="AW168" s="18" t="str">
        <f t="shared" si="55"/>
        <v/>
      </c>
      <c r="AX168" s="18"/>
      <c r="AY168" s="18"/>
      <c r="AZ168" s="18" t="str">
        <f t="shared" si="56"/>
        <v/>
      </c>
      <c r="BA168" s="18"/>
      <c r="BB168" s="18"/>
      <c r="BC168" s="18" t="str">
        <f t="shared" si="57"/>
        <v/>
      </c>
      <c r="BD168" s="18">
        <v>380</v>
      </c>
      <c r="BE168" s="18"/>
      <c r="BF168" s="18">
        <f t="shared" si="58"/>
        <v>0</v>
      </c>
      <c r="BG168" s="18"/>
      <c r="BH168" s="18"/>
      <c r="BI168" s="18" t="str">
        <f t="shared" si="59"/>
        <v/>
      </c>
      <c r="BJ168" s="18"/>
      <c r="BK168" s="18"/>
      <c r="BL168" s="18" t="str">
        <f t="shared" si="60"/>
        <v/>
      </c>
      <c r="BM168" s="18"/>
      <c r="BN168" s="18"/>
      <c r="BO168" s="18" t="str">
        <f t="shared" si="61"/>
        <v/>
      </c>
      <c r="BP168" s="18"/>
      <c r="BQ168" s="18"/>
      <c r="BR168" s="18" t="str">
        <f t="shared" si="62"/>
        <v/>
      </c>
    </row>
    <row r="169" spans="1:70" ht="25.5" x14ac:dyDescent="0.25">
      <c r="A169" s="2" t="s">
        <v>1021</v>
      </c>
      <c r="B169" s="2" t="str">
        <f>VLOOKUP($A169,[2]Projekty!$A$2:$AR$1147,4,0)</f>
        <v>OPKZP-PO1-SC111-2016-11</v>
      </c>
      <c r="C169" s="2" t="str">
        <f>VLOOKUP($A169,[2]Projekty!$A$2:$AR$1147,6,0)</f>
        <v>Odvoz a likvidácia odpadu a.s.</v>
      </c>
      <c r="D169" s="2" t="str">
        <f>VLOOKUP($A169,[2]Projekty!$A$2:$AR$1147,7,0)</f>
        <v>Zber a zhodnotenie BRO mesta Bratislava - I. etapa</v>
      </c>
      <c r="E169" s="2" t="str">
        <f>VLOOKUP($A169,[2]Projekty!$A$2:$AR$1147,9,0)</f>
        <v>BA</v>
      </c>
      <c r="F169" s="2" t="str">
        <f>VLOOKUP($A169,[2]Projekty!$A$2:$AR$1147,14,0)</f>
        <v>Aktivity nezačaté</v>
      </c>
      <c r="G169" s="61">
        <f>VLOOKUP($A169,'[2]Dĺžka realizácie'!$A$2:$AR$1148,8,0)</f>
        <v>43465</v>
      </c>
      <c r="H169" s="18"/>
      <c r="I169" s="18"/>
      <c r="J169" s="18" t="str">
        <f t="shared" si="42"/>
        <v/>
      </c>
      <c r="K169" s="18"/>
      <c r="L169" s="18"/>
      <c r="M169" s="18" t="str">
        <f t="shared" si="43"/>
        <v/>
      </c>
      <c r="N169" s="18"/>
      <c r="O169" s="18"/>
      <c r="P169" s="18" t="str">
        <f t="shared" si="44"/>
        <v/>
      </c>
      <c r="Q169" s="18"/>
      <c r="R169" s="18"/>
      <c r="S169" s="18" t="str">
        <f t="shared" si="45"/>
        <v/>
      </c>
      <c r="T169" s="18">
        <v>3500</v>
      </c>
      <c r="U169" s="18"/>
      <c r="V169" s="18">
        <f t="shared" si="46"/>
        <v>3500</v>
      </c>
      <c r="W169" s="18"/>
      <c r="X169" s="18"/>
      <c r="Y169" s="18" t="str">
        <f t="shared" si="47"/>
        <v/>
      </c>
      <c r="Z169" s="18"/>
      <c r="AA169" s="18"/>
      <c r="AB169" s="18" t="str">
        <f t="shared" si="48"/>
        <v/>
      </c>
      <c r="AC169" s="18"/>
      <c r="AD169" s="18"/>
      <c r="AE169" s="18" t="str">
        <f t="shared" si="49"/>
        <v/>
      </c>
      <c r="AF169" s="18"/>
      <c r="AG169" s="18"/>
      <c r="AH169" s="18" t="str">
        <f t="shared" si="50"/>
        <v/>
      </c>
      <c r="AI169" s="18"/>
      <c r="AJ169" s="18"/>
      <c r="AK169" s="18" t="str">
        <f t="shared" si="51"/>
        <v/>
      </c>
      <c r="AL169" s="18"/>
      <c r="AM169" s="18"/>
      <c r="AN169" s="18" t="str">
        <f t="shared" si="52"/>
        <v/>
      </c>
      <c r="AO169" s="18"/>
      <c r="AP169" s="18"/>
      <c r="AQ169" s="18" t="str">
        <f t="shared" si="53"/>
        <v/>
      </c>
      <c r="AR169" s="18"/>
      <c r="AS169" s="18"/>
      <c r="AT169" s="18" t="str">
        <f t="shared" si="54"/>
        <v/>
      </c>
      <c r="AU169" s="18"/>
      <c r="AV169" s="18"/>
      <c r="AW169" s="18" t="str">
        <f t="shared" si="55"/>
        <v/>
      </c>
      <c r="AX169" s="18"/>
      <c r="AY169" s="18"/>
      <c r="AZ169" s="18" t="str">
        <f t="shared" si="56"/>
        <v/>
      </c>
      <c r="BA169" s="18">
        <v>3500</v>
      </c>
      <c r="BB169" s="18"/>
      <c r="BC169" s="18">
        <f t="shared" si="57"/>
        <v>3500</v>
      </c>
      <c r="BD169" s="18"/>
      <c r="BE169" s="18"/>
      <c r="BF169" s="18" t="str">
        <f t="shared" si="58"/>
        <v/>
      </c>
      <c r="BG169" s="18"/>
      <c r="BH169" s="18"/>
      <c r="BI169" s="18" t="str">
        <f t="shared" si="59"/>
        <v/>
      </c>
      <c r="BJ169" s="18"/>
      <c r="BK169" s="18"/>
      <c r="BL169" s="18" t="str">
        <f t="shared" si="60"/>
        <v/>
      </c>
      <c r="BM169" s="18"/>
      <c r="BN169" s="18"/>
      <c r="BO169" s="18" t="str">
        <f t="shared" si="61"/>
        <v/>
      </c>
      <c r="BP169" s="18"/>
      <c r="BQ169" s="18"/>
      <c r="BR169" s="18" t="str">
        <f t="shared" si="62"/>
        <v/>
      </c>
    </row>
    <row r="170" spans="1:70" ht="25.5" x14ac:dyDescent="0.25">
      <c r="A170" s="2" t="s">
        <v>1041</v>
      </c>
      <c r="B170" s="2" t="str">
        <f>VLOOKUP($A170,[2]Projekty!$A$2:$AR$1147,4,0)</f>
        <v>OPKZP-PO1-SC111-2016-16</v>
      </c>
      <c r="C170" s="2" t="str">
        <f>VLOOKUP($A170,[2]Projekty!$A$2:$AR$1147,6,0)</f>
        <v>ZEDKO, s.r.o.</v>
      </c>
      <c r="D170" s="2" t="str">
        <f>VLOOKUP($A170,[2]Projekty!$A$2:$AR$1147,7,0)</f>
        <v>Zvýšenie miery recyklácie elektroodpadu v spoločnosti ZEDKO, s.r.o.</v>
      </c>
      <c r="E170" s="2" t="str">
        <f>VLOOKUP($A170,[2]Projekty!$A$2:$AR$1147,9,0)</f>
        <v>BB</v>
      </c>
      <c r="F170" s="2" t="str">
        <f>VLOOKUP($A170,[2]Projekty!$A$2:$AR$1147,14,0)</f>
        <v>Aktivity nezačaté</v>
      </c>
      <c r="G170" s="61">
        <f>VLOOKUP($A170,'[2]Dĺžka realizácie'!$A$2:$AR$1148,8,0)</f>
        <v>43343</v>
      </c>
      <c r="H170" s="18"/>
      <c r="I170" s="18"/>
      <c r="J170" s="18" t="str">
        <f t="shared" si="42"/>
        <v/>
      </c>
      <c r="K170" s="18"/>
      <c r="L170" s="18"/>
      <c r="M170" s="18" t="str">
        <f t="shared" si="43"/>
        <v/>
      </c>
      <c r="N170" s="18"/>
      <c r="O170" s="18"/>
      <c r="P170" s="18" t="str">
        <f t="shared" si="44"/>
        <v/>
      </c>
      <c r="Q170" s="18">
        <v>100</v>
      </c>
      <c r="R170" s="18"/>
      <c r="S170" s="18">
        <f t="shared" si="45"/>
        <v>100</v>
      </c>
      <c r="T170" s="18"/>
      <c r="U170" s="18"/>
      <c r="V170" s="18" t="str">
        <f t="shared" si="46"/>
        <v/>
      </c>
      <c r="W170" s="18"/>
      <c r="X170" s="18"/>
      <c r="Y170" s="18" t="str">
        <f t="shared" si="47"/>
        <v/>
      </c>
      <c r="Z170" s="18"/>
      <c r="AA170" s="18"/>
      <c r="AB170" s="18" t="str">
        <f t="shared" si="48"/>
        <v/>
      </c>
      <c r="AC170" s="18"/>
      <c r="AD170" s="18"/>
      <c r="AE170" s="18" t="str">
        <f t="shared" si="49"/>
        <v/>
      </c>
      <c r="AF170" s="18"/>
      <c r="AG170" s="18"/>
      <c r="AH170" s="18" t="str">
        <f t="shared" si="50"/>
        <v/>
      </c>
      <c r="AI170" s="18"/>
      <c r="AJ170" s="18"/>
      <c r="AK170" s="18" t="str">
        <f t="shared" si="51"/>
        <v/>
      </c>
      <c r="AL170" s="18"/>
      <c r="AM170" s="18"/>
      <c r="AN170" s="18" t="str">
        <f t="shared" si="52"/>
        <v/>
      </c>
      <c r="AO170" s="18"/>
      <c r="AP170" s="18"/>
      <c r="AQ170" s="18" t="str">
        <f t="shared" si="53"/>
        <v/>
      </c>
      <c r="AR170" s="18"/>
      <c r="AS170" s="18"/>
      <c r="AT170" s="18" t="str">
        <f t="shared" si="54"/>
        <v/>
      </c>
      <c r="AU170" s="18"/>
      <c r="AV170" s="18"/>
      <c r="AW170" s="18" t="str">
        <f t="shared" si="55"/>
        <v/>
      </c>
      <c r="AX170" s="18"/>
      <c r="AY170" s="18"/>
      <c r="AZ170" s="18" t="str">
        <f t="shared" si="56"/>
        <v/>
      </c>
      <c r="BA170" s="18"/>
      <c r="BB170" s="18"/>
      <c r="BC170" s="18" t="str">
        <f t="shared" si="57"/>
        <v/>
      </c>
      <c r="BD170" s="18">
        <v>100</v>
      </c>
      <c r="BE170" s="18"/>
      <c r="BF170" s="18">
        <f t="shared" si="58"/>
        <v>100</v>
      </c>
      <c r="BG170" s="18"/>
      <c r="BH170" s="18"/>
      <c r="BI170" s="18" t="str">
        <f t="shared" si="59"/>
        <v/>
      </c>
      <c r="BJ170" s="18">
        <v>100</v>
      </c>
      <c r="BK170" s="18"/>
      <c r="BL170" s="18">
        <f t="shared" si="60"/>
        <v>100</v>
      </c>
      <c r="BM170" s="18"/>
      <c r="BN170" s="18"/>
      <c r="BO170" s="18" t="str">
        <f t="shared" si="61"/>
        <v/>
      </c>
      <c r="BP170" s="18"/>
      <c r="BQ170" s="18"/>
      <c r="BR170" s="18" t="str">
        <f t="shared" si="62"/>
        <v/>
      </c>
    </row>
    <row r="171" spans="1:70" ht="25.5" x14ac:dyDescent="0.25">
      <c r="A171" s="2" t="s">
        <v>1044</v>
      </c>
      <c r="B171" s="2" t="str">
        <f>VLOOKUP($A171,[2]Projekty!$A$2:$AR$1147,4,0)</f>
        <v>OPKZP-PO1-SC111-2016-16</v>
      </c>
      <c r="C171" s="2" t="str">
        <f>VLOOKUP($A171,[2]Projekty!$A$2:$AR$1147,6,0)</f>
        <v>AGRO CS Slovakia, a.s.</v>
      </c>
      <c r="D171" s="2" t="str">
        <f>VLOOKUP($A171,[2]Projekty!$A$2:$AR$1147,7,0)</f>
        <v>Zhodnocovanie biologicky rozložiteľného odpadu vo výrobe spoločnosti AGRO CS Slovakia, a.s.</v>
      </c>
      <c r="E171" s="2" t="str">
        <f>VLOOKUP($A171,[2]Projekty!$A$2:$AR$1147,9,0)</f>
        <v>BB</v>
      </c>
      <c r="F171" s="2" t="str">
        <f>VLOOKUP($A171,[2]Projekty!$A$2:$AR$1147,14,0)</f>
        <v>Aktivity nezačaté</v>
      </c>
      <c r="G171" s="61">
        <f>VLOOKUP($A171,'[2]Dĺžka realizácie'!$A$2:$AR$1148,8,0)</f>
        <v>43465</v>
      </c>
      <c r="H171" s="18"/>
      <c r="I171" s="18"/>
      <c r="J171" s="18" t="str">
        <f t="shared" si="42"/>
        <v/>
      </c>
      <c r="K171" s="18"/>
      <c r="L171" s="18"/>
      <c r="M171" s="18" t="str">
        <f t="shared" si="43"/>
        <v/>
      </c>
      <c r="N171" s="18"/>
      <c r="O171" s="18"/>
      <c r="P171" s="18" t="str">
        <f t="shared" si="44"/>
        <v/>
      </c>
      <c r="Q171" s="18">
        <v>10000</v>
      </c>
      <c r="R171" s="18"/>
      <c r="S171" s="18">
        <f t="shared" si="45"/>
        <v>10000</v>
      </c>
      <c r="T171" s="18"/>
      <c r="U171" s="18"/>
      <c r="V171" s="18" t="str">
        <f t="shared" si="46"/>
        <v/>
      </c>
      <c r="W171" s="18">
        <v>10000</v>
      </c>
      <c r="X171" s="18"/>
      <c r="Y171" s="18">
        <f t="shared" si="47"/>
        <v>10000</v>
      </c>
      <c r="Z171" s="18"/>
      <c r="AA171" s="18"/>
      <c r="AB171" s="18" t="str">
        <f t="shared" si="48"/>
        <v/>
      </c>
      <c r="AC171" s="18"/>
      <c r="AD171" s="18"/>
      <c r="AE171" s="18" t="str">
        <f t="shared" si="49"/>
        <v/>
      </c>
      <c r="AF171" s="18"/>
      <c r="AG171" s="18"/>
      <c r="AH171" s="18" t="str">
        <f t="shared" si="50"/>
        <v/>
      </c>
      <c r="AI171" s="18"/>
      <c r="AJ171" s="18"/>
      <c r="AK171" s="18" t="str">
        <f t="shared" si="51"/>
        <v/>
      </c>
      <c r="AL171" s="18"/>
      <c r="AM171" s="18"/>
      <c r="AN171" s="18" t="str">
        <f t="shared" si="52"/>
        <v/>
      </c>
      <c r="AO171" s="18"/>
      <c r="AP171" s="18"/>
      <c r="AQ171" s="18" t="str">
        <f t="shared" si="53"/>
        <v/>
      </c>
      <c r="AR171" s="18"/>
      <c r="AS171" s="18"/>
      <c r="AT171" s="18" t="str">
        <f t="shared" si="54"/>
        <v/>
      </c>
      <c r="AU171" s="18"/>
      <c r="AV171" s="18"/>
      <c r="AW171" s="18" t="str">
        <f t="shared" si="55"/>
        <v/>
      </c>
      <c r="AX171" s="18"/>
      <c r="AY171" s="18"/>
      <c r="AZ171" s="18" t="str">
        <f t="shared" si="56"/>
        <v/>
      </c>
      <c r="BA171" s="18"/>
      <c r="BB171" s="18"/>
      <c r="BC171" s="18" t="str">
        <f t="shared" si="57"/>
        <v/>
      </c>
      <c r="BD171" s="18">
        <v>10000</v>
      </c>
      <c r="BE171" s="18"/>
      <c r="BF171" s="18">
        <f t="shared" si="58"/>
        <v>10000</v>
      </c>
      <c r="BG171" s="18"/>
      <c r="BH171" s="18"/>
      <c r="BI171" s="18" t="str">
        <f t="shared" si="59"/>
        <v/>
      </c>
      <c r="BJ171" s="18">
        <v>10000</v>
      </c>
      <c r="BK171" s="18"/>
      <c r="BL171" s="18">
        <f t="shared" si="60"/>
        <v>10000</v>
      </c>
      <c r="BM171" s="18"/>
      <c r="BN171" s="18"/>
      <c r="BO171" s="18" t="str">
        <f t="shared" si="61"/>
        <v/>
      </c>
      <c r="BP171" s="18"/>
      <c r="BQ171" s="18"/>
      <c r="BR171" s="18" t="str">
        <f t="shared" si="62"/>
        <v/>
      </c>
    </row>
    <row r="172" spans="1:70" ht="38.25" x14ac:dyDescent="0.25">
      <c r="A172" s="2" t="s">
        <v>1035</v>
      </c>
      <c r="B172" s="2" t="str">
        <f>VLOOKUP($A172,[2]Projekty!$A$2:$AR$1147,4,0)</f>
        <v>OPKZP-PO1-SC111-2016-12</v>
      </c>
      <c r="C172" s="2" t="str">
        <f>VLOOKUP($A172,[2]Projekty!$A$2:$AR$1147,6,0)</f>
        <v>Ministerstvo životného prostredia SR</v>
      </c>
      <c r="D172" s="2" t="str">
        <f>VLOOKUP($A172,[2]Projekty!$A$2:$AR$1147,7,0)</f>
        <v>Vybudovanie a zavedenie jednotného environmentálneho monitorovacieho a informačného systému v odpadovom hospodárstve.</v>
      </c>
      <c r="E172" s="2" t="str">
        <f>VLOOKUP($A172,[2]Projekty!$A$2:$AR$1147,9,0)</f>
        <v>všetky kraje</v>
      </c>
      <c r="F172" s="2" t="str">
        <f>VLOOKUP($A172,[2]Projekty!$A$2:$AR$1147,14,0)</f>
        <v>Realizácia</v>
      </c>
      <c r="G172" s="61">
        <f>VLOOKUP($A172,'[2]Dĺžka realizácie'!$A$2:$AR$1148,8,0)</f>
        <v>44074</v>
      </c>
      <c r="H172" s="18"/>
      <c r="I172" s="18"/>
      <c r="J172" s="18" t="str">
        <f t="shared" si="42"/>
        <v/>
      </c>
      <c r="K172" s="18"/>
      <c r="L172" s="18"/>
      <c r="M172" s="18" t="str">
        <f t="shared" si="43"/>
        <v/>
      </c>
      <c r="N172" s="18"/>
      <c r="O172" s="18"/>
      <c r="P172" s="18" t="str">
        <f t="shared" si="44"/>
        <v/>
      </c>
      <c r="Q172" s="18"/>
      <c r="R172" s="18"/>
      <c r="S172" s="18" t="str">
        <f t="shared" si="45"/>
        <v/>
      </c>
      <c r="T172" s="18"/>
      <c r="U172" s="18"/>
      <c r="V172" s="18" t="str">
        <f t="shared" si="46"/>
        <v/>
      </c>
      <c r="W172" s="18"/>
      <c r="X172" s="18"/>
      <c r="Y172" s="18" t="str">
        <f t="shared" si="47"/>
        <v/>
      </c>
      <c r="Z172" s="18"/>
      <c r="AA172" s="18"/>
      <c r="AB172" s="18" t="str">
        <f t="shared" si="48"/>
        <v/>
      </c>
      <c r="AC172" s="18"/>
      <c r="AD172" s="18"/>
      <c r="AE172" s="18" t="str">
        <f t="shared" si="49"/>
        <v/>
      </c>
      <c r="AF172" s="18"/>
      <c r="AG172" s="18"/>
      <c r="AH172" s="18" t="str">
        <f t="shared" si="50"/>
        <v/>
      </c>
      <c r="AI172" s="18"/>
      <c r="AJ172" s="18"/>
      <c r="AK172" s="18" t="str">
        <f t="shared" si="51"/>
        <v/>
      </c>
      <c r="AL172" s="18"/>
      <c r="AM172" s="18"/>
      <c r="AN172" s="18" t="str">
        <f t="shared" si="52"/>
        <v/>
      </c>
      <c r="AO172" s="18"/>
      <c r="AP172" s="18"/>
      <c r="AQ172" s="18" t="str">
        <f t="shared" si="53"/>
        <v/>
      </c>
      <c r="AR172" s="18"/>
      <c r="AS172" s="18"/>
      <c r="AT172" s="18" t="str">
        <f t="shared" si="54"/>
        <v/>
      </c>
      <c r="AU172" s="18"/>
      <c r="AV172" s="18"/>
      <c r="AW172" s="18" t="str">
        <f t="shared" si="55"/>
        <v/>
      </c>
      <c r="AX172" s="18">
        <v>1</v>
      </c>
      <c r="AY172" s="18"/>
      <c r="AZ172" s="18">
        <f t="shared" si="56"/>
        <v>0</v>
      </c>
      <c r="BA172" s="18"/>
      <c r="BB172" s="18"/>
      <c r="BC172" s="18" t="str">
        <f t="shared" si="57"/>
        <v/>
      </c>
      <c r="BD172" s="18"/>
      <c r="BE172" s="18"/>
      <c r="BF172" s="18" t="str">
        <f t="shared" si="58"/>
        <v/>
      </c>
      <c r="BG172" s="18"/>
      <c r="BH172" s="18"/>
      <c r="BI172" s="18" t="str">
        <f t="shared" si="59"/>
        <v/>
      </c>
      <c r="BJ172" s="18"/>
      <c r="BK172" s="18"/>
      <c r="BL172" s="18" t="str">
        <f t="shared" si="60"/>
        <v/>
      </c>
      <c r="BM172" s="18"/>
      <c r="BN172" s="18"/>
      <c r="BO172" s="18" t="str">
        <f t="shared" si="61"/>
        <v/>
      </c>
      <c r="BP172" s="18"/>
      <c r="BQ172" s="18"/>
      <c r="BR172" s="18" t="str">
        <f t="shared" si="62"/>
        <v/>
      </c>
    </row>
    <row r="173" spans="1:70" ht="25.5" x14ac:dyDescent="0.25">
      <c r="A173" s="2" t="s">
        <v>1043</v>
      </c>
      <c r="B173" s="2" t="str">
        <f>VLOOKUP($A173,[2]Projekty!$A$2:$AR$1147,4,0)</f>
        <v>OPKZP-PO1-SC111-2016-16</v>
      </c>
      <c r="C173" s="2" t="str">
        <f>VLOOKUP($A173,[2]Projekty!$A$2:$AR$1147,6,0)</f>
        <v>EkoPellets Slovakia, s.r.o.</v>
      </c>
      <c r="D173" s="2" t="str">
        <f>VLOOKUP($A173,[2]Projekty!$A$2:$AR$1147,7,0)</f>
        <v>Kombinovaná linka na spracovanie piliny procesom lisovania – modernizácia prísunu piliny</v>
      </c>
      <c r="E173" s="2" t="str">
        <f>VLOOKUP($A173,[2]Projekty!$A$2:$AR$1147,9,0)</f>
        <v>ZA</v>
      </c>
      <c r="F173" s="2" t="str">
        <f>VLOOKUP($A173,[2]Projekty!$A$2:$AR$1147,14,0)</f>
        <v>Aktivity nezačaté</v>
      </c>
      <c r="G173" s="61">
        <f>VLOOKUP($A173,'[2]Dĺžka realizácie'!$A$2:$AR$1148,8,0)</f>
        <v>43100</v>
      </c>
      <c r="H173" s="18"/>
      <c r="I173" s="18"/>
      <c r="J173" s="18" t="str">
        <f t="shared" si="42"/>
        <v/>
      </c>
      <c r="K173" s="18"/>
      <c r="L173" s="18"/>
      <c r="M173" s="18" t="str">
        <f t="shared" si="43"/>
        <v/>
      </c>
      <c r="N173" s="18"/>
      <c r="O173" s="18"/>
      <c r="P173" s="18" t="str">
        <f t="shared" si="44"/>
        <v/>
      </c>
      <c r="Q173" s="18"/>
      <c r="R173" s="18"/>
      <c r="S173" s="18" t="str">
        <f t="shared" si="45"/>
        <v/>
      </c>
      <c r="T173" s="18"/>
      <c r="U173" s="18"/>
      <c r="V173" s="18" t="str">
        <f t="shared" si="46"/>
        <v/>
      </c>
      <c r="W173" s="18">
        <v>1300</v>
      </c>
      <c r="X173" s="18"/>
      <c r="Y173" s="18">
        <f t="shared" si="47"/>
        <v>1300</v>
      </c>
      <c r="Z173" s="18"/>
      <c r="AA173" s="18"/>
      <c r="AB173" s="18" t="str">
        <f t="shared" si="48"/>
        <v/>
      </c>
      <c r="AC173" s="18"/>
      <c r="AD173" s="18"/>
      <c r="AE173" s="18" t="str">
        <f t="shared" si="49"/>
        <v/>
      </c>
      <c r="AF173" s="18"/>
      <c r="AG173" s="18"/>
      <c r="AH173" s="18" t="str">
        <f t="shared" si="50"/>
        <v/>
      </c>
      <c r="AI173" s="18"/>
      <c r="AJ173" s="18"/>
      <c r="AK173" s="18" t="str">
        <f t="shared" si="51"/>
        <v/>
      </c>
      <c r="AL173" s="18"/>
      <c r="AM173" s="18"/>
      <c r="AN173" s="18" t="str">
        <f t="shared" si="52"/>
        <v/>
      </c>
      <c r="AO173" s="18"/>
      <c r="AP173" s="18"/>
      <c r="AQ173" s="18" t="str">
        <f t="shared" si="53"/>
        <v/>
      </c>
      <c r="AR173" s="18"/>
      <c r="AS173" s="18"/>
      <c r="AT173" s="18" t="str">
        <f t="shared" si="54"/>
        <v/>
      </c>
      <c r="AU173" s="18"/>
      <c r="AV173" s="18"/>
      <c r="AW173" s="18" t="str">
        <f t="shared" si="55"/>
        <v/>
      </c>
      <c r="AX173" s="18"/>
      <c r="AY173" s="18"/>
      <c r="AZ173" s="18" t="str">
        <f t="shared" si="56"/>
        <v/>
      </c>
      <c r="BA173" s="18"/>
      <c r="BB173" s="18"/>
      <c r="BC173" s="18" t="str">
        <f t="shared" si="57"/>
        <v/>
      </c>
      <c r="BD173" s="18">
        <v>1000</v>
      </c>
      <c r="BE173" s="18"/>
      <c r="BF173" s="18">
        <f t="shared" si="58"/>
        <v>1000</v>
      </c>
      <c r="BG173" s="18"/>
      <c r="BH173" s="18"/>
      <c r="BI173" s="18" t="str">
        <f t="shared" si="59"/>
        <v/>
      </c>
      <c r="BJ173" s="18"/>
      <c r="BK173" s="18"/>
      <c r="BL173" s="18" t="str">
        <f t="shared" si="60"/>
        <v/>
      </c>
      <c r="BM173" s="18"/>
      <c r="BN173" s="18"/>
      <c r="BO173" s="18" t="str">
        <f t="shared" si="61"/>
        <v/>
      </c>
      <c r="BP173" s="18"/>
      <c r="BQ173" s="18"/>
      <c r="BR173" s="18" t="str">
        <f t="shared" si="62"/>
        <v/>
      </c>
    </row>
    <row r="174" spans="1:70" ht="25.5" x14ac:dyDescent="0.25">
      <c r="A174" s="2" t="s">
        <v>1037</v>
      </c>
      <c r="B174" s="2" t="str">
        <f>VLOOKUP($A174,[2]Projekty!$A$2:$AR$1147,4,0)</f>
        <v>OPKZP-PO1-SC111-2016-15</v>
      </c>
      <c r="C174" s="2" t="str">
        <f>VLOOKUP($A174,[2]Projekty!$A$2:$AR$1147,6,0)</f>
        <v>DOPABAL s.r.o.</v>
      </c>
      <c r="D174" s="2" t="str">
        <f>VLOOKUP($A174,[2]Projekty!$A$2:$AR$1147,7,0)</f>
        <v>Zariadenie na recykláciu nebezpečných odpadov</v>
      </c>
      <c r="E174" s="2" t="str">
        <f>VLOOKUP($A174,[2]Projekty!$A$2:$AR$1147,9,0)</f>
        <v>PO</v>
      </c>
      <c r="F174" s="2" t="str">
        <f>VLOOKUP($A174,[2]Projekty!$A$2:$AR$1147,14,0)</f>
        <v>Aktivity nezačaté</v>
      </c>
      <c r="G174" s="61">
        <f>VLOOKUP($A174,'[2]Dĺžka realizácie'!$A$2:$AR$1148,8,0)</f>
        <v>43524</v>
      </c>
      <c r="H174" s="18"/>
      <c r="I174" s="18"/>
      <c r="J174" s="18" t="str">
        <f t="shared" si="42"/>
        <v/>
      </c>
      <c r="K174" s="18"/>
      <c r="L174" s="18"/>
      <c r="M174" s="18" t="str">
        <f t="shared" si="43"/>
        <v/>
      </c>
      <c r="N174" s="18">
        <v>2300</v>
      </c>
      <c r="O174" s="18"/>
      <c r="P174" s="18">
        <f t="shared" si="44"/>
        <v>0</v>
      </c>
      <c r="Q174" s="18"/>
      <c r="R174" s="18"/>
      <c r="S174" s="18" t="str">
        <f t="shared" si="45"/>
        <v/>
      </c>
      <c r="T174" s="18"/>
      <c r="U174" s="18"/>
      <c r="V174" s="18" t="str">
        <f t="shared" si="46"/>
        <v/>
      </c>
      <c r="W174" s="18"/>
      <c r="X174" s="18"/>
      <c r="Y174" s="18" t="str">
        <f t="shared" si="47"/>
        <v/>
      </c>
      <c r="Z174" s="18"/>
      <c r="AA174" s="18"/>
      <c r="AB174" s="18" t="str">
        <f t="shared" si="48"/>
        <v/>
      </c>
      <c r="AC174" s="18"/>
      <c r="AD174" s="18"/>
      <c r="AE174" s="18" t="str">
        <f t="shared" si="49"/>
        <v/>
      </c>
      <c r="AF174" s="18"/>
      <c r="AG174" s="18"/>
      <c r="AH174" s="18" t="str">
        <f t="shared" si="50"/>
        <v/>
      </c>
      <c r="AI174" s="18"/>
      <c r="AJ174" s="18"/>
      <c r="AK174" s="18" t="str">
        <f t="shared" si="51"/>
        <v/>
      </c>
      <c r="AL174" s="18"/>
      <c r="AM174" s="18"/>
      <c r="AN174" s="18" t="str">
        <f t="shared" si="52"/>
        <v/>
      </c>
      <c r="AO174" s="18"/>
      <c r="AP174" s="18"/>
      <c r="AQ174" s="18" t="str">
        <f t="shared" si="53"/>
        <v/>
      </c>
      <c r="AR174" s="18"/>
      <c r="AS174" s="18"/>
      <c r="AT174" s="18" t="str">
        <f t="shared" si="54"/>
        <v/>
      </c>
      <c r="AU174" s="18"/>
      <c r="AV174" s="18"/>
      <c r="AW174" s="18" t="str">
        <f t="shared" si="55"/>
        <v/>
      </c>
      <c r="AX174" s="18"/>
      <c r="AY174" s="18"/>
      <c r="AZ174" s="18" t="str">
        <f t="shared" si="56"/>
        <v/>
      </c>
      <c r="BA174" s="18"/>
      <c r="BB174" s="18"/>
      <c r="BC174" s="18" t="str">
        <f t="shared" si="57"/>
        <v/>
      </c>
      <c r="BD174" s="18"/>
      <c r="BE174" s="18"/>
      <c r="BF174" s="18" t="str">
        <f t="shared" si="58"/>
        <v/>
      </c>
      <c r="BG174" s="18">
        <v>2300</v>
      </c>
      <c r="BH174" s="18"/>
      <c r="BI174" s="18">
        <f t="shared" si="59"/>
        <v>0</v>
      </c>
      <c r="BJ174" s="18"/>
      <c r="BK174" s="18"/>
      <c r="BL174" s="18" t="str">
        <f t="shared" si="60"/>
        <v/>
      </c>
      <c r="BM174" s="18">
        <v>2300</v>
      </c>
      <c r="BN174" s="18"/>
      <c r="BO174" s="18">
        <f t="shared" si="61"/>
        <v>0</v>
      </c>
      <c r="BP174" s="18"/>
      <c r="BQ174" s="18"/>
      <c r="BR174" s="18" t="str">
        <f t="shared" si="62"/>
        <v/>
      </c>
    </row>
    <row r="175" spans="1:70" ht="25.5" x14ac:dyDescent="0.25">
      <c r="A175" s="2" t="s">
        <v>1039</v>
      </c>
      <c r="B175" s="2" t="str">
        <f>VLOOKUP($A175,[2]Projekty!$A$2:$AR$1147,4,0)</f>
        <v>OPKZP-PO1-SC111-2016-16</v>
      </c>
      <c r="C175" s="2" t="str">
        <f>VLOOKUP($A175,[2]Projekty!$A$2:$AR$1147,6,0)</f>
        <v>BUKÓZA INVEST spol. s.r.o.</v>
      </c>
      <c r="D175" s="2" t="str">
        <f>VLOOKUP($A175,[2]Projekty!$A$2:$AR$1147,7,0)</f>
        <v>Recyklácia zberového papiera za účelom výroby papiera (testlineru)</v>
      </c>
      <c r="E175" s="2" t="str">
        <f>VLOOKUP($A175,[2]Projekty!$A$2:$AR$1147,9,0)</f>
        <v>PO</v>
      </c>
      <c r="F175" s="2" t="str">
        <f>VLOOKUP($A175,[2]Projekty!$A$2:$AR$1147,14,0)</f>
        <v>Aktivity nezačaté</v>
      </c>
      <c r="G175" s="61">
        <f>VLOOKUP($A175,'[2]Dĺžka realizácie'!$A$2:$AR$1148,8,0)</f>
        <v>43465</v>
      </c>
      <c r="H175" s="18"/>
      <c r="I175" s="18"/>
      <c r="J175" s="18" t="str">
        <f t="shared" si="42"/>
        <v/>
      </c>
      <c r="K175" s="18"/>
      <c r="L175" s="18"/>
      <c r="M175" s="18" t="str">
        <f t="shared" si="43"/>
        <v/>
      </c>
      <c r="N175" s="18"/>
      <c r="O175" s="18"/>
      <c r="P175" s="18" t="str">
        <f t="shared" si="44"/>
        <v/>
      </c>
      <c r="Q175" s="18">
        <v>74000</v>
      </c>
      <c r="R175" s="18"/>
      <c r="S175" s="18">
        <f t="shared" si="45"/>
        <v>74000</v>
      </c>
      <c r="T175" s="18"/>
      <c r="U175" s="18"/>
      <c r="V175" s="18" t="str">
        <f t="shared" si="46"/>
        <v/>
      </c>
      <c r="W175" s="18"/>
      <c r="X175" s="18"/>
      <c r="Y175" s="18" t="str">
        <f t="shared" si="47"/>
        <v/>
      </c>
      <c r="Z175" s="18"/>
      <c r="AA175" s="18"/>
      <c r="AB175" s="18" t="str">
        <f t="shared" si="48"/>
        <v/>
      </c>
      <c r="AC175" s="18"/>
      <c r="AD175" s="18"/>
      <c r="AE175" s="18" t="str">
        <f t="shared" si="49"/>
        <v/>
      </c>
      <c r="AF175" s="18"/>
      <c r="AG175" s="18"/>
      <c r="AH175" s="18" t="str">
        <f t="shared" si="50"/>
        <v/>
      </c>
      <c r="AI175" s="18"/>
      <c r="AJ175" s="18"/>
      <c r="AK175" s="18" t="str">
        <f t="shared" si="51"/>
        <v/>
      </c>
      <c r="AL175" s="18"/>
      <c r="AM175" s="18"/>
      <c r="AN175" s="18" t="str">
        <f t="shared" si="52"/>
        <v/>
      </c>
      <c r="AO175" s="18"/>
      <c r="AP175" s="18"/>
      <c r="AQ175" s="18" t="str">
        <f t="shared" si="53"/>
        <v/>
      </c>
      <c r="AR175" s="18"/>
      <c r="AS175" s="18"/>
      <c r="AT175" s="18" t="str">
        <f t="shared" si="54"/>
        <v/>
      </c>
      <c r="AU175" s="18"/>
      <c r="AV175" s="18"/>
      <c r="AW175" s="18" t="str">
        <f t="shared" si="55"/>
        <v/>
      </c>
      <c r="AX175" s="18"/>
      <c r="AY175" s="18"/>
      <c r="AZ175" s="18" t="str">
        <f t="shared" si="56"/>
        <v/>
      </c>
      <c r="BA175" s="18"/>
      <c r="BB175" s="18"/>
      <c r="BC175" s="18" t="str">
        <f t="shared" si="57"/>
        <v/>
      </c>
      <c r="BD175" s="18">
        <v>74000</v>
      </c>
      <c r="BE175" s="18"/>
      <c r="BF175" s="18">
        <f t="shared" si="58"/>
        <v>74000</v>
      </c>
      <c r="BG175" s="18"/>
      <c r="BH175" s="18"/>
      <c r="BI175" s="18" t="str">
        <f t="shared" si="59"/>
        <v/>
      </c>
      <c r="BJ175" s="18">
        <v>74000</v>
      </c>
      <c r="BK175" s="18"/>
      <c r="BL175" s="18">
        <f t="shared" si="60"/>
        <v>74000</v>
      </c>
      <c r="BM175" s="18"/>
      <c r="BN175" s="18"/>
      <c r="BO175" s="18" t="str">
        <f t="shared" si="61"/>
        <v/>
      </c>
      <c r="BP175" s="18"/>
      <c r="BQ175" s="18"/>
      <c r="BR175" s="18" t="str">
        <f t="shared" si="62"/>
        <v/>
      </c>
    </row>
    <row r="176" spans="1:70" ht="25.5" x14ac:dyDescent="0.25">
      <c r="A176" s="2" t="s">
        <v>1038</v>
      </c>
      <c r="B176" s="2" t="str">
        <f>VLOOKUP($A176,[2]Projekty!$A$2:$AR$1147,4,0)</f>
        <v>OPKZP-PO1-SC111-2016-16</v>
      </c>
      <c r="C176" s="2" t="str">
        <f>VLOOKUP($A176,[2]Projekty!$A$2:$AR$1147,6,0)</f>
        <v>ELEKTRO RECYCLING, s.r.o.</v>
      </c>
      <c r="D176" s="2" t="str">
        <f>VLOOKUP($A176,[2]Projekty!$A$2:$AR$1147,7,0)</f>
        <v>Zvýšenie efektivity procesov spracovania odpadov pre opätovné použitie.</v>
      </c>
      <c r="E176" s="2" t="str">
        <f>VLOOKUP($A176,[2]Projekty!$A$2:$AR$1147,9,0)</f>
        <v>BB</v>
      </c>
      <c r="F176" s="2" t="str">
        <f>VLOOKUP($A176,[2]Projekty!$A$2:$AR$1147,14,0)</f>
        <v>Aktivity nezačaté</v>
      </c>
      <c r="G176" s="61">
        <f>VLOOKUP($A176,'[2]Dĺžka realizácie'!$A$2:$AR$1148,8,0)</f>
        <v>43616</v>
      </c>
      <c r="H176" s="18"/>
      <c r="I176" s="18"/>
      <c r="J176" s="18" t="str">
        <f t="shared" si="42"/>
        <v/>
      </c>
      <c r="K176" s="18"/>
      <c r="L176" s="18"/>
      <c r="M176" s="18" t="str">
        <f t="shared" si="43"/>
        <v/>
      </c>
      <c r="N176" s="18"/>
      <c r="O176" s="18"/>
      <c r="P176" s="18" t="str">
        <f t="shared" si="44"/>
        <v/>
      </c>
      <c r="Q176" s="18">
        <v>130</v>
      </c>
      <c r="R176" s="18"/>
      <c r="S176" s="18">
        <f t="shared" si="45"/>
        <v>0</v>
      </c>
      <c r="T176" s="18"/>
      <c r="U176" s="18"/>
      <c r="V176" s="18" t="str">
        <f t="shared" si="46"/>
        <v/>
      </c>
      <c r="W176" s="18"/>
      <c r="X176" s="18"/>
      <c r="Y176" s="18" t="str">
        <f t="shared" si="47"/>
        <v/>
      </c>
      <c r="Z176" s="18"/>
      <c r="AA176" s="18"/>
      <c r="AB176" s="18" t="str">
        <f t="shared" si="48"/>
        <v/>
      </c>
      <c r="AC176" s="18"/>
      <c r="AD176" s="18"/>
      <c r="AE176" s="18" t="str">
        <f t="shared" si="49"/>
        <v/>
      </c>
      <c r="AF176" s="18"/>
      <c r="AG176" s="18"/>
      <c r="AH176" s="18" t="str">
        <f t="shared" si="50"/>
        <v/>
      </c>
      <c r="AI176" s="18"/>
      <c r="AJ176" s="18"/>
      <c r="AK176" s="18" t="str">
        <f t="shared" si="51"/>
        <v/>
      </c>
      <c r="AL176" s="18"/>
      <c r="AM176" s="18"/>
      <c r="AN176" s="18" t="str">
        <f t="shared" si="52"/>
        <v/>
      </c>
      <c r="AO176" s="18"/>
      <c r="AP176" s="18"/>
      <c r="AQ176" s="18" t="str">
        <f t="shared" si="53"/>
        <v/>
      </c>
      <c r="AR176" s="18"/>
      <c r="AS176" s="18"/>
      <c r="AT176" s="18" t="str">
        <f t="shared" si="54"/>
        <v/>
      </c>
      <c r="AU176" s="18"/>
      <c r="AV176" s="18"/>
      <c r="AW176" s="18" t="str">
        <f t="shared" si="55"/>
        <v/>
      </c>
      <c r="AX176" s="18"/>
      <c r="AY176" s="18"/>
      <c r="AZ176" s="18" t="str">
        <f t="shared" si="56"/>
        <v/>
      </c>
      <c r="BA176" s="18"/>
      <c r="BB176" s="18"/>
      <c r="BC176" s="18" t="str">
        <f t="shared" si="57"/>
        <v/>
      </c>
      <c r="BD176" s="18">
        <v>995</v>
      </c>
      <c r="BE176" s="18"/>
      <c r="BF176" s="18">
        <f t="shared" si="58"/>
        <v>0</v>
      </c>
      <c r="BG176" s="18"/>
      <c r="BH176" s="18"/>
      <c r="BI176" s="18" t="str">
        <f t="shared" si="59"/>
        <v/>
      </c>
      <c r="BJ176" s="18">
        <v>995</v>
      </c>
      <c r="BK176" s="18"/>
      <c r="BL176" s="18">
        <f t="shared" si="60"/>
        <v>0</v>
      </c>
      <c r="BM176" s="18"/>
      <c r="BN176" s="18"/>
      <c r="BO176" s="18" t="str">
        <f t="shared" si="61"/>
        <v/>
      </c>
      <c r="BP176" s="18"/>
      <c r="BQ176" s="18"/>
      <c r="BR176" s="18" t="str">
        <f t="shared" si="62"/>
        <v/>
      </c>
    </row>
    <row r="177" spans="1:70" x14ac:dyDescent="0.25">
      <c r="H177" s="18">
        <f t="shared" ref="H177:BQ177" si="63">SUM(H5:H176)</f>
        <v>0</v>
      </c>
      <c r="I177" s="18">
        <f t="shared" si="63"/>
        <v>0</v>
      </c>
      <c r="J177" s="18">
        <f t="shared" si="63"/>
        <v>0</v>
      </c>
      <c r="K177" s="18">
        <f t="shared" si="63"/>
        <v>0</v>
      </c>
      <c r="L177" s="18">
        <f t="shared" si="63"/>
        <v>0</v>
      </c>
      <c r="M177" s="18">
        <f t="shared" si="63"/>
        <v>0</v>
      </c>
      <c r="N177" s="18">
        <f t="shared" si="63"/>
        <v>2300</v>
      </c>
      <c r="O177" s="18">
        <f t="shared" si="63"/>
        <v>0</v>
      </c>
      <c r="P177" s="18">
        <f t="shared" si="63"/>
        <v>0</v>
      </c>
      <c r="Q177" s="18">
        <f t="shared" si="63"/>
        <v>84230</v>
      </c>
      <c r="R177" s="18">
        <f t="shared" si="63"/>
        <v>0</v>
      </c>
      <c r="S177" s="18">
        <f t="shared" si="63"/>
        <v>84100</v>
      </c>
      <c r="T177" s="18">
        <f t="shared" si="63"/>
        <v>53363.20900000001</v>
      </c>
      <c r="U177" s="18">
        <f t="shared" si="63"/>
        <v>151</v>
      </c>
      <c r="V177" s="18">
        <f t="shared" si="63"/>
        <v>47958.648000000016</v>
      </c>
      <c r="W177" s="18">
        <f t="shared" si="63"/>
        <v>49522</v>
      </c>
      <c r="X177" s="18">
        <f t="shared" si="63"/>
        <v>0</v>
      </c>
      <c r="Y177" s="18">
        <f t="shared" si="63"/>
        <v>44502.5</v>
      </c>
      <c r="Z177" s="18">
        <f t="shared" si="63"/>
        <v>0</v>
      </c>
      <c r="AA177" s="18">
        <f t="shared" si="63"/>
        <v>0</v>
      </c>
      <c r="AB177" s="18">
        <f t="shared" si="63"/>
        <v>0</v>
      </c>
      <c r="AC177" s="18">
        <f t="shared" si="63"/>
        <v>98080</v>
      </c>
      <c r="AD177" s="18">
        <f t="shared" si="63"/>
        <v>3934</v>
      </c>
      <c r="AE177" s="18">
        <f t="shared" si="63"/>
        <v>94905</v>
      </c>
      <c r="AF177" s="18">
        <f t="shared" si="63"/>
        <v>0</v>
      </c>
      <c r="AG177" s="18">
        <f t="shared" si="63"/>
        <v>0</v>
      </c>
      <c r="AH177" s="18">
        <f t="shared" si="63"/>
        <v>0</v>
      </c>
      <c r="AI177" s="18">
        <f t="shared" si="63"/>
        <v>0</v>
      </c>
      <c r="AJ177" s="18">
        <f t="shared" si="63"/>
        <v>0</v>
      </c>
      <c r="AK177" s="18">
        <f t="shared" si="63"/>
        <v>0</v>
      </c>
      <c r="AL177" s="18">
        <f t="shared" si="63"/>
        <v>0</v>
      </c>
      <c r="AM177" s="18">
        <f t="shared" si="63"/>
        <v>0</v>
      </c>
      <c r="AN177" s="18">
        <f t="shared" si="63"/>
        <v>0</v>
      </c>
      <c r="AO177" s="18">
        <f t="shared" si="63"/>
        <v>0</v>
      </c>
      <c r="AP177" s="18">
        <f t="shared" si="63"/>
        <v>0</v>
      </c>
      <c r="AQ177" s="18">
        <f t="shared" si="63"/>
        <v>0</v>
      </c>
      <c r="AR177" s="18">
        <f t="shared" si="63"/>
        <v>207</v>
      </c>
      <c r="AS177" s="18">
        <f t="shared" si="63"/>
        <v>7</v>
      </c>
      <c r="AT177" s="18">
        <f t="shared" si="63"/>
        <v>204</v>
      </c>
      <c r="AU177" s="18">
        <f t="shared" si="63"/>
        <v>0</v>
      </c>
      <c r="AV177" s="18">
        <f t="shared" si="63"/>
        <v>0</v>
      </c>
      <c r="AW177" s="18">
        <f t="shared" si="63"/>
        <v>0</v>
      </c>
      <c r="AX177" s="18">
        <f t="shared" si="63"/>
        <v>1</v>
      </c>
      <c r="AY177" s="18">
        <f t="shared" si="63"/>
        <v>0</v>
      </c>
      <c r="AZ177" s="18">
        <f t="shared" si="63"/>
        <v>0</v>
      </c>
      <c r="BA177" s="18">
        <f t="shared" si="63"/>
        <v>56934.209000000003</v>
      </c>
      <c r="BB177" s="18">
        <f t="shared" si="63"/>
        <v>400.59000000000003</v>
      </c>
      <c r="BC177" s="18">
        <f t="shared" si="63"/>
        <v>47958.648000000016</v>
      </c>
      <c r="BD177" s="18">
        <f t="shared" si="63"/>
        <v>157113.5</v>
      </c>
      <c r="BE177" s="18">
        <f t="shared" si="63"/>
        <v>120</v>
      </c>
      <c r="BF177" s="18">
        <f t="shared" si="63"/>
        <v>124386.5</v>
      </c>
      <c r="BG177" s="18">
        <f t="shared" si="63"/>
        <v>29152</v>
      </c>
      <c r="BH177" s="18">
        <f t="shared" si="63"/>
        <v>0</v>
      </c>
      <c r="BI177" s="18">
        <f t="shared" si="63"/>
        <v>0</v>
      </c>
      <c r="BJ177" s="18">
        <f t="shared" si="63"/>
        <v>101180</v>
      </c>
      <c r="BK177" s="18">
        <f t="shared" si="63"/>
        <v>0</v>
      </c>
      <c r="BL177" s="18">
        <f t="shared" si="63"/>
        <v>84100</v>
      </c>
      <c r="BM177" s="18">
        <f t="shared" si="63"/>
        <v>18385</v>
      </c>
      <c r="BN177" s="18">
        <f t="shared" si="63"/>
        <v>0</v>
      </c>
      <c r="BO177" s="18">
        <f t="shared" si="63"/>
        <v>0</v>
      </c>
      <c r="BP177" s="18">
        <f t="shared" si="63"/>
        <v>0</v>
      </c>
      <c r="BQ177" s="18">
        <f t="shared" si="63"/>
        <v>0</v>
      </c>
      <c r="BR177" s="18">
        <f t="shared" ref="BR177" si="64">SUM(BR5:BR176)</f>
        <v>0</v>
      </c>
    </row>
    <row r="178" spans="1:70" x14ac:dyDescent="0.25">
      <c r="H178" s="18">
        <f t="shared" ref="H178:BQ178" si="65">COUNT(H5:H176)</f>
        <v>0</v>
      </c>
      <c r="I178" s="18">
        <f t="shared" si="65"/>
        <v>0</v>
      </c>
      <c r="J178" s="18">
        <f t="shared" si="65"/>
        <v>0</v>
      </c>
      <c r="K178" s="18">
        <f t="shared" si="65"/>
        <v>0</v>
      </c>
      <c r="L178" s="18">
        <f t="shared" si="65"/>
        <v>0</v>
      </c>
      <c r="M178" s="18">
        <f t="shared" si="65"/>
        <v>0</v>
      </c>
      <c r="N178" s="18">
        <f t="shared" si="65"/>
        <v>1</v>
      </c>
      <c r="O178" s="18">
        <f t="shared" si="65"/>
        <v>0</v>
      </c>
      <c r="P178" s="18">
        <f t="shared" si="65"/>
        <v>1</v>
      </c>
      <c r="Q178" s="18">
        <f t="shared" si="65"/>
        <v>4</v>
      </c>
      <c r="R178" s="18">
        <f t="shared" si="65"/>
        <v>0</v>
      </c>
      <c r="S178" s="18">
        <f t="shared" si="65"/>
        <v>4</v>
      </c>
      <c r="T178" s="18">
        <f t="shared" si="65"/>
        <v>126</v>
      </c>
      <c r="U178" s="18">
        <f t="shared" si="65"/>
        <v>2</v>
      </c>
      <c r="V178" s="18">
        <f t="shared" si="65"/>
        <v>126</v>
      </c>
      <c r="W178" s="18">
        <f t="shared" si="65"/>
        <v>42</v>
      </c>
      <c r="X178" s="18">
        <f t="shared" si="65"/>
        <v>0</v>
      </c>
      <c r="Y178" s="18">
        <f t="shared" si="65"/>
        <v>42</v>
      </c>
      <c r="Z178" s="18">
        <f t="shared" si="65"/>
        <v>0</v>
      </c>
      <c r="AA178" s="18">
        <f t="shared" si="65"/>
        <v>0</v>
      </c>
      <c r="AB178" s="18">
        <f t="shared" si="65"/>
        <v>0</v>
      </c>
      <c r="AC178" s="18">
        <f t="shared" si="65"/>
        <v>43</v>
      </c>
      <c r="AD178" s="18">
        <f t="shared" si="65"/>
        <v>3</v>
      </c>
      <c r="AE178" s="18">
        <f t="shared" si="65"/>
        <v>43</v>
      </c>
      <c r="AF178" s="18">
        <f t="shared" si="65"/>
        <v>0</v>
      </c>
      <c r="AG178" s="18">
        <f t="shared" si="65"/>
        <v>0</v>
      </c>
      <c r="AH178" s="18">
        <f t="shared" si="65"/>
        <v>0</v>
      </c>
      <c r="AI178" s="18">
        <f t="shared" si="65"/>
        <v>0</v>
      </c>
      <c r="AJ178" s="18">
        <f t="shared" si="65"/>
        <v>0</v>
      </c>
      <c r="AK178" s="18">
        <f t="shared" si="65"/>
        <v>0</v>
      </c>
      <c r="AL178" s="18">
        <f t="shared" si="65"/>
        <v>0</v>
      </c>
      <c r="AM178" s="18">
        <f t="shared" si="65"/>
        <v>0</v>
      </c>
      <c r="AN178" s="18">
        <f t="shared" si="65"/>
        <v>0</v>
      </c>
      <c r="AO178" s="18">
        <f t="shared" si="65"/>
        <v>0</v>
      </c>
      <c r="AP178" s="18">
        <f t="shared" si="65"/>
        <v>0</v>
      </c>
      <c r="AQ178" s="18">
        <f t="shared" si="65"/>
        <v>0</v>
      </c>
      <c r="AR178" s="18">
        <f t="shared" si="65"/>
        <v>43</v>
      </c>
      <c r="AS178" s="18">
        <f t="shared" si="65"/>
        <v>2</v>
      </c>
      <c r="AT178" s="18">
        <f t="shared" si="65"/>
        <v>43</v>
      </c>
      <c r="AU178" s="18">
        <f t="shared" si="65"/>
        <v>0</v>
      </c>
      <c r="AV178" s="18">
        <f t="shared" si="65"/>
        <v>0</v>
      </c>
      <c r="AW178" s="18">
        <f t="shared" si="65"/>
        <v>0</v>
      </c>
      <c r="AX178" s="18">
        <f t="shared" si="65"/>
        <v>1</v>
      </c>
      <c r="AY178" s="18">
        <f t="shared" si="65"/>
        <v>0</v>
      </c>
      <c r="AZ178" s="18">
        <f t="shared" si="65"/>
        <v>1</v>
      </c>
      <c r="BA178" s="18">
        <f t="shared" si="65"/>
        <v>127</v>
      </c>
      <c r="BB178" s="18">
        <f t="shared" si="65"/>
        <v>4</v>
      </c>
      <c r="BC178" s="18">
        <f t="shared" si="65"/>
        <v>127</v>
      </c>
      <c r="BD178" s="18">
        <f t="shared" si="65"/>
        <v>46</v>
      </c>
      <c r="BE178" s="18">
        <f t="shared" si="65"/>
        <v>2</v>
      </c>
      <c r="BF178" s="18">
        <f t="shared" si="65"/>
        <v>46</v>
      </c>
      <c r="BG178" s="18">
        <f t="shared" si="65"/>
        <v>2</v>
      </c>
      <c r="BH178" s="18">
        <f t="shared" si="65"/>
        <v>1</v>
      </c>
      <c r="BI178" s="18">
        <f t="shared" si="65"/>
        <v>2</v>
      </c>
      <c r="BJ178" s="18">
        <f t="shared" si="65"/>
        <v>5</v>
      </c>
      <c r="BK178" s="18">
        <f t="shared" si="65"/>
        <v>1</v>
      </c>
      <c r="BL178" s="18">
        <f t="shared" si="65"/>
        <v>5</v>
      </c>
      <c r="BM178" s="18">
        <f t="shared" si="65"/>
        <v>2</v>
      </c>
      <c r="BN178" s="18">
        <f t="shared" si="65"/>
        <v>1</v>
      </c>
      <c r="BO178" s="18">
        <f t="shared" si="65"/>
        <v>2</v>
      </c>
      <c r="BP178" s="18">
        <f t="shared" si="65"/>
        <v>0</v>
      </c>
      <c r="BQ178" s="18">
        <f t="shared" si="65"/>
        <v>0</v>
      </c>
      <c r="BR178" s="18">
        <f t="shared" ref="BR178" si="66">COUNT(BR5:BR176)</f>
        <v>0</v>
      </c>
    </row>
    <row r="179" spans="1:70" x14ac:dyDescent="0.25">
      <c r="T179" s="71"/>
      <c r="U179" s="71"/>
      <c r="V179" s="71"/>
      <c r="W179" s="71"/>
      <c r="BA179" s="71"/>
      <c r="BB179" s="71"/>
      <c r="BC179" s="71"/>
      <c r="BD179" s="71"/>
    </row>
    <row r="181" spans="1:70" x14ac:dyDescent="0.25">
      <c r="A181" s="78" t="s">
        <v>1045</v>
      </c>
    </row>
    <row r="182" spans="1:70" ht="57" customHeight="1" x14ac:dyDescent="0.25">
      <c r="A182" s="1202" t="s">
        <v>595</v>
      </c>
      <c r="B182" s="1202" t="s">
        <v>596</v>
      </c>
      <c r="C182" s="1202" t="s">
        <v>597</v>
      </c>
      <c r="D182" s="1202" t="s">
        <v>598</v>
      </c>
      <c r="E182" s="1202" t="s">
        <v>1057</v>
      </c>
      <c r="F182" s="1202" t="s">
        <v>600</v>
      </c>
      <c r="G182" s="1201" t="s">
        <v>878</v>
      </c>
      <c r="H182" s="1199" t="s">
        <v>200</v>
      </c>
      <c r="I182" s="1200"/>
      <c r="J182" s="102"/>
      <c r="K182" s="1199" t="s">
        <v>200</v>
      </c>
      <c r="L182" s="1200"/>
      <c r="M182" s="102"/>
      <c r="N182" s="1199" t="s">
        <v>202</v>
      </c>
      <c r="O182" s="1200"/>
      <c r="P182" s="102"/>
      <c r="Q182" s="1199" t="s">
        <v>204</v>
      </c>
      <c r="R182" s="1200"/>
      <c r="S182" s="102"/>
      <c r="T182" s="1199" t="s">
        <v>206</v>
      </c>
      <c r="U182" s="1200"/>
      <c r="V182" s="102"/>
      <c r="W182" s="1199" t="s">
        <v>208</v>
      </c>
      <c r="X182" s="1200"/>
      <c r="Y182" s="102"/>
      <c r="Z182" s="1199" t="s">
        <v>210</v>
      </c>
      <c r="AA182" s="1200"/>
      <c r="AB182" s="102"/>
      <c r="AC182" s="1199" t="s">
        <v>210</v>
      </c>
      <c r="AD182" s="1200"/>
      <c r="AE182" s="102"/>
      <c r="AF182" s="1199" t="s">
        <v>210</v>
      </c>
      <c r="AG182" s="1200"/>
      <c r="AH182" s="102"/>
      <c r="AI182" s="1199" t="s">
        <v>212</v>
      </c>
      <c r="AJ182" s="1200"/>
      <c r="AK182" s="102"/>
      <c r="AL182" s="1199" t="s">
        <v>214</v>
      </c>
      <c r="AM182" s="1200"/>
      <c r="AN182" s="102"/>
      <c r="AO182" s="1199" t="s">
        <v>216</v>
      </c>
      <c r="AP182" s="1200"/>
      <c r="AQ182" s="102"/>
      <c r="AR182" s="1199" t="s">
        <v>216</v>
      </c>
      <c r="AS182" s="1200"/>
      <c r="AT182" s="102"/>
      <c r="AU182" s="1199" t="s">
        <v>216</v>
      </c>
      <c r="AV182" s="1200"/>
      <c r="AW182" s="102"/>
      <c r="AX182" s="1199" t="s">
        <v>83</v>
      </c>
      <c r="AY182" s="1200"/>
      <c r="AZ182" s="102"/>
      <c r="BA182" s="1199" t="s">
        <v>79</v>
      </c>
      <c r="BB182" s="1200"/>
      <c r="BC182" s="102"/>
      <c r="BD182" s="1199" t="s">
        <v>81</v>
      </c>
      <c r="BE182" s="1200"/>
      <c r="BF182" s="102"/>
      <c r="BG182" s="1199" t="s">
        <v>81</v>
      </c>
      <c r="BH182" s="1200"/>
      <c r="BI182" s="102"/>
      <c r="BJ182" s="1199" t="s">
        <v>77</v>
      </c>
      <c r="BK182" s="1200"/>
      <c r="BL182" s="102"/>
      <c r="BM182" s="1199" t="s">
        <v>77</v>
      </c>
      <c r="BN182" s="1200"/>
      <c r="BO182" s="102"/>
      <c r="BP182" s="1199" t="s">
        <v>222</v>
      </c>
      <c r="BQ182" s="1200"/>
    </row>
    <row r="183" spans="1:70" x14ac:dyDescent="0.25">
      <c r="A183" s="1203"/>
      <c r="B183" s="1203"/>
      <c r="C183" s="1203"/>
      <c r="D183" s="1203"/>
      <c r="E183" s="1203"/>
      <c r="F183" s="1203"/>
      <c r="G183" s="1201"/>
      <c r="H183" s="1195" t="s">
        <v>199</v>
      </c>
      <c r="I183" s="1196"/>
      <c r="J183" s="133"/>
      <c r="K183" s="1195" t="s">
        <v>199</v>
      </c>
      <c r="L183" s="1196"/>
      <c r="M183" s="133"/>
      <c r="N183" s="1197" t="s">
        <v>201</v>
      </c>
      <c r="O183" s="1198"/>
      <c r="P183" s="103"/>
      <c r="Q183" s="1197" t="s">
        <v>203</v>
      </c>
      <c r="R183" s="1198"/>
      <c r="S183" s="103"/>
      <c r="T183" s="1197" t="s">
        <v>205</v>
      </c>
      <c r="U183" s="1198"/>
      <c r="V183" s="103"/>
      <c r="W183" s="1197" t="s">
        <v>207</v>
      </c>
      <c r="X183" s="1198"/>
      <c r="Y183" s="103"/>
      <c r="Z183" s="1195" t="s">
        <v>209</v>
      </c>
      <c r="AA183" s="1196"/>
      <c r="AB183" s="133"/>
      <c r="AC183" s="1195" t="s">
        <v>209</v>
      </c>
      <c r="AD183" s="1196"/>
      <c r="AE183" s="133"/>
      <c r="AF183" s="1195" t="s">
        <v>209</v>
      </c>
      <c r="AG183" s="1196"/>
      <c r="AH183" s="133"/>
      <c r="AI183" s="1197" t="s">
        <v>211</v>
      </c>
      <c r="AJ183" s="1198"/>
      <c r="AK183" s="103"/>
      <c r="AL183" s="1197" t="s">
        <v>213</v>
      </c>
      <c r="AM183" s="1198"/>
      <c r="AN183" s="103"/>
      <c r="AO183" s="1195" t="s">
        <v>215</v>
      </c>
      <c r="AP183" s="1196"/>
      <c r="AQ183" s="133"/>
      <c r="AR183" s="1195" t="s">
        <v>215</v>
      </c>
      <c r="AS183" s="1196"/>
      <c r="AT183" s="133"/>
      <c r="AU183" s="1195" t="s">
        <v>215</v>
      </c>
      <c r="AV183" s="1196"/>
      <c r="AW183" s="133"/>
      <c r="AX183" s="1197" t="s">
        <v>217</v>
      </c>
      <c r="AY183" s="1198"/>
      <c r="AZ183" s="103"/>
      <c r="BA183" s="1197" t="s">
        <v>218</v>
      </c>
      <c r="BB183" s="1198"/>
      <c r="BC183" s="103"/>
      <c r="BD183" s="1195" t="s">
        <v>219</v>
      </c>
      <c r="BE183" s="1196"/>
      <c r="BF183" s="133"/>
      <c r="BG183" s="1195" t="s">
        <v>219</v>
      </c>
      <c r="BH183" s="1196"/>
      <c r="BI183" s="133"/>
      <c r="BJ183" s="1195" t="s">
        <v>220</v>
      </c>
      <c r="BK183" s="1196"/>
      <c r="BL183" s="133"/>
      <c r="BM183" s="1195" t="s">
        <v>220</v>
      </c>
      <c r="BN183" s="1196"/>
      <c r="BO183" s="133"/>
      <c r="BP183" s="1197" t="s">
        <v>221</v>
      </c>
      <c r="BQ183" s="1198"/>
    </row>
    <row r="184" spans="1:70" x14ac:dyDescent="0.25">
      <c r="A184" s="1203"/>
      <c r="B184" s="1203"/>
      <c r="C184" s="1203"/>
      <c r="D184" s="1203"/>
      <c r="E184" s="1203"/>
      <c r="F184" s="1203"/>
      <c r="G184" s="1201"/>
      <c r="H184" s="1197" t="s">
        <v>539</v>
      </c>
      <c r="I184" s="1198"/>
      <c r="J184" s="103"/>
      <c r="K184" s="1197" t="s">
        <v>537</v>
      </c>
      <c r="L184" s="1198"/>
      <c r="M184" s="103"/>
      <c r="N184" s="1197" t="s">
        <v>537</v>
      </c>
      <c r="O184" s="1198"/>
      <c r="P184" s="103"/>
      <c r="Q184" s="1197" t="s">
        <v>539</v>
      </c>
      <c r="R184" s="1198"/>
      <c r="S184" s="103"/>
      <c r="T184" s="1197" t="s">
        <v>539</v>
      </c>
      <c r="U184" s="1198"/>
      <c r="V184" s="103"/>
      <c r="W184" s="1197" t="s">
        <v>539</v>
      </c>
      <c r="X184" s="1198"/>
      <c r="Y184" s="103"/>
      <c r="Z184" s="1197" t="s">
        <v>536</v>
      </c>
      <c r="AA184" s="1198"/>
      <c r="AB184" s="103"/>
      <c r="AC184" s="1197" t="s">
        <v>539</v>
      </c>
      <c r="AD184" s="1198"/>
      <c r="AE184" s="103"/>
      <c r="AF184" s="1197" t="s">
        <v>537</v>
      </c>
      <c r="AG184" s="1198"/>
      <c r="AH184" s="103"/>
      <c r="AI184" s="1197" t="s">
        <v>536</v>
      </c>
      <c r="AJ184" s="1198"/>
      <c r="AK184" s="103"/>
      <c r="AL184" s="1197" t="s">
        <v>539</v>
      </c>
      <c r="AM184" s="1198"/>
      <c r="AN184" s="103"/>
      <c r="AO184" s="1197" t="s">
        <v>536</v>
      </c>
      <c r="AP184" s="1198"/>
      <c r="AQ184" s="103"/>
      <c r="AR184" s="1197" t="s">
        <v>539</v>
      </c>
      <c r="AS184" s="1198"/>
      <c r="AT184" s="103"/>
      <c r="AU184" s="1197" t="s">
        <v>537</v>
      </c>
      <c r="AV184" s="1198"/>
      <c r="AW184" s="103"/>
      <c r="AX184" s="1197" t="s">
        <v>556</v>
      </c>
      <c r="AY184" s="1198"/>
      <c r="AZ184" s="103"/>
      <c r="BA184" s="1197" t="s">
        <v>539</v>
      </c>
      <c r="BB184" s="1198"/>
      <c r="BC184" s="103"/>
      <c r="BD184" s="1197" t="s">
        <v>539</v>
      </c>
      <c r="BE184" s="1198"/>
      <c r="BF184" s="103"/>
      <c r="BG184" s="1197" t="s">
        <v>537</v>
      </c>
      <c r="BH184" s="1198"/>
      <c r="BI184" s="103"/>
      <c r="BJ184" s="1197" t="s">
        <v>539</v>
      </c>
      <c r="BK184" s="1198"/>
      <c r="BL184" s="103"/>
      <c r="BM184" s="1197" t="s">
        <v>537</v>
      </c>
      <c r="BN184" s="1198"/>
      <c r="BO184" s="103"/>
      <c r="BP184" s="1197" t="s">
        <v>539</v>
      </c>
      <c r="BQ184" s="1198"/>
    </row>
    <row r="185" spans="1:70" x14ac:dyDescent="0.25">
      <c r="A185" s="1204"/>
      <c r="B185" s="1204"/>
      <c r="C185" s="1204"/>
      <c r="D185" s="1204"/>
      <c r="E185" s="1204"/>
      <c r="F185" s="1204"/>
      <c r="G185" s="1201"/>
      <c r="H185" s="16" t="s">
        <v>603</v>
      </c>
      <c r="I185" s="16" t="s">
        <v>604</v>
      </c>
      <c r="J185" s="104">
        <v>43465</v>
      </c>
      <c r="K185" s="16" t="s">
        <v>603</v>
      </c>
      <c r="L185" s="16" t="s">
        <v>604</v>
      </c>
      <c r="M185" s="104">
        <v>43465</v>
      </c>
      <c r="N185" s="16" t="s">
        <v>603</v>
      </c>
      <c r="O185" s="16" t="s">
        <v>604</v>
      </c>
      <c r="P185" s="104">
        <v>43465</v>
      </c>
      <c r="Q185" s="16" t="s">
        <v>603</v>
      </c>
      <c r="R185" s="16" t="s">
        <v>604</v>
      </c>
      <c r="S185" s="104">
        <v>43465</v>
      </c>
      <c r="T185" s="16" t="s">
        <v>603</v>
      </c>
      <c r="U185" s="16" t="s">
        <v>604</v>
      </c>
      <c r="V185" s="104">
        <v>43465</v>
      </c>
      <c r="W185" s="16" t="s">
        <v>603</v>
      </c>
      <c r="X185" s="16" t="s">
        <v>604</v>
      </c>
      <c r="Y185" s="104">
        <v>43465</v>
      </c>
      <c r="Z185" s="16" t="s">
        <v>603</v>
      </c>
      <c r="AA185" s="16" t="s">
        <v>604</v>
      </c>
      <c r="AB185" s="104">
        <v>43465</v>
      </c>
      <c r="AC185" s="16" t="s">
        <v>603</v>
      </c>
      <c r="AD185" s="16" t="s">
        <v>604</v>
      </c>
      <c r="AE185" s="104">
        <v>43465</v>
      </c>
      <c r="AF185" s="16" t="s">
        <v>603</v>
      </c>
      <c r="AG185" s="16" t="s">
        <v>604</v>
      </c>
      <c r="AH185" s="104">
        <v>43465</v>
      </c>
      <c r="AI185" s="16" t="s">
        <v>603</v>
      </c>
      <c r="AJ185" s="16" t="s">
        <v>604</v>
      </c>
      <c r="AK185" s="104">
        <v>43465</v>
      </c>
      <c r="AL185" s="16" t="s">
        <v>603</v>
      </c>
      <c r="AM185" s="16" t="s">
        <v>604</v>
      </c>
      <c r="AN185" s="104">
        <v>43465</v>
      </c>
      <c r="AO185" s="16" t="s">
        <v>603</v>
      </c>
      <c r="AP185" s="16" t="s">
        <v>604</v>
      </c>
      <c r="AQ185" s="104">
        <v>43465</v>
      </c>
      <c r="AR185" s="16" t="s">
        <v>603</v>
      </c>
      <c r="AS185" s="16" t="s">
        <v>604</v>
      </c>
      <c r="AT185" s="104">
        <v>43465</v>
      </c>
      <c r="AU185" s="16" t="s">
        <v>603</v>
      </c>
      <c r="AV185" s="16" t="s">
        <v>604</v>
      </c>
      <c r="AW185" s="104">
        <v>43465</v>
      </c>
      <c r="AX185" s="16" t="s">
        <v>603</v>
      </c>
      <c r="AY185" s="16" t="s">
        <v>604</v>
      </c>
      <c r="AZ185" s="104">
        <v>43465</v>
      </c>
      <c r="BA185" s="16" t="s">
        <v>603</v>
      </c>
      <c r="BB185" s="16" t="s">
        <v>604</v>
      </c>
      <c r="BC185" s="104">
        <v>43465</v>
      </c>
      <c r="BD185" s="16" t="s">
        <v>603</v>
      </c>
      <c r="BE185" s="16" t="s">
        <v>604</v>
      </c>
      <c r="BF185" s="104">
        <v>43465</v>
      </c>
      <c r="BG185" s="16" t="s">
        <v>603</v>
      </c>
      <c r="BH185" s="16" t="s">
        <v>604</v>
      </c>
      <c r="BI185" s="104">
        <v>43465</v>
      </c>
      <c r="BJ185" s="16" t="s">
        <v>603</v>
      </c>
      <c r="BK185" s="16" t="s">
        <v>604</v>
      </c>
      <c r="BL185" s="104">
        <v>43465</v>
      </c>
      <c r="BM185" s="16" t="s">
        <v>603</v>
      </c>
      <c r="BN185" s="16" t="s">
        <v>604</v>
      </c>
      <c r="BO185" s="104">
        <v>43465</v>
      </c>
      <c r="BP185" s="16" t="s">
        <v>603</v>
      </c>
      <c r="BQ185" s="16" t="s">
        <v>604</v>
      </c>
      <c r="BR185" s="104">
        <v>43465</v>
      </c>
    </row>
    <row r="186" spans="1:70" ht="25.5" x14ac:dyDescent="0.25">
      <c r="A186" s="15" t="s">
        <v>826</v>
      </c>
      <c r="B186" s="2" t="str">
        <f>VLOOKUP($A186,[2]Projekty!$A$2:$AR$1147,4,0)</f>
        <v>OPKZP-PO1-SC111-2016-10</v>
      </c>
      <c r="C186" s="2" t="str">
        <f>VLOOKUP($A186,[2]Projekty!$A$2:$AR$1147,6,0)</f>
        <v>Obec Rabčice</v>
      </c>
      <c r="D186" s="2" t="str">
        <f>VLOOKUP($A186,[2]Projekty!$A$2:$AR$1147,7,0)</f>
        <v>Zberný dvor Rabčice</v>
      </c>
      <c r="E186" s="2" t="str">
        <f>VLOOKUP($A186,[2]Projekty!$A$2:$AR$1147,9,0)</f>
        <v>ZA</v>
      </c>
      <c r="F186" s="2" t="str">
        <f>VLOOKUP($A186,[2]Projekty!$A$2:$AR$1147,14,0)</f>
        <v>Mimoriadne ukončený</v>
      </c>
      <c r="G186" s="61">
        <f>VLOOKUP($A186,'[2]Dĺžka realizácie'!$A$2:$AR$1148,8,0)</f>
        <v>43131</v>
      </c>
      <c r="H186" s="18"/>
      <c r="I186" s="18"/>
      <c r="J186" s="18" t="str">
        <f>IF(H186="","",IF($F186="riadne ukončený",I186,IF($G186&lt;=J$185,H186,0)))</f>
        <v/>
      </c>
      <c r="K186" s="18"/>
      <c r="L186" s="18"/>
      <c r="M186" s="18" t="str">
        <f>IF(K186="","",IF($F186="riadne ukončený",L186,IF($G186&lt;=M$185,K186,0)))</f>
        <v/>
      </c>
      <c r="N186" s="18"/>
      <c r="O186" s="18"/>
      <c r="P186" s="18" t="str">
        <f>IF(N186="","",IF($F186="riadne ukončený",O186,IF($G186&lt;=P$185,N186,0)))</f>
        <v/>
      </c>
      <c r="Q186" s="18"/>
      <c r="R186" s="18"/>
      <c r="S186" s="18" t="str">
        <f>IF(Q186="","",IF($F186="riadne ukončený",R186,IF($G186&lt;=S$185,Q186,0)))</f>
        <v/>
      </c>
      <c r="T186" s="18">
        <v>292</v>
      </c>
      <c r="U186" s="18"/>
      <c r="V186" s="18">
        <f>IF(T186="","",IF($F186="riadne ukončený",U186,IF($G186&lt;=V$185,T186,0)))</f>
        <v>292</v>
      </c>
      <c r="W186" s="18"/>
      <c r="X186" s="18"/>
      <c r="Y186" s="18" t="str">
        <f>IF(W186="","",IF($F186="riadne ukončený",X186,IF($G186&lt;=Y$185,W186,0)))</f>
        <v/>
      </c>
      <c r="Z186" s="18"/>
      <c r="AA186" s="18"/>
      <c r="AB186" s="18" t="str">
        <f>IF(Z186="","",IF($F186="riadne ukončený",AA186,IF($G186&lt;=AB$185,Z186,0)))</f>
        <v/>
      </c>
      <c r="AC186" s="18">
        <v>1995</v>
      </c>
      <c r="AD186" s="18"/>
      <c r="AE186" s="18">
        <f>IF(AC186="","",IF($F186="riadne ukončený",AD186,IF($G186&lt;=AE$185,AC186,0)))</f>
        <v>1995</v>
      </c>
      <c r="AF186" s="18"/>
      <c r="AG186" s="18"/>
      <c r="AH186" s="18" t="str">
        <f>IF(AF186="","",IF($F186="riadne ukončený",AG186,IF($G186&lt;=AH$185,AF186,0)))</f>
        <v/>
      </c>
      <c r="AI186" s="18"/>
      <c r="AJ186" s="18"/>
      <c r="AK186" s="18" t="str">
        <f>IF(AI186="","",IF($F186="riadne ukončený",AJ186,IF($G186&lt;=AK$185,AI186,0)))</f>
        <v/>
      </c>
      <c r="AL186" s="18"/>
      <c r="AM186" s="18"/>
      <c r="AN186" s="18" t="str">
        <f>IF(AL186="","",IF($F186="riadne ukončený",AM186,IF($G186&lt;=AN$185,AL186,0)))</f>
        <v/>
      </c>
      <c r="AO186" s="18"/>
      <c r="AP186" s="18"/>
      <c r="AQ186" s="18" t="str">
        <f>IF(AO186="","",IF($F186="riadne ukončený",AP186,IF($G186&lt;=AQ$185,AO186,0)))</f>
        <v/>
      </c>
      <c r="AR186" s="18">
        <v>17</v>
      </c>
      <c r="AS186" s="18"/>
      <c r="AT186" s="18">
        <f>IF(AR186="","",IF($F186="riadne ukončený",AS186,IF($G186&lt;=AT$185,AR186,0)))</f>
        <v>17</v>
      </c>
      <c r="AU186" s="18"/>
      <c r="AV186" s="18"/>
      <c r="AW186" s="18" t="str">
        <f>IF(AU186="","",IF($F186="riadne ukončený",AV186,IF($G186&lt;=AW$185,AU186,0)))</f>
        <v/>
      </c>
      <c r="AX186" s="18"/>
      <c r="AY186" s="18"/>
      <c r="AZ186" s="18" t="str">
        <f>IF(AX186="","",IF($F186="riadne ukončený",AY186,IF($G186&lt;=AZ$185,AX186,0)))</f>
        <v/>
      </c>
      <c r="BA186" s="18">
        <v>292</v>
      </c>
      <c r="BB186" s="18"/>
      <c r="BC186" s="18">
        <f>IF(BA186="","",IF($F186="riadne ukončený",BB186,IF($G186&lt;=BC$185,BA186,0)))</f>
        <v>292</v>
      </c>
      <c r="BD186" s="18"/>
      <c r="BE186" s="18"/>
      <c r="BF186" s="18" t="str">
        <f>IF(BD186="","",IF($F186="riadne ukončený",BE186,IF($G186&lt;=BF$185,BD186,0)))</f>
        <v/>
      </c>
      <c r="BG186" s="18"/>
      <c r="BH186" s="18"/>
      <c r="BI186" s="18" t="str">
        <f>IF(BG186="","",IF($F186="riadne ukončený",BH186,IF($G186&lt;=BI$185,BG186,0)))</f>
        <v/>
      </c>
      <c r="BJ186" s="18"/>
      <c r="BK186" s="18"/>
      <c r="BL186" s="18" t="str">
        <f>IF(BJ186="","",IF($F186="riadne ukončený",BK186,IF($G186&lt;=BL$185,BJ186,0)))</f>
        <v/>
      </c>
      <c r="BM186" s="18"/>
      <c r="BN186" s="18"/>
      <c r="BO186" s="18" t="str">
        <f>IF(BM186="","",IF($F186="riadne ukončený",BN186,IF($G186&lt;=BO$185,BM186,0)))</f>
        <v/>
      </c>
      <c r="BP186" s="18"/>
      <c r="BQ186" s="18"/>
      <c r="BR186" s="18" t="str">
        <f>IF(BP186="","",IF($F186="riadne ukončený",BQ186,IF($G186&lt;=BR$185,BP186,0)))</f>
        <v/>
      </c>
    </row>
    <row r="187" spans="1:70" ht="25.5" x14ac:dyDescent="0.25">
      <c r="A187" s="2" t="s">
        <v>1008</v>
      </c>
      <c r="B187" s="2" t="s">
        <v>1046</v>
      </c>
      <c r="C187" s="2" t="s">
        <v>1047</v>
      </c>
      <c r="D187" s="2" t="s">
        <v>1048</v>
      </c>
      <c r="E187" s="2" t="str">
        <f>VLOOKUP($A187,[2]Projekty!$A$2:$AR$1147,9,0)</f>
        <v>BB</v>
      </c>
      <c r="F187" s="2" t="s">
        <v>1049</v>
      </c>
      <c r="G187" s="61">
        <v>43100</v>
      </c>
      <c r="H187" s="18"/>
      <c r="I187" s="18"/>
      <c r="J187" s="18" t="str">
        <f t="shared" ref="J187:J189" si="67">IF(H187="","",IF($F187="riadne ukončený",I187,IF($G187&lt;=J$185,H187,0)))</f>
        <v/>
      </c>
      <c r="K187" s="18"/>
      <c r="L187" s="18"/>
      <c r="M187" s="18" t="str">
        <f t="shared" ref="M187:M189" si="68">IF(K187="","",IF($F187="riadne ukončený",L187,IF($G187&lt;=M$185,K187,0)))</f>
        <v/>
      </c>
      <c r="N187" s="18"/>
      <c r="O187" s="18"/>
      <c r="P187" s="18" t="str">
        <f t="shared" ref="P187:P189" si="69">IF(N187="","",IF($F187="riadne ukončený",O187,IF($G187&lt;=P$185,N187,0)))</f>
        <v/>
      </c>
      <c r="Q187" s="18"/>
      <c r="R187" s="18"/>
      <c r="S187" s="18" t="str">
        <f t="shared" ref="S187:S189" si="70">IF(Q187="","",IF($F187="riadne ukončený",R187,IF($G187&lt;=S$185,Q187,0)))</f>
        <v/>
      </c>
      <c r="T187" s="18">
        <v>12</v>
      </c>
      <c r="U187" s="18"/>
      <c r="V187" s="18">
        <f t="shared" ref="V187:V189" si="71">IF(T187="","",IF($F187="riadne ukončený",U187,IF($G187&lt;=V$185,T187,0)))</f>
        <v>12</v>
      </c>
      <c r="W187" s="18"/>
      <c r="X187" s="18"/>
      <c r="Y187" s="18" t="str">
        <f t="shared" ref="Y187:Y189" si="72">IF(W187="","",IF($F187="riadne ukončený",X187,IF($G187&lt;=Y$185,W187,0)))</f>
        <v/>
      </c>
      <c r="Z187" s="18"/>
      <c r="AA187" s="18"/>
      <c r="AB187" s="18" t="str">
        <f t="shared" ref="AB187:AB189" si="73">IF(Z187="","",IF($F187="riadne ukončený",AA187,IF($G187&lt;=AB$185,Z187,0)))</f>
        <v/>
      </c>
      <c r="AC187" s="18"/>
      <c r="AD187" s="18"/>
      <c r="AE187" s="18" t="str">
        <f t="shared" ref="AE187:AE189" si="74">IF(AC187="","",IF($F187="riadne ukončený",AD187,IF($G187&lt;=AE$185,AC187,0)))</f>
        <v/>
      </c>
      <c r="AF187" s="18"/>
      <c r="AG187" s="18"/>
      <c r="AH187" s="18" t="str">
        <f t="shared" ref="AH187:AH189" si="75">IF(AF187="","",IF($F187="riadne ukončený",AG187,IF($G187&lt;=AH$185,AF187,0)))</f>
        <v/>
      </c>
      <c r="AI187" s="18"/>
      <c r="AJ187" s="18"/>
      <c r="AK187" s="18" t="str">
        <f t="shared" ref="AK187:AK189" si="76">IF(AI187="","",IF($F187="riadne ukončený",AJ187,IF($G187&lt;=AK$185,AI187,0)))</f>
        <v/>
      </c>
      <c r="AL187" s="18"/>
      <c r="AM187" s="18"/>
      <c r="AN187" s="18" t="str">
        <f t="shared" ref="AN187:AN189" si="77">IF(AL187="","",IF($F187="riadne ukončený",AM187,IF($G187&lt;=AN$185,AL187,0)))</f>
        <v/>
      </c>
      <c r="AO187" s="18"/>
      <c r="AP187" s="18"/>
      <c r="AQ187" s="18" t="str">
        <f t="shared" ref="AQ187:AQ189" si="78">IF(AO187="","",IF($F187="riadne ukončený",AP187,IF($G187&lt;=AQ$185,AO187,0)))</f>
        <v/>
      </c>
      <c r="AR187" s="18"/>
      <c r="AS187" s="18"/>
      <c r="AT187" s="18" t="str">
        <f t="shared" ref="AT187:AT189" si="79">IF(AR187="","",IF($F187="riadne ukončený",AS187,IF($G187&lt;=AT$185,AR187,0)))</f>
        <v/>
      </c>
      <c r="AU187" s="18"/>
      <c r="AV187" s="18"/>
      <c r="AW187" s="18" t="str">
        <f t="shared" ref="AW187:AW189" si="80">IF(AU187="","",IF($F187="riadne ukončený",AV187,IF($G187&lt;=AW$185,AU187,0)))</f>
        <v/>
      </c>
      <c r="AX187" s="18"/>
      <c r="AY187" s="18"/>
      <c r="AZ187" s="18" t="str">
        <f t="shared" ref="AZ187:AZ189" si="81">IF(AX187="","",IF($F187="riadne ukončený",AY187,IF($G187&lt;=AZ$185,AX187,0)))</f>
        <v/>
      </c>
      <c r="BA187" s="18">
        <v>12</v>
      </c>
      <c r="BB187" s="18"/>
      <c r="BC187" s="18">
        <f t="shared" ref="BC187:BC189" si="82">IF(BA187="","",IF($F187="riadne ukončený",BB187,IF($G187&lt;=BC$185,BA187,0)))</f>
        <v>12</v>
      </c>
      <c r="BD187" s="18"/>
      <c r="BE187" s="18"/>
      <c r="BF187" s="18" t="str">
        <f t="shared" ref="BF187:BF189" si="83">IF(BD187="","",IF($F187="riadne ukončený",BE187,IF($G187&lt;=BF$185,BD187,0)))</f>
        <v/>
      </c>
      <c r="BG187" s="18"/>
      <c r="BH187" s="18"/>
      <c r="BI187" s="18" t="str">
        <f t="shared" ref="BI187:BI189" si="84">IF(BG187="","",IF($F187="riadne ukončený",BH187,IF($G187&lt;=BI$185,BG187,0)))</f>
        <v/>
      </c>
      <c r="BJ187" s="18"/>
      <c r="BK187" s="18"/>
      <c r="BL187" s="18" t="str">
        <f t="shared" ref="BL187:BL189" si="85">IF(BJ187="","",IF($F187="riadne ukončený",BK187,IF($G187&lt;=BL$185,BJ187,0)))</f>
        <v/>
      </c>
      <c r="BM187" s="18"/>
      <c r="BN187" s="18"/>
      <c r="BO187" s="18" t="str">
        <f t="shared" ref="BO187:BO189" si="86">IF(BM187="","",IF($F187="riadne ukončený",BN187,IF($G187&lt;=BO$185,BM187,0)))</f>
        <v/>
      </c>
      <c r="BP187" s="18"/>
      <c r="BQ187" s="18"/>
      <c r="BR187" s="18" t="str">
        <f t="shared" ref="BR187:BR189" si="87">IF(BP187="","",IF($F187="riadne ukončený",BQ187,IF($G187&lt;=BR$185,BP187,0)))</f>
        <v/>
      </c>
    </row>
    <row r="188" spans="1:70" ht="25.5" x14ac:dyDescent="0.25">
      <c r="A188" s="2" t="s">
        <v>827</v>
      </c>
      <c r="B188" s="2" t="s">
        <v>1046</v>
      </c>
      <c r="C188" s="2" t="s">
        <v>1050</v>
      </c>
      <c r="D188" s="2" t="s">
        <v>1051</v>
      </c>
      <c r="E188" s="2" t="str">
        <f>VLOOKUP($A188,[2]Projekty!$A$2:$AR$1147,9,0)</f>
        <v>TN</v>
      </c>
      <c r="F188" s="2" t="s">
        <v>1049</v>
      </c>
      <c r="G188" s="61">
        <v>43251</v>
      </c>
      <c r="H188" s="18"/>
      <c r="I188" s="18"/>
      <c r="J188" s="18" t="str">
        <f t="shared" si="67"/>
        <v/>
      </c>
      <c r="K188" s="18"/>
      <c r="L188" s="18"/>
      <c r="M188" s="18" t="str">
        <f t="shared" si="68"/>
        <v/>
      </c>
      <c r="N188" s="18"/>
      <c r="O188" s="18"/>
      <c r="P188" s="18" t="str">
        <f t="shared" si="69"/>
        <v/>
      </c>
      <c r="Q188" s="18"/>
      <c r="R188" s="18"/>
      <c r="S188" s="18" t="str">
        <f t="shared" si="70"/>
        <v/>
      </c>
      <c r="T188" s="18">
        <v>100</v>
      </c>
      <c r="U188" s="18"/>
      <c r="V188" s="18">
        <f t="shared" si="71"/>
        <v>100</v>
      </c>
      <c r="W188" s="18"/>
      <c r="X188" s="18"/>
      <c r="Y188" s="18" t="str">
        <f t="shared" si="72"/>
        <v/>
      </c>
      <c r="Z188" s="18"/>
      <c r="AA188" s="18"/>
      <c r="AB188" s="18" t="str">
        <f t="shared" si="73"/>
        <v/>
      </c>
      <c r="AC188" s="18"/>
      <c r="AD188" s="18"/>
      <c r="AE188" s="18" t="str">
        <f t="shared" si="74"/>
        <v/>
      </c>
      <c r="AF188" s="18"/>
      <c r="AG188" s="18"/>
      <c r="AH188" s="18" t="str">
        <f t="shared" si="75"/>
        <v/>
      </c>
      <c r="AI188" s="18"/>
      <c r="AJ188" s="18"/>
      <c r="AK188" s="18" t="str">
        <f t="shared" si="76"/>
        <v/>
      </c>
      <c r="AL188" s="18"/>
      <c r="AM188" s="18"/>
      <c r="AN188" s="18" t="str">
        <f t="shared" si="77"/>
        <v/>
      </c>
      <c r="AO188" s="18"/>
      <c r="AP188" s="18"/>
      <c r="AQ188" s="18" t="str">
        <f t="shared" si="78"/>
        <v/>
      </c>
      <c r="AR188" s="18"/>
      <c r="AS188" s="18"/>
      <c r="AT188" s="18" t="str">
        <f t="shared" si="79"/>
        <v/>
      </c>
      <c r="AU188" s="18"/>
      <c r="AV188" s="18"/>
      <c r="AW188" s="18" t="str">
        <f t="shared" si="80"/>
        <v/>
      </c>
      <c r="AX188" s="18"/>
      <c r="AY188" s="18"/>
      <c r="AZ188" s="18" t="str">
        <f t="shared" si="81"/>
        <v/>
      </c>
      <c r="BA188" s="18">
        <v>100</v>
      </c>
      <c r="BB188" s="18"/>
      <c r="BC188" s="18">
        <f t="shared" si="82"/>
        <v>100</v>
      </c>
      <c r="BD188" s="18"/>
      <c r="BE188" s="18"/>
      <c r="BF188" s="18" t="str">
        <f t="shared" si="83"/>
        <v/>
      </c>
      <c r="BG188" s="18"/>
      <c r="BH188" s="18"/>
      <c r="BI188" s="18" t="str">
        <f t="shared" si="84"/>
        <v/>
      </c>
      <c r="BJ188" s="18"/>
      <c r="BK188" s="18"/>
      <c r="BL188" s="18" t="str">
        <f t="shared" si="85"/>
        <v/>
      </c>
      <c r="BM188" s="18"/>
      <c r="BN188" s="18"/>
      <c r="BO188" s="18" t="str">
        <f t="shared" si="86"/>
        <v/>
      </c>
      <c r="BP188" s="18"/>
      <c r="BQ188" s="18"/>
      <c r="BR188" s="18" t="str">
        <f t="shared" si="87"/>
        <v/>
      </c>
    </row>
    <row r="189" spans="1:70" ht="38.25" x14ac:dyDescent="0.25">
      <c r="A189" s="2" t="s">
        <v>1018</v>
      </c>
      <c r="B189" s="2" t="str">
        <f>VLOOKUP($A189,[2]Projekty!$A$2:$AR$1147,4,0)</f>
        <v>OPKZP-PO1-SC111-2016-11</v>
      </c>
      <c r="C189" s="2" t="str">
        <f>VLOOKUP($A189,[2]Projekty!$A$2:$AR$1147,6,0)</f>
        <v>Technické služby, príspevková organizácia mesta</v>
      </c>
      <c r="D189" s="2" t="str">
        <f>VLOOKUP($A189,[2]Projekty!$A$2:$AR$1147,7,0)</f>
        <v>Vybudovanie zberného dvora v meste Bojnice</v>
      </c>
      <c r="E189" s="2" t="str">
        <f>VLOOKUP($A189,[2]Projekty!$A$2:$AR$1147,9,0)</f>
        <v>TN</v>
      </c>
      <c r="F189" s="2" t="str">
        <f>VLOOKUP($A189,[2]Projekty!$A$2:$AR$1147,14,0)</f>
        <v>Mimoriadne ukončený</v>
      </c>
      <c r="G189" s="61">
        <f>VLOOKUP($A189,'[2]Dĺžka realizácie'!$A$2:$AR$1148,8,0)</f>
        <v>43190</v>
      </c>
      <c r="H189" s="18"/>
      <c r="I189" s="18"/>
      <c r="J189" s="18" t="str">
        <f t="shared" si="67"/>
        <v/>
      </c>
      <c r="K189" s="18"/>
      <c r="L189" s="18"/>
      <c r="M189" s="18" t="str">
        <f t="shared" si="68"/>
        <v/>
      </c>
      <c r="N189" s="18"/>
      <c r="O189" s="18"/>
      <c r="P189" s="18" t="str">
        <f t="shared" si="69"/>
        <v/>
      </c>
      <c r="Q189" s="18"/>
      <c r="R189" s="18"/>
      <c r="S189" s="18" t="str">
        <f t="shared" si="70"/>
        <v/>
      </c>
      <c r="T189" s="18">
        <v>145</v>
      </c>
      <c r="U189" s="18"/>
      <c r="V189" s="18">
        <f t="shared" si="71"/>
        <v>145</v>
      </c>
      <c r="W189" s="18"/>
      <c r="X189" s="18"/>
      <c r="Y189" s="18" t="str">
        <f t="shared" si="72"/>
        <v/>
      </c>
      <c r="Z189" s="18"/>
      <c r="AA189" s="18"/>
      <c r="AB189" s="18" t="str">
        <f t="shared" si="73"/>
        <v/>
      </c>
      <c r="AC189" s="18"/>
      <c r="AD189" s="18"/>
      <c r="AE189" s="18" t="str">
        <f t="shared" si="74"/>
        <v/>
      </c>
      <c r="AF189" s="18"/>
      <c r="AG189" s="18"/>
      <c r="AH189" s="18" t="str">
        <f t="shared" si="75"/>
        <v/>
      </c>
      <c r="AI189" s="18"/>
      <c r="AJ189" s="18"/>
      <c r="AK189" s="18" t="str">
        <f t="shared" si="76"/>
        <v/>
      </c>
      <c r="AL189" s="18"/>
      <c r="AM189" s="18"/>
      <c r="AN189" s="18" t="str">
        <f t="shared" si="77"/>
        <v/>
      </c>
      <c r="AO189" s="18"/>
      <c r="AP189" s="18"/>
      <c r="AQ189" s="18" t="str">
        <f t="shared" si="78"/>
        <v/>
      </c>
      <c r="AR189" s="18"/>
      <c r="AS189" s="18"/>
      <c r="AT189" s="18" t="str">
        <f t="shared" si="79"/>
        <v/>
      </c>
      <c r="AU189" s="18"/>
      <c r="AV189" s="18"/>
      <c r="AW189" s="18" t="str">
        <f t="shared" si="80"/>
        <v/>
      </c>
      <c r="AX189" s="18"/>
      <c r="AY189" s="18"/>
      <c r="AZ189" s="18" t="str">
        <f t="shared" si="81"/>
        <v/>
      </c>
      <c r="BA189" s="18">
        <v>145</v>
      </c>
      <c r="BB189" s="18"/>
      <c r="BC189" s="18">
        <f t="shared" si="82"/>
        <v>145</v>
      </c>
      <c r="BD189" s="18"/>
      <c r="BE189" s="18"/>
      <c r="BF189" s="18" t="str">
        <f t="shared" si="83"/>
        <v/>
      </c>
      <c r="BG189" s="18"/>
      <c r="BH189" s="18"/>
      <c r="BI189" s="18" t="str">
        <f t="shared" si="84"/>
        <v/>
      </c>
      <c r="BJ189" s="18"/>
      <c r="BK189" s="18"/>
      <c r="BL189" s="18" t="str">
        <f t="shared" si="85"/>
        <v/>
      </c>
      <c r="BM189" s="18"/>
      <c r="BN189" s="18"/>
      <c r="BO189" s="18" t="str">
        <f t="shared" si="86"/>
        <v/>
      </c>
      <c r="BP189" s="18"/>
      <c r="BQ189" s="18"/>
      <c r="BR189" s="18" t="str">
        <f t="shared" si="87"/>
        <v/>
      </c>
    </row>
    <row r="190" spans="1:70" x14ac:dyDescent="0.25">
      <c r="H190" s="18">
        <f t="shared" ref="H190:BQ190" si="88">SUM(H186:H189)</f>
        <v>0</v>
      </c>
      <c r="I190" s="18">
        <f t="shared" si="88"/>
        <v>0</v>
      </c>
      <c r="J190" s="18">
        <f t="shared" si="88"/>
        <v>0</v>
      </c>
      <c r="K190" s="18">
        <f t="shared" si="88"/>
        <v>0</v>
      </c>
      <c r="L190" s="18">
        <f t="shared" si="88"/>
        <v>0</v>
      </c>
      <c r="M190" s="18">
        <f t="shared" si="88"/>
        <v>0</v>
      </c>
      <c r="N190" s="18">
        <f t="shared" si="88"/>
        <v>0</v>
      </c>
      <c r="O190" s="18">
        <f t="shared" si="88"/>
        <v>0</v>
      </c>
      <c r="P190" s="18">
        <f t="shared" si="88"/>
        <v>0</v>
      </c>
      <c r="Q190" s="18">
        <f t="shared" si="88"/>
        <v>0</v>
      </c>
      <c r="R190" s="18">
        <f t="shared" si="88"/>
        <v>0</v>
      </c>
      <c r="S190" s="18">
        <f t="shared" si="88"/>
        <v>0</v>
      </c>
      <c r="T190" s="18">
        <f t="shared" si="88"/>
        <v>549</v>
      </c>
      <c r="U190" s="18">
        <f t="shared" si="88"/>
        <v>0</v>
      </c>
      <c r="V190" s="18">
        <f t="shared" si="88"/>
        <v>549</v>
      </c>
      <c r="W190" s="18">
        <f t="shared" si="88"/>
        <v>0</v>
      </c>
      <c r="X190" s="18">
        <f t="shared" si="88"/>
        <v>0</v>
      </c>
      <c r="Y190" s="18">
        <f t="shared" si="88"/>
        <v>0</v>
      </c>
      <c r="Z190" s="18">
        <f t="shared" si="88"/>
        <v>0</v>
      </c>
      <c r="AA190" s="18">
        <f t="shared" si="88"/>
        <v>0</v>
      </c>
      <c r="AB190" s="18">
        <f t="shared" si="88"/>
        <v>0</v>
      </c>
      <c r="AC190" s="18">
        <f t="shared" si="88"/>
        <v>1995</v>
      </c>
      <c r="AD190" s="18">
        <f t="shared" si="88"/>
        <v>0</v>
      </c>
      <c r="AE190" s="18">
        <f t="shared" si="88"/>
        <v>1995</v>
      </c>
      <c r="AF190" s="18">
        <f t="shared" si="88"/>
        <v>0</v>
      </c>
      <c r="AG190" s="18">
        <f t="shared" si="88"/>
        <v>0</v>
      </c>
      <c r="AH190" s="18">
        <f t="shared" si="88"/>
        <v>0</v>
      </c>
      <c r="AI190" s="18">
        <f t="shared" si="88"/>
        <v>0</v>
      </c>
      <c r="AJ190" s="18">
        <f t="shared" si="88"/>
        <v>0</v>
      </c>
      <c r="AK190" s="18">
        <f t="shared" si="88"/>
        <v>0</v>
      </c>
      <c r="AL190" s="18">
        <f t="shared" si="88"/>
        <v>0</v>
      </c>
      <c r="AM190" s="18">
        <f t="shared" si="88"/>
        <v>0</v>
      </c>
      <c r="AN190" s="18">
        <f t="shared" si="88"/>
        <v>0</v>
      </c>
      <c r="AO190" s="18">
        <f t="shared" si="88"/>
        <v>0</v>
      </c>
      <c r="AP190" s="18">
        <f t="shared" si="88"/>
        <v>0</v>
      </c>
      <c r="AQ190" s="18">
        <f t="shared" si="88"/>
        <v>0</v>
      </c>
      <c r="AR190" s="18">
        <f t="shared" si="88"/>
        <v>17</v>
      </c>
      <c r="AS190" s="18">
        <f t="shared" si="88"/>
        <v>0</v>
      </c>
      <c r="AT190" s="18">
        <f t="shared" si="88"/>
        <v>17</v>
      </c>
      <c r="AU190" s="18">
        <f t="shared" si="88"/>
        <v>0</v>
      </c>
      <c r="AV190" s="18">
        <f t="shared" si="88"/>
        <v>0</v>
      </c>
      <c r="AW190" s="18">
        <f t="shared" si="88"/>
        <v>0</v>
      </c>
      <c r="AX190" s="18">
        <f t="shared" si="88"/>
        <v>0</v>
      </c>
      <c r="AY190" s="18">
        <f t="shared" si="88"/>
        <v>0</v>
      </c>
      <c r="AZ190" s="18">
        <f t="shared" si="88"/>
        <v>0</v>
      </c>
      <c r="BA190" s="18">
        <f t="shared" si="88"/>
        <v>549</v>
      </c>
      <c r="BB190" s="18">
        <f t="shared" si="88"/>
        <v>0</v>
      </c>
      <c r="BC190" s="18">
        <f t="shared" si="88"/>
        <v>549</v>
      </c>
      <c r="BD190" s="18">
        <f t="shared" si="88"/>
        <v>0</v>
      </c>
      <c r="BE190" s="18">
        <f t="shared" si="88"/>
        <v>0</v>
      </c>
      <c r="BF190" s="18">
        <f t="shared" si="88"/>
        <v>0</v>
      </c>
      <c r="BG190" s="18">
        <f t="shared" si="88"/>
        <v>0</v>
      </c>
      <c r="BH190" s="18">
        <f t="shared" si="88"/>
        <v>0</v>
      </c>
      <c r="BI190" s="18">
        <f t="shared" si="88"/>
        <v>0</v>
      </c>
      <c r="BJ190" s="18">
        <f t="shared" si="88"/>
        <v>0</v>
      </c>
      <c r="BK190" s="18">
        <f t="shared" si="88"/>
        <v>0</v>
      </c>
      <c r="BL190" s="18">
        <f t="shared" si="88"/>
        <v>0</v>
      </c>
      <c r="BM190" s="18">
        <f t="shared" si="88"/>
        <v>0</v>
      </c>
      <c r="BN190" s="18">
        <f t="shared" si="88"/>
        <v>0</v>
      </c>
      <c r="BO190" s="18">
        <f t="shared" si="88"/>
        <v>0</v>
      </c>
      <c r="BP190" s="18">
        <f t="shared" si="88"/>
        <v>0</v>
      </c>
      <c r="BQ190" s="18">
        <f t="shared" si="88"/>
        <v>0</v>
      </c>
      <c r="BR190" s="18">
        <f t="shared" ref="BR190" si="89">SUM(BR186:BR189)</f>
        <v>0</v>
      </c>
    </row>
    <row r="191" spans="1:70" x14ac:dyDescent="0.25">
      <c r="H191" s="18">
        <f t="shared" ref="H191:BQ191" si="90">COUNT(H186:H189)</f>
        <v>0</v>
      </c>
      <c r="I191" s="18">
        <f t="shared" si="90"/>
        <v>0</v>
      </c>
      <c r="J191" s="18">
        <f t="shared" si="90"/>
        <v>0</v>
      </c>
      <c r="K191" s="18">
        <f t="shared" si="90"/>
        <v>0</v>
      </c>
      <c r="L191" s="18">
        <f t="shared" si="90"/>
        <v>0</v>
      </c>
      <c r="M191" s="18">
        <f t="shared" si="90"/>
        <v>0</v>
      </c>
      <c r="N191" s="18">
        <f t="shared" si="90"/>
        <v>0</v>
      </c>
      <c r="O191" s="18">
        <f t="shared" si="90"/>
        <v>0</v>
      </c>
      <c r="P191" s="18">
        <f t="shared" si="90"/>
        <v>0</v>
      </c>
      <c r="Q191" s="18">
        <f t="shared" si="90"/>
        <v>0</v>
      </c>
      <c r="R191" s="18">
        <f t="shared" si="90"/>
        <v>0</v>
      </c>
      <c r="S191" s="18">
        <f t="shared" si="90"/>
        <v>0</v>
      </c>
      <c r="T191" s="18">
        <f t="shared" si="90"/>
        <v>4</v>
      </c>
      <c r="U191" s="18">
        <f t="shared" si="90"/>
        <v>0</v>
      </c>
      <c r="V191" s="18">
        <f t="shared" si="90"/>
        <v>4</v>
      </c>
      <c r="W191" s="18">
        <f t="shared" si="90"/>
        <v>0</v>
      </c>
      <c r="X191" s="18">
        <f t="shared" si="90"/>
        <v>0</v>
      </c>
      <c r="Y191" s="18">
        <f t="shared" si="90"/>
        <v>0</v>
      </c>
      <c r="Z191" s="18">
        <f t="shared" si="90"/>
        <v>0</v>
      </c>
      <c r="AA191" s="18">
        <f t="shared" si="90"/>
        <v>0</v>
      </c>
      <c r="AB191" s="18">
        <f t="shared" si="90"/>
        <v>0</v>
      </c>
      <c r="AC191" s="18">
        <f t="shared" si="90"/>
        <v>1</v>
      </c>
      <c r="AD191" s="18">
        <f t="shared" si="90"/>
        <v>0</v>
      </c>
      <c r="AE191" s="18">
        <f t="shared" si="90"/>
        <v>1</v>
      </c>
      <c r="AF191" s="18">
        <f t="shared" si="90"/>
        <v>0</v>
      </c>
      <c r="AG191" s="18">
        <f t="shared" si="90"/>
        <v>0</v>
      </c>
      <c r="AH191" s="18">
        <f t="shared" si="90"/>
        <v>0</v>
      </c>
      <c r="AI191" s="18">
        <f t="shared" si="90"/>
        <v>0</v>
      </c>
      <c r="AJ191" s="18">
        <f t="shared" si="90"/>
        <v>0</v>
      </c>
      <c r="AK191" s="18">
        <f t="shared" si="90"/>
        <v>0</v>
      </c>
      <c r="AL191" s="18">
        <f t="shared" si="90"/>
        <v>0</v>
      </c>
      <c r="AM191" s="18">
        <f t="shared" si="90"/>
        <v>0</v>
      </c>
      <c r="AN191" s="18">
        <f t="shared" si="90"/>
        <v>0</v>
      </c>
      <c r="AO191" s="18">
        <f t="shared" si="90"/>
        <v>0</v>
      </c>
      <c r="AP191" s="18">
        <f t="shared" si="90"/>
        <v>0</v>
      </c>
      <c r="AQ191" s="18">
        <f t="shared" si="90"/>
        <v>0</v>
      </c>
      <c r="AR191" s="18">
        <f t="shared" si="90"/>
        <v>1</v>
      </c>
      <c r="AS191" s="18">
        <f t="shared" si="90"/>
        <v>0</v>
      </c>
      <c r="AT191" s="18">
        <f t="shared" si="90"/>
        <v>1</v>
      </c>
      <c r="AU191" s="18">
        <f t="shared" si="90"/>
        <v>0</v>
      </c>
      <c r="AV191" s="18">
        <f t="shared" si="90"/>
        <v>0</v>
      </c>
      <c r="AW191" s="18">
        <f t="shared" si="90"/>
        <v>0</v>
      </c>
      <c r="AX191" s="18">
        <f t="shared" si="90"/>
        <v>0</v>
      </c>
      <c r="AY191" s="18">
        <f t="shared" si="90"/>
        <v>0</v>
      </c>
      <c r="AZ191" s="18">
        <f t="shared" si="90"/>
        <v>0</v>
      </c>
      <c r="BA191" s="18">
        <f t="shared" si="90"/>
        <v>4</v>
      </c>
      <c r="BB191" s="18">
        <f t="shared" si="90"/>
        <v>0</v>
      </c>
      <c r="BC191" s="18">
        <f t="shared" si="90"/>
        <v>4</v>
      </c>
      <c r="BD191" s="18">
        <f t="shared" si="90"/>
        <v>0</v>
      </c>
      <c r="BE191" s="18">
        <f t="shared" si="90"/>
        <v>0</v>
      </c>
      <c r="BF191" s="18">
        <f t="shared" si="90"/>
        <v>0</v>
      </c>
      <c r="BG191" s="18">
        <f t="shared" si="90"/>
        <v>0</v>
      </c>
      <c r="BH191" s="18">
        <f t="shared" si="90"/>
        <v>0</v>
      </c>
      <c r="BI191" s="18">
        <f t="shared" si="90"/>
        <v>0</v>
      </c>
      <c r="BJ191" s="18">
        <f t="shared" si="90"/>
        <v>0</v>
      </c>
      <c r="BK191" s="18">
        <f t="shared" si="90"/>
        <v>0</v>
      </c>
      <c r="BL191" s="18">
        <f t="shared" si="90"/>
        <v>0</v>
      </c>
      <c r="BM191" s="18">
        <f t="shared" si="90"/>
        <v>0</v>
      </c>
      <c r="BN191" s="18">
        <f t="shared" si="90"/>
        <v>0</v>
      </c>
      <c r="BO191" s="18">
        <f t="shared" si="90"/>
        <v>0</v>
      </c>
      <c r="BP191" s="18">
        <f t="shared" si="90"/>
        <v>0</v>
      </c>
      <c r="BQ191" s="18">
        <f t="shared" si="90"/>
        <v>0</v>
      </c>
      <c r="BR191" s="18">
        <f>COUNT(BR186:BR189)</f>
        <v>0</v>
      </c>
    </row>
    <row r="200" spans="7:7" x14ac:dyDescent="0.25">
      <c r="G200" s="105"/>
    </row>
    <row r="201" spans="7:7" x14ac:dyDescent="0.25">
      <c r="G201" s="105"/>
    </row>
    <row r="202" spans="7:7" x14ac:dyDescent="0.25">
      <c r="G202" s="105"/>
    </row>
    <row r="203" spans="7:7" x14ac:dyDescent="0.25">
      <c r="G203" s="105"/>
    </row>
    <row r="204" spans="7:7" x14ac:dyDescent="0.25">
      <c r="G204" s="105"/>
    </row>
    <row r="205" spans="7:7" x14ac:dyDescent="0.25">
      <c r="G205" s="105"/>
    </row>
    <row r="206" spans="7:7" x14ac:dyDescent="0.25">
      <c r="G206" s="105"/>
    </row>
    <row r="207" spans="7:7" x14ac:dyDescent="0.25">
      <c r="G207" s="105"/>
    </row>
    <row r="208" spans="7:7" x14ac:dyDescent="0.25">
      <c r="G208" s="105"/>
    </row>
    <row r="209" spans="7:16" x14ac:dyDescent="0.25">
      <c r="G209" s="105"/>
    </row>
    <row r="210" spans="7:16" x14ac:dyDescent="0.25">
      <c r="G210" s="105"/>
      <c r="O210" s="77"/>
      <c r="P210" s="77"/>
    </row>
    <row r="211" spans="7:16" x14ac:dyDescent="0.25">
      <c r="G211" s="105"/>
    </row>
    <row r="212" spans="7:16" x14ac:dyDescent="0.25">
      <c r="G212" s="105"/>
    </row>
    <row r="213" spans="7:16" x14ac:dyDescent="0.25">
      <c r="G213" s="105"/>
    </row>
    <row r="214" spans="7:16" x14ac:dyDescent="0.25">
      <c r="G214" s="105"/>
    </row>
    <row r="215" spans="7:16" x14ac:dyDescent="0.25">
      <c r="G215" s="105"/>
    </row>
    <row r="216" spans="7:16" x14ac:dyDescent="0.25">
      <c r="G216" s="105"/>
    </row>
    <row r="217" spans="7:16" x14ac:dyDescent="0.25">
      <c r="G217" s="105"/>
    </row>
  </sheetData>
  <autoFilter ref="A4:BQ178"/>
  <mergeCells count="140">
    <mergeCell ref="BP3:BQ3"/>
    <mergeCell ref="BP2:BQ2"/>
    <mergeCell ref="BP1:BQ1"/>
    <mergeCell ref="BA3:BB3"/>
    <mergeCell ref="BA2:BB2"/>
    <mergeCell ref="BA1:BB1"/>
    <mergeCell ref="BG3:BH3"/>
    <mergeCell ref="BG2:BH2"/>
    <mergeCell ref="BG1:BH1"/>
    <mergeCell ref="BD3:BE3"/>
    <mergeCell ref="BM3:BN3"/>
    <mergeCell ref="BM2:BN2"/>
    <mergeCell ref="BM1:BN1"/>
    <mergeCell ref="BJ3:BK3"/>
    <mergeCell ref="BJ2:BK2"/>
    <mergeCell ref="BJ1:BK1"/>
    <mergeCell ref="BD2:BE2"/>
    <mergeCell ref="BD1:BE1"/>
    <mergeCell ref="AU3:AV3"/>
    <mergeCell ref="AU2:AV2"/>
    <mergeCell ref="AU1:AV1"/>
    <mergeCell ref="AX3:AY3"/>
    <mergeCell ref="AX2:AY2"/>
    <mergeCell ref="AX1:AY1"/>
    <mergeCell ref="AL3:AM3"/>
    <mergeCell ref="AL2:AM2"/>
    <mergeCell ref="AL1:AM1"/>
    <mergeCell ref="AI1:AJ1"/>
    <mergeCell ref="AR3:AS3"/>
    <mergeCell ref="AR2:AS2"/>
    <mergeCell ref="AR1:AS1"/>
    <mergeCell ref="AO3:AP3"/>
    <mergeCell ref="AO2:AP2"/>
    <mergeCell ref="AO1:AP1"/>
    <mergeCell ref="AF3:AG3"/>
    <mergeCell ref="AF2:AG2"/>
    <mergeCell ref="AF1:AG1"/>
    <mergeCell ref="AI3:AJ3"/>
    <mergeCell ref="AI2:AJ2"/>
    <mergeCell ref="T3:U3"/>
    <mergeCell ref="T2:U2"/>
    <mergeCell ref="T1:U1"/>
    <mergeCell ref="W1:X1"/>
    <mergeCell ref="AC3:AD3"/>
    <mergeCell ref="AC2:AD2"/>
    <mergeCell ref="AC1:AD1"/>
    <mergeCell ref="Z3:AA3"/>
    <mergeCell ref="Z2:AA2"/>
    <mergeCell ref="Z1:AA1"/>
    <mergeCell ref="W3:X3"/>
    <mergeCell ref="W2:X2"/>
    <mergeCell ref="K3:L3"/>
    <mergeCell ref="K2:L2"/>
    <mergeCell ref="K1:L1"/>
    <mergeCell ref="Q3:R3"/>
    <mergeCell ref="Q2:R2"/>
    <mergeCell ref="Q1:R1"/>
    <mergeCell ref="N3:O3"/>
    <mergeCell ref="N2:O2"/>
    <mergeCell ref="N1:O1"/>
    <mergeCell ref="A182:A185"/>
    <mergeCell ref="B182:B185"/>
    <mergeCell ref="C182:C185"/>
    <mergeCell ref="D182:D185"/>
    <mergeCell ref="F182:F185"/>
    <mergeCell ref="G1:G4"/>
    <mergeCell ref="H3:I3"/>
    <mergeCell ref="H2:I2"/>
    <mergeCell ref="H1:I1"/>
    <mergeCell ref="F1:F4"/>
    <mergeCell ref="D1:D4"/>
    <mergeCell ref="C1:C4"/>
    <mergeCell ref="B1:B4"/>
    <mergeCell ref="A1:A4"/>
    <mergeCell ref="E1:E4"/>
    <mergeCell ref="E182:E185"/>
    <mergeCell ref="AR182:AS182"/>
    <mergeCell ref="AU182:AV182"/>
    <mergeCell ref="T182:U182"/>
    <mergeCell ref="W182:X182"/>
    <mergeCell ref="Z182:AA182"/>
    <mergeCell ref="AC182:AD182"/>
    <mergeCell ref="AF182:AG182"/>
    <mergeCell ref="G182:G185"/>
    <mergeCell ref="H182:I182"/>
    <mergeCell ref="K182:L182"/>
    <mergeCell ref="N182:O182"/>
    <mergeCell ref="Q182:R182"/>
    <mergeCell ref="AI184:AJ184"/>
    <mergeCell ref="AL184:AM184"/>
    <mergeCell ref="AO184:AP184"/>
    <mergeCell ref="AR184:AS184"/>
    <mergeCell ref="AU184:AV184"/>
    <mergeCell ref="H184:I184"/>
    <mergeCell ref="K184:L184"/>
    <mergeCell ref="N184:O184"/>
    <mergeCell ref="Q184:R184"/>
    <mergeCell ref="T184:U184"/>
    <mergeCell ref="W184:X184"/>
    <mergeCell ref="Z184:AA184"/>
    <mergeCell ref="BM182:BN182"/>
    <mergeCell ref="BP182:BQ182"/>
    <mergeCell ref="H183:I183"/>
    <mergeCell ref="K183:L183"/>
    <mergeCell ref="N183:O183"/>
    <mergeCell ref="Q183:R183"/>
    <mergeCell ref="T183:U183"/>
    <mergeCell ref="W183:X183"/>
    <mergeCell ref="Z183:AA183"/>
    <mergeCell ref="AC183:AD183"/>
    <mergeCell ref="AF183:AG183"/>
    <mergeCell ref="AI183:AJ183"/>
    <mergeCell ref="AL183:AM183"/>
    <mergeCell ref="AO183:AP183"/>
    <mergeCell ref="AR183:AS183"/>
    <mergeCell ref="AU183:AV183"/>
    <mergeCell ref="AX182:AY182"/>
    <mergeCell ref="BA182:BB182"/>
    <mergeCell ref="BD182:BE182"/>
    <mergeCell ref="BG182:BH182"/>
    <mergeCell ref="BJ182:BK182"/>
    <mergeCell ref="AI182:AJ182"/>
    <mergeCell ref="AL182:AM182"/>
    <mergeCell ref="AO182:AP182"/>
    <mergeCell ref="BM183:BN183"/>
    <mergeCell ref="BP183:BQ183"/>
    <mergeCell ref="BJ183:BK183"/>
    <mergeCell ref="AX183:AY183"/>
    <mergeCell ref="BA183:BB183"/>
    <mergeCell ref="BD183:BE183"/>
    <mergeCell ref="BG183:BH183"/>
    <mergeCell ref="AC184:AD184"/>
    <mergeCell ref="AF184:AG184"/>
    <mergeCell ref="BM184:BN184"/>
    <mergeCell ref="BP184:BQ184"/>
    <mergeCell ref="AX184:AY184"/>
    <mergeCell ref="BA184:BB184"/>
    <mergeCell ref="BD184:BE184"/>
    <mergeCell ref="BG184:BH184"/>
    <mergeCell ref="BJ184:BK18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zoomScale="85" zoomScaleNormal="85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H4" sqref="AH4"/>
    </sheetView>
  </sheetViews>
  <sheetFormatPr defaultRowHeight="15" x14ac:dyDescent="0.25"/>
  <cols>
    <col min="1" max="1" width="10.85546875" bestFit="1" customWidth="1"/>
    <col min="2" max="2" width="22.140625" bestFit="1" customWidth="1"/>
    <col min="3" max="3" width="22" bestFit="1" customWidth="1"/>
    <col min="4" max="4" width="36.42578125" bestFit="1" customWidth="1"/>
    <col min="5" max="5" width="4.28515625" bestFit="1" customWidth="1"/>
    <col min="6" max="6" width="11.7109375" bestFit="1" customWidth="1"/>
    <col min="7" max="7" width="12.85546875" bestFit="1" customWidth="1"/>
    <col min="8" max="8" width="11.42578125" style="55" customWidth="1"/>
    <col min="9" max="13" width="11.42578125" style="17" customWidth="1"/>
    <col min="14" max="14" width="11.42578125" style="56" customWidth="1"/>
    <col min="15" max="19" width="11.42578125" style="17" customWidth="1"/>
    <col min="20" max="20" width="11.42578125" style="56" customWidth="1"/>
    <col min="21" max="33" width="11.42578125" style="17" customWidth="1"/>
  </cols>
  <sheetData>
    <row r="1" spans="1:34" ht="57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199" t="s">
        <v>224</v>
      </c>
      <c r="I1" s="1200"/>
      <c r="J1" s="102"/>
      <c r="K1" s="1199" t="s">
        <v>224</v>
      </c>
      <c r="L1" s="1200"/>
      <c r="M1" s="102"/>
      <c r="N1" s="1199" t="s">
        <v>226</v>
      </c>
      <c r="O1" s="1200"/>
      <c r="P1" s="102"/>
      <c r="Q1" s="1199" t="s">
        <v>226</v>
      </c>
      <c r="R1" s="1200"/>
      <c r="S1" s="102"/>
      <c r="T1" s="1199" t="s">
        <v>87</v>
      </c>
      <c r="U1" s="1200"/>
      <c r="V1" s="102"/>
      <c r="W1" s="1199" t="s">
        <v>87</v>
      </c>
      <c r="X1" s="1200"/>
      <c r="Y1" s="102"/>
      <c r="Z1" s="1199" t="s">
        <v>229</v>
      </c>
      <c r="AA1" s="1200"/>
      <c r="AB1" s="102"/>
      <c r="AC1" s="1199" t="s">
        <v>231</v>
      </c>
      <c r="AD1" s="1200"/>
      <c r="AE1" s="102"/>
      <c r="AF1" s="1199" t="s">
        <v>233</v>
      </c>
      <c r="AG1" s="1200"/>
    </row>
    <row r="2" spans="1:34" x14ac:dyDescent="0.25">
      <c r="A2" s="1203"/>
      <c r="B2" s="1203"/>
      <c r="C2" s="1203"/>
      <c r="D2" s="1203"/>
      <c r="E2" s="1203"/>
      <c r="F2" s="1203"/>
      <c r="G2" s="1201"/>
      <c r="H2" s="1197" t="s">
        <v>223</v>
      </c>
      <c r="I2" s="1198"/>
      <c r="J2" s="103"/>
      <c r="K2" s="1197" t="s">
        <v>223</v>
      </c>
      <c r="L2" s="1198"/>
      <c r="M2" s="103"/>
      <c r="N2" s="1197" t="s">
        <v>225</v>
      </c>
      <c r="O2" s="1198"/>
      <c r="P2" s="103"/>
      <c r="Q2" s="1197" t="s">
        <v>225</v>
      </c>
      <c r="R2" s="1198"/>
      <c r="S2" s="103"/>
      <c r="T2" s="1197" t="s">
        <v>227</v>
      </c>
      <c r="U2" s="1198"/>
      <c r="V2" s="103"/>
      <c r="W2" s="1197" t="s">
        <v>227</v>
      </c>
      <c r="X2" s="1198"/>
      <c r="Y2" s="103"/>
      <c r="Z2" s="1197" t="s">
        <v>228</v>
      </c>
      <c r="AA2" s="1198"/>
      <c r="AB2" s="103"/>
      <c r="AC2" s="1197" t="s">
        <v>230</v>
      </c>
      <c r="AD2" s="1198"/>
      <c r="AE2" s="103"/>
      <c r="AF2" s="1197" t="s">
        <v>232</v>
      </c>
      <c r="AG2" s="1198"/>
    </row>
    <row r="3" spans="1:34" x14ac:dyDescent="0.25">
      <c r="A3" s="1203"/>
      <c r="B3" s="1203"/>
      <c r="C3" s="1203"/>
      <c r="D3" s="1203"/>
      <c r="E3" s="1203"/>
      <c r="F3" s="1203"/>
      <c r="G3" s="1201"/>
      <c r="H3" s="1197" t="s">
        <v>558</v>
      </c>
      <c r="I3" s="1198"/>
      <c r="J3" s="103"/>
      <c r="K3" s="1197" t="s">
        <v>538</v>
      </c>
      <c r="L3" s="1198"/>
      <c r="M3" s="103"/>
      <c r="N3" s="1197" t="s">
        <v>558</v>
      </c>
      <c r="O3" s="1198"/>
      <c r="P3" s="103"/>
      <c r="Q3" s="1197" t="s">
        <v>538</v>
      </c>
      <c r="R3" s="1198"/>
      <c r="S3" s="103"/>
      <c r="T3" s="1197" t="s">
        <v>558</v>
      </c>
      <c r="U3" s="1198"/>
      <c r="V3" s="103"/>
      <c r="W3" s="1197" t="s">
        <v>538</v>
      </c>
      <c r="X3" s="1198"/>
      <c r="Y3" s="103"/>
      <c r="Z3" s="1197" t="s">
        <v>559</v>
      </c>
      <c r="AA3" s="1198"/>
      <c r="AB3" s="103"/>
      <c r="AC3" s="1197" t="s">
        <v>559</v>
      </c>
      <c r="AD3" s="1198"/>
      <c r="AE3" s="103"/>
      <c r="AF3" s="1197" t="s">
        <v>559</v>
      </c>
      <c r="AG3" s="1198"/>
    </row>
    <row r="4" spans="1:34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</row>
    <row r="5" spans="1:34" ht="25.5" x14ac:dyDescent="0.25">
      <c r="A5" s="15" t="s">
        <v>605</v>
      </c>
      <c r="B5" s="2" t="str">
        <f>VLOOKUP($A5,[2]Projekty!$A$2:$AR$1147,4,0)</f>
        <v>OPKZP-PO1-SC121/122-2015</v>
      </c>
      <c r="C5" s="2" t="str">
        <f>VLOOKUP($A5,[2]Projekty!$A$2:$AR$1147,6,0)</f>
        <v>Obec Pohronská Polhora</v>
      </c>
      <c r="D5" s="2" t="str">
        <f>VLOOKUP($A5,[2]Projekty!$A$2:$AR$1147,7,0)</f>
        <v>Kanalizácia obcí Pohronská Polhora a Michalová</v>
      </c>
      <c r="E5" s="2" t="str">
        <f>VLOOKUP($A5,[2]Projekty!$A$2:$AR$1147,9,0)</f>
        <v>BB</v>
      </c>
      <c r="F5" s="2" t="str">
        <f>VLOOKUP($A5,[2]Projekty!$A$2:$AR$1147,14,0)</f>
        <v>Realizácia</v>
      </c>
      <c r="G5" s="61">
        <f>VLOOKUP($A5,'[2]Dĺžka realizácie'!$A$2:$AR$1148,8,0)</f>
        <v>43524</v>
      </c>
      <c r="H5" s="18">
        <v>26.92</v>
      </c>
      <c r="I5" s="18"/>
      <c r="J5" s="18">
        <f>IF(H5="","",IF($F5="riadne ukončený",I5,IF($G5&lt;=J$4,H5,0)))</f>
        <v>0</v>
      </c>
      <c r="K5" s="18"/>
      <c r="L5" s="18"/>
      <c r="M5" s="18" t="str">
        <f>IF(K5="","",IF($F5="riadne ukončený",L5,IF($G5&lt;=M$4,K5,0)))</f>
        <v/>
      </c>
      <c r="N5" s="18">
        <v>1</v>
      </c>
      <c r="O5" s="18"/>
      <c r="P5" s="18">
        <f>IF(N5="","",IF($F5="riadne ukončený",O5,IF($G5&lt;=P$4,N5,0)))</f>
        <v>0</v>
      </c>
      <c r="Q5" s="18"/>
      <c r="R5" s="18"/>
      <c r="S5" s="18" t="str">
        <f>IF(Q5="","",IF($F5="riadne ukončený",R5,IF($G5&lt;=S$4,Q5,0)))</f>
        <v/>
      </c>
      <c r="T5" s="18">
        <v>3100</v>
      </c>
      <c r="U5" s="18"/>
      <c r="V5" s="18">
        <f>IF(T5="","",IF($F5="riadne ukončený",U5,IF($G5&lt;=V$4,T5,0)))</f>
        <v>0</v>
      </c>
      <c r="W5" s="18"/>
      <c r="X5" s="18"/>
      <c r="Y5" s="18" t="str">
        <f>IF(W5="","",IF($F5="riadne ukončený",X5,IF($G5&lt;=Y$4,W5,0)))</f>
        <v/>
      </c>
      <c r="Z5" s="18"/>
      <c r="AA5" s="18"/>
      <c r="AB5" s="18" t="str">
        <f>IF(Z5="","",IF($F5="riadne ukončený",AA5,IF($G5&lt;=AB$4,Z5,0)))</f>
        <v/>
      </c>
      <c r="AC5" s="18"/>
      <c r="AD5" s="18"/>
      <c r="AE5" s="18" t="str">
        <f>IF(AC5="","",IF($F5="riadne ukončený",AD5,IF($G5&lt;=AE$4,AC5,0)))</f>
        <v/>
      </c>
      <c r="AF5" s="18"/>
      <c r="AG5" s="18"/>
      <c r="AH5" s="18" t="str">
        <f>IF(AF5="","",IF($F5="riadne ukončený",AG5,IF($G5&lt;=AH$4,AF5,0)))</f>
        <v/>
      </c>
    </row>
    <row r="6" spans="1:34" ht="25.5" x14ac:dyDescent="0.25">
      <c r="A6" s="15" t="s">
        <v>606</v>
      </c>
      <c r="B6" s="2" t="str">
        <f>VLOOKUP($A6,[2]Projekty!$A$2:$AR$1147,4,0)</f>
        <v>OPKZP-PO1-SC121/122-2015</v>
      </c>
      <c r="C6" s="2" t="str">
        <f>VLOOKUP($A6,[2]Projekty!$A$2:$AR$1147,6,0)</f>
        <v>Obec Bojná</v>
      </c>
      <c r="D6" s="2" t="str">
        <f>VLOOKUP($A6,[2]Projekty!$A$2:$AR$1147,7,0)</f>
        <v>Kanalizácia a ČOV Bojná-Veľké Dvorany</v>
      </c>
      <c r="E6" s="2" t="str">
        <f>VLOOKUP($A6,[2]Projekty!$A$2:$AR$1147,9,0)</f>
        <v>NR</v>
      </c>
      <c r="F6" s="2" t="str">
        <f>VLOOKUP($A6,[2]Projekty!$A$2:$AR$1147,14,0)</f>
        <v>Realizácia</v>
      </c>
      <c r="G6" s="61">
        <f>VLOOKUP($A6,'[2]Dĺžka realizácie'!$A$2:$AR$1148,8,0)</f>
        <v>43312</v>
      </c>
      <c r="H6" s="18">
        <v>21.672799999999999</v>
      </c>
      <c r="I6" s="18">
        <v>15.1425</v>
      </c>
      <c r="J6" s="18">
        <f t="shared" ref="J6:J40" si="0">IF(H6="","",IF($F6="riadne ukončený",I6,IF($G6&lt;=J$4,H6,0)))</f>
        <v>21.672799999999999</v>
      </c>
      <c r="K6" s="18"/>
      <c r="L6" s="18"/>
      <c r="M6" s="18" t="str">
        <f t="shared" ref="M6:M40" si="1">IF(K6="","",IF($F6="riadne ukončený",L6,IF($G6&lt;=M$4,K6,0)))</f>
        <v/>
      </c>
      <c r="N6" s="18">
        <v>1</v>
      </c>
      <c r="O6" s="18"/>
      <c r="P6" s="18">
        <f t="shared" ref="P6:P40" si="2">IF(N6="","",IF($F6="riadne ukončený",O6,IF($G6&lt;=P$4,N6,0)))</f>
        <v>1</v>
      </c>
      <c r="Q6" s="18"/>
      <c r="R6" s="18"/>
      <c r="S6" s="18" t="str">
        <f t="shared" ref="S6:S40" si="3">IF(Q6="","",IF($F6="riadne ukončený",R6,IF($G6&lt;=S$4,Q6,0)))</f>
        <v/>
      </c>
      <c r="T6" s="18">
        <v>2339</v>
      </c>
      <c r="U6" s="18"/>
      <c r="V6" s="18">
        <f t="shared" ref="V6:V40" si="4">IF(T6="","",IF($F6="riadne ukončený",U6,IF($G6&lt;=V$4,T6,0)))</f>
        <v>2339</v>
      </c>
      <c r="W6" s="18"/>
      <c r="X6" s="18"/>
      <c r="Y6" s="18" t="str">
        <f t="shared" ref="Y6:Y40" si="5">IF(W6="","",IF($F6="riadne ukončený",X6,IF($G6&lt;=Y$4,W6,0)))</f>
        <v/>
      </c>
      <c r="Z6" s="18"/>
      <c r="AA6" s="18"/>
      <c r="AB6" s="18" t="str">
        <f t="shared" ref="AB6:AB40" si="6">IF(Z6="","",IF($F6="riadne ukončený",AA6,IF($G6&lt;=AB$4,Z6,0)))</f>
        <v/>
      </c>
      <c r="AC6" s="18"/>
      <c r="AD6" s="18"/>
      <c r="AE6" s="18" t="str">
        <f t="shared" ref="AE6:AE40" si="7">IF(AC6="","",IF($F6="riadne ukončený",AD6,IF($G6&lt;=AE$4,AC6,0)))</f>
        <v/>
      </c>
      <c r="AF6" s="18"/>
      <c r="AG6" s="18"/>
      <c r="AH6" s="18" t="str">
        <f t="shared" ref="AH6:AH40" si="8">IF(AF6="","",IF($F6="riadne ukončený",AG6,IF($G6&lt;=AH$4,AF6,0)))</f>
        <v/>
      </c>
    </row>
    <row r="7" spans="1:34" ht="25.5" x14ac:dyDescent="0.25">
      <c r="A7" s="15" t="s">
        <v>607</v>
      </c>
      <c r="B7" s="2" t="str">
        <f>VLOOKUP($A7,[2]Projekty!$A$2:$AR$1147,4,0)</f>
        <v>OPKZP-PO1-SC121/122-2015</v>
      </c>
      <c r="C7" s="2" t="str">
        <f>VLOOKUP($A7,[2]Projekty!$A$2:$AR$1147,6,0)</f>
        <v>Stredoslovenská vodárenská spoločnosť,  a.s.</v>
      </c>
      <c r="D7" s="2" t="str">
        <f>VLOOKUP($A7,[2]Projekty!$A$2:$AR$1147,7,0)</f>
        <v>Očová, Zvolenská Slatina - odvedenie a čistenie odpadových vôd</v>
      </c>
      <c r="E7" s="2" t="str">
        <f>VLOOKUP($A7,[2]Projekty!$A$2:$AR$1147,9,0)</f>
        <v>BB</v>
      </c>
      <c r="F7" s="2" t="str">
        <f>VLOOKUP($A7,[2]Projekty!$A$2:$AR$1147,14,0)</f>
        <v>Realizácia</v>
      </c>
      <c r="G7" s="61">
        <f>VLOOKUP($A7,'[2]Dĺžka realizácie'!$A$2:$AR$1148,8,0)</f>
        <v>44196</v>
      </c>
      <c r="H7" s="18">
        <v>23.209399999999999</v>
      </c>
      <c r="I7" s="18"/>
      <c r="J7" s="18">
        <f t="shared" si="0"/>
        <v>0</v>
      </c>
      <c r="K7" s="18"/>
      <c r="L7" s="18"/>
      <c r="M7" s="18" t="str">
        <f t="shared" si="1"/>
        <v/>
      </c>
      <c r="N7" s="18">
        <v>2</v>
      </c>
      <c r="O7" s="18"/>
      <c r="P7" s="18">
        <f t="shared" si="2"/>
        <v>0</v>
      </c>
      <c r="Q7" s="18"/>
      <c r="R7" s="18"/>
      <c r="S7" s="18" t="str">
        <f t="shared" si="3"/>
        <v/>
      </c>
      <c r="T7" s="18">
        <v>3261</v>
      </c>
      <c r="U7" s="18"/>
      <c r="V7" s="18">
        <f t="shared" si="4"/>
        <v>0</v>
      </c>
      <c r="W7" s="18"/>
      <c r="X7" s="18"/>
      <c r="Y7" s="18" t="str">
        <f t="shared" si="5"/>
        <v/>
      </c>
      <c r="Z7" s="18"/>
      <c r="AA7" s="18"/>
      <c r="AB7" s="18" t="str">
        <f t="shared" si="6"/>
        <v/>
      </c>
      <c r="AC7" s="18"/>
      <c r="AD7" s="18"/>
      <c r="AE7" s="18" t="str">
        <f t="shared" si="7"/>
        <v/>
      </c>
      <c r="AF7" s="18"/>
      <c r="AG7" s="18"/>
      <c r="AH7" s="18" t="str">
        <f t="shared" si="8"/>
        <v/>
      </c>
    </row>
    <row r="8" spans="1:34" ht="25.5" x14ac:dyDescent="0.25">
      <c r="A8" s="15" t="s">
        <v>608</v>
      </c>
      <c r="B8" s="2" t="str">
        <f>VLOOKUP($A8,[2]Projekty!$A$2:$AR$1147,4,0)</f>
        <v>OPKZP-PO1-SC121/122-2015</v>
      </c>
      <c r="C8" s="2" t="str">
        <f>VLOOKUP($A8,[2]Projekty!$A$2:$AR$1147,6,0)</f>
        <v>Združenie obcí AGLOMERÁCIA HRONOVCE</v>
      </c>
      <c r="D8" s="2" t="str">
        <f>VLOOKUP($A8,[2]Projekty!$A$2:$AR$1147,7,0)</f>
        <v>Vybudovanie kanalizácie a ČOV v aglomerácií Hronovce</v>
      </c>
      <c r="E8" s="2" t="str">
        <f>VLOOKUP($A8,[2]Projekty!$A$2:$AR$1147,9,0)</f>
        <v>NR</v>
      </c>
      <c r="F8" s="2" t="str">
        <f>VLOOKUP($A8,[2]Projekty!$A$2:$AR$1147,14,0)</f>
        <v>Realizácia</v>
      </c>
      <c r="G8" s="61">
        <f>VLOOKUP($A8,'[2]Dĺžka realizácie'!$A$2:$AR$1148,8,0)</f>
        <v>43220</v>
      </c>
      <c r="H8" s="18">
        <v>43.336300000000001</v>
      </c>
      <c r="I8" s="18">
        <v>29.966200000000001</v>
      </c>
      <c r="J8" s="18">
        <f t="shared" si="0"/>
        <v>43.336300000000001</v>
      </c>
      <c r="K8" s="18"/>
      <c r="L8" s="18"/>
      <c r="M8" s="18" t="str">
        <f t="shared" si="1"/>
        <v/>
      </c>
      <c r="N8" s="18">
        <v>1</v>
      </c>
      <c r="O8" s="18"/>
      <c r="P8" s="18">
        <f t="shared" si="2"/>
        <v>1</v>
      </c>
      <c r="Q8" s="18"/>
      <c r="R8" s="18"/>
      <c r="S8" s="18" t="str">
        <f t="shared" si="3"/>
        <v/>
      </c>
      <c r="T8" s="18">
        <v>3950</v>
      </c>
      <c r="U8" s="18"/>
      <c r="V8" s="18">
        <f t="shared" si="4"/>
        <v>3950</v>
      </c>
      <c r="W8" s="18"/>
      <c r="X8" s="18"/>
      <c r="Y8" s="18" t="str">
        <f t="shared" si="5"/>
        <v/>
      </c>
      <c r="Z8" s="18"/>
      <c r="AA8" s="18"/>
      <c r="AB8" s="18" t="str">
        <f t="shared" si="6"/>
        <v/>
      </c>
      <c r="AC8" s="18"/>
      <c r="AD8" s="18"/>
      <c r="AE8" s="18" t="str">
        <f t="shared" si="7"/>
        <v/>
      </c>
      <c r="AF8" s="18"/>
      <c r="AG8" s="18"/>
      <c r="AH8" s="18" t="str">
        <f t="shared" si="8"/>
        <v/>
      </c>
    </row>
    <row r="9" spans="1:34" ht="25.5" x14ac:dyDescent="0.25">
      <c r="A9" s="15" t="s">
        <v>609</v>
      </c>
      <c r="B9" s="2" t="str">
        <f>VLOOKUP($A9,[2]Projekty!$A$2:$AR$1147,4,0)</f>
        <v>OPKZP-PO1-SC121/122-2015</v>
      </c>
      <c r="C9" s="2" t="str">
        <f>VLOOKUP($A9,[2]Projekty!$A$2:$AR$1147,6,0)</f>
        <v>Regionálna vodárenská spoločnosť Vlára-Váh, s.r.o.</v>
      </c>
      <c r="D9" s="2" t="str">
        <f>VLOOKUP($A9,[2]Projekty!$A$2:$AR$1147,7,0)</f>
        <v>Odkanalizovanie Mikroregiónu Vlára - Váh a intenzifikácia ČOV Nemšová</v>
      </c>
      <c r="E9" s="2" t="str">
        <f>VLOOKUP($A9,[2]Projekty!$A$2:$AR$1147,9,0)</f>
        <v>TN</v>
      </c>
      <c r="F9" s="2" t="str">
        <f>VLOOKUP($A9,[2]Projekty!$A$2:$AR$1147,14,0)</f>
        <v>Realizácia</v>
      </c>
      <c r="G9" s="61">
        <f>VLOOKUP($A9,'[2]Dĺžka realizácie'!$A$2:$AR$1148,8,0)</f>
        <v>43190</v>
      </c>
      <c r="H9" s="18">
        <v>80.13</v>
      </c>
      <c r="I9" s="18">
        <v>39.901000000000003</v>
      </c>
      <c r="J9" s="18">
        <f t="shared" si="0"/>
        <v>80.13</v>
      </c>
      <c r="K9" s="18"/>
      <c r="L9" s="18"/>
      <c r="M9" s="18" t="str">
        <f t="shared" si="1"/>
        <v/>
      </c>
      <c r="N9" s="18">
        <v>1</v>
      </c>
      <c r="O9" s="18">
        <v>0</v>
      </c>
      <c r="P9" s="18">
        <f t="shared" si="2"/>
        <v>1</v>
      </c>
      <c r="Q9" s="18"/>
      <c r="R9" s="18"/>
      <c r="S9" s="18" t="str">
        <f t="shared" si="3"/>
        <v/>
      </c>
      <c r="T9" s="18">
        <v>14075</v>
      </c>
      <c r="U9" s="18">
        <v>0</v>
      </c>
      <c r="V9" s="18">
        <f t="shared" si="4"/>
        <v>14075</v>
      </c>
      <c r="W9" s="18"/>
      <c r="X9" s="18"/>
      <c r="Y9" s="18" t="str">
        <f t="shared" si="5"/>
        <v/>
      </c>
      <c r="Z9" s="18"/>
      <c r="AA9" s="18"/>
      <c r="AB9" s="18" t="str">
        <f t="shared" si="6"/>
        <v/>
      </c>
      <c r="AC9" s="18"/>
      <c r="AD9" s="18"/>
      <c r="AE9" s="18" t="str">
        <f t="shared" si="7"/>
        <v/>
      </c>
      <c r="AF9" s="18"/>
      <c r="AG9" s="18"/>
      <c r="AH9" s="18" t="str">
        <f t="shared" si="8"/>
        <v/>
      </c>
    </row>
    <row r="10" spans="1:34" ht="25.5" x14ac:dyDescent="0.25">
      <c r="A10" s="15" t="s">
        <v>610</v>
      </c>
      <c r="B10" s="2" t="str">
        <f>VLOOKUP($A10,[2]Projekty!$A$2:$AR$1147,4,0)</f>
        <v>OPKZP-PO1-SC121/122-2015</v>
      </c>
      <c r="C10" s="2" t="str">
        <f>VLOOKUP($A10,[2]Projekty!$A$2:$AR$1147,6,0)</f>
        <v>Obec Šoporňa</v>
      </c>
      <c r="D10" s="2" t="str">
        <f>VLOOKUP($A10,[2]Projekty!$A$2:$AR$1147,7,0)</f>
        <v>Šoporňa - rozšírenie kanalizácie a ČOV</v>
      </c>
      <c r="E10" s="2" t="str">
        <f>VLOOKUP($A10,[2]Projekty!$A$2:$AR$1147,9,0)</f>
        <v>TT</v>
      </c>
      <c r="F10" s="2" t="str">
        <f>VLOOKUP($A10,[2]Projekty!$A$2:$AR$1147,14,0)</f>
        <v>Realizácia</v>
      </c>
      <c r="G10" s="61">
        <f>VLOOKUP($A10,'[2]Dĺžka realizácie'!$A$2:$AR$1148,8,0)</f>
        <v>43889</v>
      </c>
      <c r="H10" s="18">
        <v>17.077999999999999</v>
      </c>
      <c r="I10" s="18"/>
      <c r="J10" s="18">
        <f t="shared" si="0"/>
        <v>0</v>
      </c>
      <c r="K10" s="18"/>
      <c r="L10" s="18"/>
      <c r="M10" s="18" t="str">
        <f t="shared" si="1"/>
        <v/>
      </c>
      <c r="N10" s="18">
        <v>1</v>
      </c>
      <c r="O10" s="18"/>
      <c r="P10" s="18">
        <f t="shared" si="2"/>
        <v>0</v>
      </c>
      <c r="Q10" s="18"/>
      <c r="R10" s="18"/>
      <c r="S10" s="18" t="str">
        <f t="shared" si="3"/>
        <v/>
      </c>
      <c r="T10" s="18">
        <v>1940</v>
      </c>
      <c r="U10" s="18"/>
      <c r="V10" s="18">
        <f t="shared" si="4"/>
        <v>0</v>
      </c>
      <c r="W10" s="18"/>
      <c r="X10" s="18"/>
      <c r="Y10" s="18" t="str">
        <f t="shared" si="5"/>
        <v/>
      </c>
      <c r="Z10" s="18"/>
      <c r="AA10" s="18"/>
      <c r="AB10" s="18" t="str">
        <f t="shared" si="6"/>
        <v/>
      </c>
      <c r="AC10" s="18"/>
      <c r="AD10" s="18"/>
      <c r="AE10" s="18" t="str">
        <f t="shared" si="7"/>
        <v/>
      </c>
      <c r="AF10" s="18"/>
      <c r="AG10" s="18"/>
      <c r="AH10" s="18" t="str">
        <f t="shared" si="8"/>
        <v/>
      </c>
    </row>
    <row r="11" spans="1:34" ht="25.5" x14ac:dyDescent="0.25">
      <c r="A11" s="15" t="s">
        <v>611</v>
      </c>
      <c r="B11" s="2" t="str">
        <f>VLOOKUP($A11,[2]Projekty!$A$2:$AR$1147,4,0)</f>
        <v>OPKZP-PO1-SC121/122-2015</v>
      </c>
      <c r="C11" s="2" t="str">
        <f>VLOOKUP($A11,[2]Projekty!$A$2:$AR$1147,6,0)</f>
        <v>Stredoslovenská vodárenská spoločnosť,  a.s.</v>
      </c>
      <c r="D11" s="2" t="str">
        <f>VLOOKUP($A11,[2]Projekty!$A$2:$AR$1147,7,0)</f>
        <v>Aglomerácia Nedožery-Brezany - kanalizácia</v>
      </c>
      <c r="E11" s="2" t="str">
        <f>VLOOKUP($A11,[2]Projekty!$A$2:$AR$1147,9,0)</f>
        <v>TN</v>
      </c>
      <c r="F11" s="2" t="str">
        <f>VLOOKUP($A11,[2]Projekty!$A$2:$AR$1147,14,0)</f>
        <v>Realizácia</v>
      </c>
      <c r="G11" s="61">
        <f>VLOOKUP($A11,'[2]Dĺžka realizácie'!$A$2:$AR$1148,8,0)</f>
        <v>44165</v>
      </c>
      <c r="H11" s="18">
        <v>26.658999999999999</v>
      </c>
      <c r="I11" s="18"/>
      <c r="J11" s="18">
        <f t="shared" si="0"/>
        <v>0</v>
      </c>
      <c r="K11" s="18"/>
      <c r="L11" s="18"/>
      <c r="M11" s="18" t="str">
        <f t="shared" si="1"/>
        <v/>
      </c>
      <c r="N11" s="18">
        <v>0</v>
      </c>
      <c r="O11" s="18"/>
      <c r="P11" s="18">
        <f t="shared" si="2"/>
        <v>0</v>
      </c>
      <c r="Q11" s="18"/>
      <c r="R11" s="18"/>
      <c r="S11" s="18" t="str">
        <f t="shared" si="3"/>
        <v/>
      </c>
      <c r="T11" s="18">
        <v>4497</v>
      </c>
      <c r="U11" s="18"/>
      <c r="V11" s="18">
        <f t="shared" si="4"/>
        <v>0</v>
      </c>
      <c r="W11" s="18"/>
      <c r="X11" s="18"/>
      <c r="Y11" s="18" t="str">
        <f t="shared" si="5"/>
        <v/>
      </c>
      <c r="Z11" s="18"/>
      <c r="AA11" s="18"/>
      <c r="AB11" s="18" t="str">
        <f t="shared" si="6"/>
        <v/>
      </c>
      <c r="AC11" s="18"/>
      <c r="AD11" s="18"/>
      <c r="AE11" s="18" t="str">
        <f t="shared" si="7"/>
        <v/>
      </c>
      <c r="AF11" s="18"/>
      <c r="AG11" s="18"/>
      <c r="AH11" s="18" t="str">
        <f t="shared" si="8"/>
        <v/>
      </c>
    </row>
    <row r="12" spans="1:34" ht="25.5" x14ac:dyDescent="0.25">
      <c r="A12" s="15" t="s">
        <v>612</v>
      </c>
      <c r="B12" s="2" t="str">
        <f>VLOOKUP($A12,[2]Projekty!$A$2:$AR$1147,4,0)</f>
        <v>OPKZP-PO1-SC121/122-2015</v>
      </c>
      <c r="C12" s="2" t="str">
        <f>VLOOKUP($A12,[2]Projekty!$A$2:$AR$1147,6,0)</f>
        <v>Turčianska vodárenská spoločnosť, a.s.</v>
      </c>
      <c r="D12" s="2" t="str">
        <f>VLOOKUP($A12,[2]Projekty!$A$2:$AR$1147,7,0)</f>
        <v>Turčiansky Peter, Košťany nad Turcom - odkanalizovanie</v>
      </c>
      <c r="E12" s="2" t="str">
        <f>VLOOKUP($A12,[2]Projekty!$A$2:$AR$1147,9,0)</f>
        <v>ZA</v>
      </c>
      <c r="F12" s="2" t="str">
        <f>VLOOKUP($A12,[2]Projekty!$A$2:$AR$1147,14,0)</f>
        <v>Realizácia</v>
      </c>
      <c r="G12" s="61">
        <f>VLOOKUP($A12,'[2]Dĺžka realizácie'!$A$2:$AR$1148,8,0)</f>
        <v>43190</v>
      </c>
      <c r="H12" s="18">
        <v>6.6035000000000004</v>
      </c>
      <c r="I12" s="18">
        <v>6.2526999999999999</v>
      </c>
      <c r="J12" s="18">
        <f t="shared" si="0"/>
        <v>6.6035000000000004</v>
      </c>
      <c r="K12" s="18"/>
      <c r="L12" s="18"/>
      <c r="M12" s="18" t="str">
        <f t="shared" si="1"/>
        <v/>
      </c>
      <c r="N12" s="18">
        <v>0</v>
      </c>
      <c r="O12" s="18"/>
      <c r="P12" s="18">
        <f t="shared" si="2"/>
        <v>0</v>
      </c>
      <c r="Q12" s="18"/>
      <c r="R12" s="18"/>
      <c r="S12" s="18" t="str">
        <f t="shared" si="3"/>
        <v/>
      </c>
      <c r="T12" s="18">
        <v>756</v>
      </c>
      <c r="U12" s="18"/>
      <c r="V12" s="18">
        <f t="shared" si="4"/>
        <v>756</v>
      </c>
      <c r="W12" s="18"/>
      <c r="X12" s="18"/>
      <c r="Y12" s="18" t="str">
        <f t="shared" si="5"/>
        <v/>
      </c>
      <c r="Z12" s="18">
        <v>2.0990000000000002</v>
      </c>
      <c r="AA12" s="18">
        <v>2.0990000000000002</v>
      </c>
      <c r="AB12" s="18">
        <f t="shared" si="6"/>
        <v>2.0990000000000002</v>
      </c>
      <c r="AC12" s="18"/>
      <c r="AD12" s="18"/>
      <c r="AE12" s="18" t="str">
        <f t="shared" si="7"/>
        <v/>
      </c>
      <c r="AF12" s="18">
        <v>140</v>
      </c>
      <c r="AG12" s="18"/>
      <c r="AH12" s="18">
        <f t="shared" si="8"/>
        <v>140</v>
      </c>
    </row>
    <row r="13" spans="1:34" ht="25.5" x14ac:dyDescent="0.25">
      <c r="A13" s="15" t="s">
        <v>614</v>
      </c>
      <c r="B13" s="2" t="str">
        <f>VLOOKUP($A13,[2]Projekty!$A$2:$AR$1147,4,0)</f>
        <v>OPKZP-PO1-SC121/122-2015</v>
      </c>
      <c r="C13" s="2" t="str">
        <f>VLOOKUP($A13,[2]Projekty!$A$2:$AR$1147,6,0)</f>
        <v>Obec Tekovské Lužany</v>
      </c>
      <c r="D13" s="2" t="str">
        <f>VLOOKUP($A13,[2]Projekty!$A$2:$AR$1147,7,0)</f>
        <v>Obecná kanalizácia a ČOV Tekovské Lužany</v>
      </c>
      <c r="E13" s="2" t="str">
        <f>VLOOKUP($A13,[2]Projekty!$A$2:$AR$1147,9,0)</f>
        <v>NR</v>
      </c>
      <c r="F13" s="2" t="str">
        <f>VLOOKUP($A13,[2]Projekty!$A$2:$AR$1147,14,0)</f>
        <v>Realizácia</v>
      </c>
      <c r="G13" s="61">
        <f>VLOOKUP($A13,'[2]Dĺžka realizácie'!$A$2:$AR$1148,8,0)</f>
        <v>43708</v>
      </c>
      <c r="H13" s="18">
        <v>17.875499999999999</v>
      </c>
      <c r="I13" s="18"/>
      <c r="J13" s="18">
        <f t="shared" si="0"/>
        <v>0</v>
      </c>
      <c r="K13" s="18"/>
      <c r="L13" s="18"/>
      <c r="M13" s="18" t="str">
        <f t="shared" si="1"/>
        <v/>
      </c>
      <c r="N13" s="18">
        <v>1</v>
      </c>
      <c r="O13" s="18"/>
      <c r="P13" s="18">
        <f t="shared" si="2"/>
        <v>0</v>
      </c>
      <c r="Q13" s="18"/>
      <c r="R13" s="18"/>
      <c r="S13" s="18" t="str">
        <f t="shared" si="3"/>
        <v/>
      </c>
      <c r="T13" s="18">
        <v>2800</v>
      </c>
      <c r="U13" s="18"/>
      <c r="V13" s="18">
        <f t="shared" si="4"/>
        <v>0</v>
      </c>
      <c r="W13" s="18"/>
      <c r="X13" s="18"/>
      <c r="Y13" s="18" t="str">
        <f t="shared" si="5"/>
        <v/>
      </c>
      <c r="Z13" s="18"/>
      <c r="AA13" s="18"/>
      <c r="AB13" s="18" t="str">
        <f t="shared" si="6"/>
        <v/>
      </c>
      <c r="AC13" s="18"/>
      <c r="AD13" s="18"/>
      <c r="AE13" s="18" t="str">
        <f t="shared" si="7"/>
        <v/>
      </c>
      <c r="AF13" s="18"/>
      <c r="AG13" s="18"/>
      <c r="AH13" s="18" t="str">
        <f t="shared" si="8"/>
        <v/>
      </c>
    </row>
    <row r="14" spans="1:34" ht="25.5" x14ac:dyDescent="0.25">
      <c r="A14" s="15" t="s">
        <v>615</v>
      </c>
      <c r="B14" s="2" t="str">
        <f>VLOOKUP($A14,[2]Projekty!$A$2:$AR$1147,4,0)</f>
        <v>OPKZP-PO1-SC121/122-2015</v>
      </c>
      <c r="C14" s="2" t="str">
        <f>VLOOKUP($A14,[2]Projekty!$A$2:$AR$1147,6,0)</f>
        <v>Obec Petrovany</v>
      </c>
      <c r="D14" s="2" t="str">
        <f>VLOOKUP($A14,[2]Projekty!$A$2:$AR$1147,7,0)</f>
        <v>Odkanalizovanie aglomerácie Kendice</v>
      </c>
      <c r="E14" s="2" t="str">
        <f>VLOOKUP($A14,[2]Projekty!$A$2:$AR$1147,9,0)</f>
        <v>PO</v>
      </c>
      <c r="F14" s="2" t="str">
        <f>VLOOKUP($A14,[2]Projekty!$A$2:$AR$1147,14,0)</f>
        <v>Realizácia</v>
      </c>
      <c r="G14" s="61">
        <f>VLOOKUP($A14,'[2]Dĺžka realizácie'!$A$2:$AR$1148,8,0)</f>
        <v>43465</v>
      </c>
      <c r="H14" s="18">
        <v>10.871</v>
      </c>
      <c r="I14" s="18"/>
      <c r="J14" s="18">
        <f t="shared" si="0"/>
        <v>10.871</v>
      </c>
      <c r="K14" s="18"/>
      <c r="L14" s="18"/>
      <c r="M14" s="18" t="str">
        <f t="shared" si="1"/>
        <v/>
      </c>
      <c r="N14" s="18">
        <v>1</v>
      </c>
      <c r="O14" s="18"/>
      <c r="P14" s="18">
        <f t="shared" si="2"/>
        <v>1</v>
      </c>
      <c r="Q14" s="18"/>
      <c r="R14" s="18"/>
      <c r="S14" s="18" t="str">
        <f t="shared" si="3"/>
        <v/>
      </c>
      <c r="T14" s="18">
        <v>2735</v>
      </c>
      <c r="U14" s="18"/>
      <c r="V14" s="18">
        <f t="shared" si="4"/>
        <v>2735</v>
      </c>
      <c r="W14" s="18"/>
      <c r="X14" s="18"/>
      <c r="Y14" s="18" t="str">
        <f t="shared" si="5"/>
        <v/>
      </c>
      <c r="Z14" s="18"/>
      <c r="AA14" s="18"/>
      <c r="AB14" s="18" t="str">
        <f t="shared" si="6"/>
        <v/>
      </c>
      <c r="AC14" s="18"/>
      <c r="AD14" s="18"/>
      <c r="AE14" s="18" t="str">
        <f t="shared" si="7"/>
        <v/>
      </c>
      <c r="AF14" s="18"/>
      <c r="AG14" s="18"/>
      <c r="AH14" s="18" t="str">
        <f t="shared" si="8"/>
        <v/>
      </c>
    </row>
    <row r="15" spans="1:34" ht="25.5" x14ac:dyDescent="0.25">
      <c r="A15" s="15" t="s">
        <v>616</v>
      </c>
      <c r="B15" s="2" t="str">
        <f>VLOOKUP($A15,[2]Projekty!$A$2:$AR$1147,4,0)</f>
        <v>OPKZP-PO1-SC121/122-2015</v>
      </c>
      <c r="C15" s="2" t="str">
        <f>VLOOKUP($A15,[2]Projekty!$A$2:$AR$1147,6,0)</f>
        <v>Obec Podolie</v>
      </c>
      <c r="D15" s="2" t="str">
        <f>VLOOKUP($A15,[2]Projekty!$A$2:$AR$1147,7,0)</f>
        <v>Vybudovanie a využívanie stokovej siete v aglomerácii obcí Podolie a Očkov</v>
      </c>
      <c r="E15" s="2" t="str">
        <f>VLOOKUP($A15,[2]Projekty!$A$2:$AR$1147,9,0)</f>
        <v>TN</v>
      </c>
      <c r="F15" s="2" t="str">
        <f>VLOOKUP($A15,[2]Projekty!$A$2:$AR$1147,14,0)</f>
        <v>Realizácia</v>
      </c>
      <c r="G15" s="61">
        <f>VLOOKUP($A15,'[2]Dĺžka realizácie'!$A$2:$AR$1148,8,0)</f>
        <v>43434</v>
      </c>
      <c r="H15" s="18">
        <v>18.124600000000001</v>
      </c>
      <c r="I15" s="18"/>
      <c r="J15" s="18">
        <f t="shared" si="0"/>
        <v>18.124600000000001</v>
      </c>
      <c r="K15" s="18"/>
      <c r="L15" s="18"/>
      <c r="M15" s="18" t="str">
        <f t="shared" si="1"/>
        <v/>
      </c>
      <c r="N15" s="18">
        <v>0</v>
      </c>
      <c r="O15" s="18"/>
      <c r="P15" s="18">
        <f t="shared" si="2"/>
        <v>0</v>
      </c>
      <c r="Q15" s="18"/>
      <c r="R15" s="18"/>
      <c r="S15" s="18" t="str">
        <f t="shared" si="3"/>
        <v/>
      </c>
      <c r="T15" s="18">
        <v>2414</v>
      </c>
      <c r="U15" s="18"/>
      <c r="V15" s="18">
        <f t="shared" si="4"/>
        <v>2414</v>
      </c>
      <c r="W15" s="18"/>
      <c r="X15" s="18"/>
      <c r="Y15" s="18" t="str">
        <f t="shared" si="5"/>
        <v/>
      </c>
      <c r="Z15" s="18"/>
      <c r="AA15" s="18"/>
      <c r="AB15" s="18" t="str">
        <f t="shared" si="6"/>
        <v/>
      </c>
      <c r="AC15" s="18"/>
      <c r="AD15" s="18"/>
      <c r="AE15" s="18" t="str">
        <f t="shared" si="7"/>
        <v/>
      </c>
      <c r="AF15" s="18"/>
      <c r="AG15" s="18"/>
      <c r="AH15" s="18" t="str">
        <f t="shared" si="8"/>
        <v/>
      </c>
    </row>
    <row r="16" spans="1:34" ht="25.5" x14ac:dyDescent="0.25">
      <c r="A16" s="15" t="s">
        <v>618</v>
      </c>
      <c r="B16" s="2" t="str">
        <f>VLOOKUP($A16,[2]Projekty!$A$2:$AR$1147,4,0)</f>
        <v>OPKZP-PO1-SC121/122-2015</v>
      </c>
      <c r="C16" s="2" t="str">
        <f>VLOOKUP($A16,[2]Projekty!$A$2:$AR$1147,6,0)</f>
        <v>Stredoslovenská vodárenská spoločnosť,  a.s.</v>
      </c>
      <c r="D16" s="2" t="str">
        <f>VLOOKUP($A16,[2]Projekty!$A$2:$AR$1147,7,0)</f>
        <v>Aglomerácia Hriňová - kanalizácia a ČOV</v>
      </c>
      <c r="E16" s="2" t="str">
        <f>VLOOKUP($A16,[2]Projekty!$A$2:$AR$1147,9,0)</f>
        <v>BB</v>
      </c>
      <c r="F16" s="2" t="str">
        <f>VLOOKUP($A16,[2]Projekty!$A$2:$AR$1147,14,0)</f>
        <v>Realizácia</v>
      </c>
      <c r="G16" s="61">
        <f>VLOOKUP($A16,'[2]Dĺžka realizácie'!$A$2:$AR$1148,8,0)</f>
        <v>44196</v>
      </c>
      <c r="H16" s="18">
        <v>0</v>
      </c>
      <c r="I16" s="18"/>
      <c r="J16" s="18">
        <f t="shared" si="0"/>
        <v>0</v>
      </c>
      <c r="K16" s="18"/>
      <c r="L16" s="18"/>
      <c r="M16" s="18" t="str">
        <f t="shared" si="1"/>
        <v/>
      </c>
      <c r="N16" s="18">
        <v>1</v>
      </c>
      <c r="O16" s="18"/>
      <c r="P16" s="18">
        <f t="shared" si="2"/>
        <v>0</v>
      </c>
      <c r="Q16" s="18"/>
      <c r="R16" s="18"/>
      <c r="S16" s="18" t="str">
        <f t="shared" si="3"/>
        <v/>
      </c>
      <c r="T16" s="18">
        <v>7413</v>
      </c>
      <c r="U16" s="18"/>
      <c r="V16" s="18">
        <f t="shared" si="4"/>
        <v>0</v>
      </c>
      <c r="W16" s="18"/>
      <c r="X16" s="18"/>
      <c r="Y16" s="18" t="str">
        <f t="shared" si="5"/>
        <v/>
      </c>
      <c r="Z16" s="18"/>
      <c r="AA16" s="18"/>
      <c r="AB16" s="18" t="str">
        <f t="shared" si="6"/>
        <v/>
      </c>
      <c r="AC16" s="18"/>
      <c r="AD16" s="18"/>
      <c r="AE16" s="18" t="str">
        <f t="shared" si="7"/>
        <v/>
      </c>
      <c r="AF16" s="18"/>
      <c r="AG16" s="18"/>
      <c r="AH16" s="18" t="str">
        <f t="shared" si="8"/>
        <v/>
      </c>
    </row>
    <row r="17" spans="1:34" ht="25.5" x14ac:dyDescent="0.25">
      <c r="A17" s="15" t="s">
        <v>619</v>
      </c>
      <c r="B17" s="2" t="str">
        <f>VLOOKUP($A17,[2]Projekty!$A$2:$AR$1147,4,0)</f>
        <v>OPKZP-PO1-SC121/122-2015</v>
      </c>
      <c r="C17" s="2" t="str">
        <f>VLOOKUP($A17,[2]Projekty!$A$2:$AR$1147,6,0)</f>
        <v>Bratislavská vodárenská spoločnosť, a.s.</v>
      </c>
      <c r="D17" s="2" t="str">
        <f>VLOOKUP($A17,[2]Projekty!$A$2:$AR$1147,7,0)</f>
        <v>ČOV Rohožník – rekonštrukcia a modernizácia</v>
      </c>
      <c r="E17" s="2" t="str">
        <f>VLOOKUP($A17,[2]Projekty!$A$2:$AR$1147,9,0)</f>
        <v>BA</v>
      </c>
      <c r="F17" s="2" t="str">
        <f>VLOOKUP($A17,[2]Projekty!$A$2:$AR$1147,14,0)</f>
        <v>Realizácia</v>
      </c>
      <c r="G17" s="61">
        <f>VLOOKUP($A17,'[2]Dĺžka realizácie'!$A$2:$AR$1148,8,0)</f>
        <v>43799</v>
      </c>
      <c r="H17" s="18">
        <v>0</v>
      </c>
      <c r="I17" s="18"/>
      <c r="J17" s="18">
        <f t="shared" si="0"/>
        <v>0</v>
      </c>
      <c r="K17" s="18"/>
      <c r="L17" s="18"/>
      <c r="M17" s="18" t="str">
        <f t="shared" si="1"/>
        <v/>
      </c>
      <c r="N17" s="18">
        <v>1</v>
      </c>
      <c r="O17" s="18"/>
      <c r="P17" s="18">
        <f t="shared" si="2"/>
        <v>0</v>
      </c>
      <c r="Q17" s="18"/>
      <c r="R17" s="18"/>
      <c r="S17" s="18" t="str">
        <f t="shared" si="3"/>
        <v/>
      </c>
      <c r="T17" s="18">
        <v>3633</v>
      </c>
      <c r="U17" s="18"/>
      <c r="V17" s="18">
        <f t="shared" si="4"/>
        <v>0</v>
      </c>
      <c r="W17" s="18"/>
      <c r="X17" s="18"/>
      <c r="Y17" s="18" t="str">
        <f t="shared" si="5"/>
        <v/>
      </c>
      <c r="Z17" s="18"/>
      <c r="AA17" s="18"/>
      <c r="AB17" s="18" t="str">
        <f t="shared" si="6"/>
        <v/>
      </c>
      <c r="AC17" s="18"/>
      <c r="AD17" s="18"/>
      <c r="AE17" s="18" t="str">
        <f t="shared" si="7"/>
        <v/>
      </c>
      <c r="AF17" s="18"/>
      <c r="AG17" s="18"/>
      <c r="AH17" s="18" t="str">
        <f t="shared" si="8"/>
        <v/>
      </c>
    </row>
    <row r="18" spans="1:34" ht="25.5" x14ac:dyDescent="0.25">
      <c r="A18" s="15" t="s">
        <v>620</v>
      </c>
      <c r="B18" s="2" t="str">
        <f>VLOOKUP($A18,[2]Projekty!$A$2:$AR$1147,4,0)</f>
        <v>OPKZP-PO1-SC121/122-2015</v>
      </c>
      <c r="C18" s="2" t="str">
        <f>VLOOKUP($A18,[2]Projekty!$A$2:$AR$1147,6,0)</f>
        <v>Obec Čierny Balog</v>
      </c>
      <c r="D18" s="2" t="str">
        <f>VLOOKUP($A18,[2]Projekty!$A$2:$AR$1147,7,0)</f>
        <v>Čierny Balog, kanalizácia a ČOV</v>
      </c>
      <c r="E18" s="2" t="str">
        <f>VLOOKUP($A18,[2]Projekty!$A$2:$AR$1147,9,0)</f>
        <v>BB</v>
      </c>
      <c r="F18" s="2" t="str">
        <f>VLOOKUP($A18,[2]Projekty!$A$2:$AR$1147,14,0)</f>
        <v>Realizácia</v>
      </c>
      <c r="G18" s="61">
        <f>VLOOKUP($A18,'[2]Dĺžka realizácie'!$A$2:$AR$1148,8,0)</f>
        <v>43585</v>
      </c>
      <c r="H18" s="18">
        <v>35.401899999999998</v>
      </c>
      <c r="I18" s="18">
        <v>16.492000000000001</v>
      </c>
      <c r="J18" s="18">
        <f t="shared" si="0"/>
        <v>0</v>
      </c>
      <c r="K18" s="18"/>
      <c r="L18" s="18"/>
      <c r="M18" s="18" t="str">
        <f t="shared" si="1"/>
        <v/>
      </c>
      <c r="N18" s="18">
        <v>1</v>
      </c>
      <c r="O18" s="18"/>
      <c r="P18" s="18">
        <f t="shared" si="2"/>
        <v>0</v>
      </c>
      <c r="Q18" s="18"/>
      <c r="R18" s="18"/>
      <c r="S18" s="18" t="str">
        <f t="shared" si="3"/>
        <v/>
      </c>
      <c r="T18" s="18">
        <v>4663</v>
      </c>
      <c r="U18" s="18"/>
      <c r="V18" s="18">
        <f t="shared" si="4"/>
        <v>0</v>
      </c>
      <c r="W18" s="18"/>
      <c r="X18" s="18"/>
      <c r="Y18" s="18" t="str">
        <f t="shared" si="5"/>
        <v/>
      </c>
      <c r="Z18" s="18"/>
      <c r="AA18" s="18"/>
      <c r="AB18" s="18" t="str">
        <f t="shared" si="6"/>
        <v/>
      </c>
      <c r="AC18" s="18"/>
      <c r="AD18" s="18"/>
      <c r="AE18" s="18" t="str">
        <f t="shared" si="7"/>
        <v/>
      </c>
      <c r="AF18" s="18"/>
      <c r="AG18" s="18"/>
      <c r="AH18" s="18" t="str">
        <f t="shared" si="8"/>
        <v/>
      </c>
    </row>
    <row r="19" spans="1:34" ht="25.5" x14ac:dyDescent="0.25">
      <c r="A19" s="15" t="s">
        <v>621</v>
      </c>
      <c r="B19" s="2" t="str">
        <f>VLOOKUP($A19,[2]Projekty!$A$2:$AR$1147,4,0)</f>
        <v>OPKZP-PO1-SC121/122-2015</v>
      </c>
      <c r="C19" s="2" t="str">
        <f>VLOOKUP($A19,[2]Projekty!$A$2:$AR$1147,6,0)</f>
        <v>Mesto Myjava</v>
      </c>
      <c r="D19" s="2" t="str">
        <f>VLOOKUP($A19,[2]Projekty!$A$2:$AR$1147,7,0)</f>
        <v>Rozšírenie kanalizácie v meste Myjava</v>
      </c>
      <c r="E19" s="2" t="str">
        <f>VLOOKUP($A19,[2]Projekty!$A$2:$AR$1147,9,0)</f>
        <v>TN</v>
      </c>
      <c r="F19" s="2" t="str">
        <f>VLOOKUP($A19,[2]Projekty!$A$2:$AR$1147,14,0)</f>
        <v>Realizácia</v>
      </c>
      <c r="G19" s="61">
        <f>VLOOKUP($A19,'[2]Dĺžka realizácie'!$A$2:$AR$1148,8,0)</f>
        <v>43220</v>
      </c>
      <c r="H19" s="18">
        <v>1.8140000000000001</v>
      </c>
      <c r="I19" s="18"/>
      <c r="J19" s="18">
        <f t="shared" si="0"/>
        <v>1.8140000000000001</v>
      </c>
      <c r="K19" s="18"/>
      <c r="L19" s="18"/>
      <c r="M19" s="18" t="str">
        <f t="shared" si="1"/>
        <v/>
      </c>
      <c r="N19" s="18">
        <v>0</v>
      </c>
      <c r="O19" s="18"/>
      <c r="P19" s="18">
        <f t="shared" si="2"/>
        <v>0</v>
      </c>
      <c r="Q19" s="18"/>
      <c r="R19" s="18"/>
      <c r="S19" s="18" t="str">
        <f t="shared" si="3"/>
        <v/>
      </c>
      <c r="T19" s="18">
        <v>197</v>
      </c>
      <c r="U19" s="18"/>
      <c r="V19" s="18">
        <f t="shared" si="4"/>
        <v>197</v>
      </c>
      <c r="W19" s="18"/>
      <c r="X19" s="18"/>
      <c r="Y19" s="18" t="str">
        <f t="shared" si="5"/>
        <v/>
      </c>
      <c r="Z19" s="18"/>
      <c r="AA19" s="18"/>
      <c r="AB19" s="18" t="str">
        <f t="shared" si="6"/>
        <v/>
      </c>
      <c r="AC19" s="18"/>
      <c r="AD19" s="18"/>
      <c r="AE19" s="18" t="str">
        <f t="shared" si="7"/>
        <v/>
      </c>
      <c r="AF19" s="18"/>
      <c r="AG19" s="18"/>
      <c r="AH19" s="18" t="str">
        <f t="shared" si="8"/>
        <v/>
      </c>
    </row>
    <row r="20" spans="1:34" ht="38.25" x14ac:dyDescent="0.25">
      <c r="A20" s="15" t="s">
        <v>623</v>
      </c>
      <c r="B20" s="2" t="str">
        <f>VLOOKUP($A20,[2]Projekty!$A$2:$AR$1147,4,0)</f>
        <v>OPKZP-PO1-SC121/122-2015</v>
      </c>
      <c r="C20" s="2" t="str">
        <f>VLOOKUP($A20,[2]Projekty!$A$2:$AR$1147,6,0)</f>
        <v>Východoslovenská vodárenská spoločnosť, a.s. Košice</v>
      </c>
      <c r="D20" s="2" t="str">
        <f>VLOOKUP($A20,[2]Projekty!$A$2:$AR$1147,7,0)</f>
        <v>Trhovište, Bánovce nad Ondavou - kanalizácia a ČOV</v>
      </c>
      <c r="E20" s="2" t="str">
        <f>VLOOKUP($A20,[2]Projekty!$A$2:$AR$1147,9,0)</f>
        <v>KE</v>
      </c>
      <c r="F20" s="2" t="str">
        <f>VLOOKUP($A20,[2]Projekty!$A$2:$AR$1147,14,0)</f>
        <v>Realizácia</v>
      </c>
      <c r="G20" s="61">
        <f>VLOOKUP($A20,'[2]Dĺžka realizácie'!$A$2:$AR$1148,8,0)</f>
        <v>43646</v>
      </c>
      <c r="H20" s="18">
        <v>13.743</v>
      </c>
      <c r="I20" s="18"/>
      <c r="J20" s="18">
        <f t="shared" si="0"/>
        <v>0</v>
      </c>
      <c r="K20" s="18"/>
      <c r="L20" s="18"/>
      <c r="M20" s="18" t="str">
        <f t="shared" si="1"/>
        <v/>
      </c>
      <c r="N20" s="18">
        <v>1</v>
      </c>
      <c r="O20" s="18"/>
      <c r="P20" s="18">
        <f t="shared" si="2"/>
        <v>0</v>
      </c>
      <c r="Q20" s="18"/>
      <c r="R20" s="18"/>
      <c r="S20" s="18" t="str">
        <f t="shared" si="3"/>
        <v/>
      </c>
      <c r="T20" s="18">
        <v>4146</v>
      </c>
      <c r="U20" s="18"/>
      <c r="V20" s="18">
        <f t="shared" si="4"/>
        <v>0</v>
      </c>
      <c r="W20" s="18"/>
      <c r="X20" s="18"/>
      <c r="Y20" s="18" t="str">
        <f t="shared" si="5"/>
        <v/>
      </c>
      <c r="Z20" s="18"/>
      <c r="AA20" s="18"/>
      <c r="AB20" s="18" t="str">
        <f t="shared" si="6"/>
        <v/>
      </c>
      <c r="AC20" s="18"/>
      <c r="AD20" s="18"/>
      <c r="AE20" s="18" t="str">
        <f t="shared" si="7"/>
        <v/>
      </c>
      <c r="AF20" s="18"/>
      <c r="AG20" s="18"/>
      <c r="AH20" s="18" t="str">
        <f t="shared" si="8"/>
        <v/>
      </c>
    </row>
    <row r="21" spans="1:34" ht="38.25" x14ac:dyDescent="0.25">
      <c r="A21" s="15" t="s">
        <v>624</v>
      </c>
      <c r="B21" s="2" t="str">
        <f>VLOOKUP($A21,[2]Projekty!$A$2:$AR$1147,4,0)</f>
        <v>OPKZP-PO1-SC121/122-2015</v>
      </c>
      <c r="C21" s="2" t="str">
        <f>VLOOKUP($A21,[2]Projekty!$A$2:$AR$1147,6,0)</f>
        <v>Východoslovenská vodárenská spoločnosť, a.s. Košice</v>
      </c>
      <c r="D21" s="2" t="str">
        <f>VLOOKUP($A21,[2]Projekty!$A$2:$AR$1147,7,0)</f>
        <v>Kráľovský Chlmec - rozšírenie jednotnej a splaškovej kanalizácie a intenzifikácia ČOV</v>
      </c>
      <c r="E21" s="2" t="str">
        <f>VLOOKUP($A21,[2]Projekty!$A$2:$AR$1147,9,0)</f>
        <v>KE</v>
      </c>
      <c r="F21" s="2" t="str">
        <f>VLOOKUP($A21,[2]Projekty!$A$2:$AR$1147,14,0)</f>
        <v>Realizácia</v>
      </c>
      <c r="G21" s="61">
        <f>VLOOKUP($A21,'[2]Dĺžka realizácie'!$A$2:$AR$1148,8,0)</f>
        <v>43646</v>
      </c>
      <c r="H21" s="18">
        <v>17.922799999999999</v>
      </c>
      <c r="I21" s="18"/>
      <c r="J21" s="18">
        <f t="shared" si="0"/>
        <v>0</v>
      </c>
      <c r="K21" s="18"/>
      <c r="L21" s="18"/>
      <c r="M21" s="18" t="str">
        <f t="shared" si="1"/>
        <v/>
      </c>
      <c r="N21" s="18">
        <v>1</v>
      </c>
      <c r="O21" s="18"/>
      <c r="P21" s="18">
        <f t="shared" si="2"/>
        <v>0</v>
      </c>
      <c r="Q21" s="18"/>
      <c r="R21" s="18"/>
      <c r="S21" s="18" t="str">
        <f t="shared" si="3"/>
        <v/>
      </c>
      <c r="T21" s="18">
        <v>7245</v>
      </c>
      <c r="U21" s="18"/>
      <c r="V21" s="18">
        <f t="shared" si="4"/>
        <v>0</v>
      </c>
      <c r="W21" s="18"/>
      <c r="X21" s="18"/>
      <c r="Y21" s="18" t="str">
        <f t="shared" si="5"/>
        <v/>
      </c>
      <c r="Z21" s="18"/>
      <c r="AA21" s="18"/>
      <c r="AB21" s="18" t="str">
        <f t="shared" si="6"/>
        <v/>
      </c>
      <c r="AC21" s="18"/>
      <c r="AD21" s="18"/>
      <c r="AE21" s="18" t="str">
        <f t="shared" si="7"/>
        <v/>
      </c>
      <c r="AF21" s="18"/>
      <c r="AG21" s="18"/>
      <c r="AH21" s="18" t="str">
        <f t="shared" si="8"/>
        <v/>
      </c>
    </row>
    <row r="22" spans="1:34" ht="38.25" x14ac:dyDescent="0.25">
      <c r="A22" s="15" t="s">
        <v>625</v>
      </c>
      <c r="B22" s="2" t="str">
        <f>VLOOKUP($A22,[2]Projekty!$A$2:$AR$1147,4,0)</f>
        <v>OPKZP-PO1-SC121/122-2015</v>
      </c>
      <c r="C22" s="2" t="str">
        <f>VLOOKUP($A22,[2]Projekty!$A$2:$AR$1147,6,0)</f>
        <v>Východoslovenská vodárenská spoločnosť, a.s. Košice</v>
      </c>
      <c r="D22" s="2" t="str">
        <f>VLOOKUP($A22,[2]Projekty!$A$2:$AR$1147,7,0)</f>
        <v>Čierna nad Tisou - splašková kanalizácia priľahlých obcí a intenzifikácia ČOV</v>
      </c>
      <c r="E22" s="2" t="str">
        <f>VLOOKUP($A22,[2]Projekty!$A$2:$AR$1147,9,0)</f>
        <v>KE</v>
      </c>
      <c r="F22" s="2" t="str">
        <f>VLOOKUP($A22,[2]Projekty!$A$2:$AR$1147,14,0)</f>
        <v>Realizácia</v>
      </c>
      <c r="G22" s="61">
        <f>VLOOKUP($A22,'[2]Dĺžka realizácie'!$A$2:$AR$1148,8,0)</f>
        <v>43708</v>
      </c>
      <c r="H22" s="18">
        <v>19.2547</v>
      </c>
      <c r="I22" s="18"/>
      <c r="J22" s="18">
        <f t="shared" si="0"/>
        <v>0</v>
      </c>
      <c r="K22" s="18"/>
      <c r="L22" s="18"/>
      <c r="M22" s="18" t="str">
        <f t="shared" si="1"/>
        <v/>
      </c>
      <c r="N22" s="18">
        <v>1</v>
      </c>
      <c r="O22" s="18"/>
      <c r="P22" s="18">
        <f t="shared" si="2"/>
        <v>0</v>
      </c>
      <c r="Q22" s="18"/>
      <c r="R22" s="18"/>
      <c r="S22" s="18" t="str">
        <f t="shared" si="3"/>
        <v/>
      </c>
      <c r="T22" s="18">
        <v>5584</v>
      </c>
      <c r="U22" s="18"/>
      <c r="V22" s="18">
        <f t="shared" si="4"/>
        <v>0</v>
      </c>
      <c r="W22" s="18"/>
      <c r="X22" s="18"/>
      <c r="Y22" s="18" t="str">
        <f t="shared" si="5"/>
        <v/>
      </c>
      <c r="Z22" s="18"/>
      <c r="AA22" s="18"/>
      <c r="AB22" s="18" t="str">
        <f t="shared" si="6"/>
        <v/>
      </c>
      <c r="AC22" s="18"/>
      <c r="AD22" s="18"/>
      <c r="AE22" s="18" t="str">
        <f t="shared" si="7"/>
        <v/>
      </c>
      <c r="AF22" s="18"/>
      <c r="AG22" s="18"/>
      <c r="AH22" s="18" t="str">
        <f t="shared" si="8"/>
        <v/>
      </c>
    </row>
    <row r="23" spans="1:34" ht="25.5" x14ac:dyDescent="0.25">
      <c r="A23" s="15" t="s">
        <v>627</v>
      </c>
      <c r="B23" s="2" t="str">
        <f>VLOOKUP($A23,[2]Projekty!$A$2:$AR$1147,4,0)</f>
        <v>OPKZP-PO1-SC121/122-2015</v>
      </c>
      <c r="C23" s="2" t="str">
        <f>VLOOKUP($A23,[2]Projekty!$A$2:$AR$1147,6,0)</f>
        <v>Stredoslovenská vodárenská spoločnosť,  a.s.</v>
      </c>
      <c r="D23" s="2" t="str">
        <f>VLOOKUP($A23,[2]Projekty!$A$2:$AR$1147,7,0)</f>
        <v>Aglomerácia Sebedražie - kanalizácia</v>
      </c>
      <c r="E23" s="2" t="str">
        <f>VLOOKUP($A23,[2]Projekty!$A$2:$AR$1147,9,0)</f>
        <v>TN</v>
      </c>
      <c r="F23" s="2" t="str">
        <f>VLOOKUP($A23,[2]Projekty!$A$2:$AR$1147,14,0)</f>
        <v>Realizácia</v>
      </c>
      <c r="G23" s="61">
        <f>VLOOKUP($A23,'[2]Dĺžka realizácie'!$A$2:$AR$1148,8,0)</f>
        <v>43830</v>
      </c>
      <c r="H23" s="18">
        <v>17.773</v>
      </c>
      <c r="I23" s="18"/>
      <c r="J23" s="18">
        <f t="shared" si="0"/>
        <v>0</v>
      </c>
      <c r="K23" s="18"/>
      <c r="L23" s="18"/>
      <c r="M23" s="18" t="str">
        <f t="shared" si="1"/>
        <v/>
      </c>
      <c r="N23" s="18">
        <v>0</v>
      </c>
      <c r="O23" s="18"/>
      <c r="P23" s="18">
        <f t="shared" si="2"/>
        <v>0</v>
      </c>
      <c r="Q23" s="18"/>
      <c r="R23" s="18"/>
      <c r="S23" s="18" t="str">
        <f t="shared" si="3"/>
        <v/>
      </c>
      <c r="T23" s="18">
        <v>2190</v>
      </c>
      <c r="U23" s="18"/>
      <c r="V23" s="18">
        <f t="shared" si="4"/>
        <v>0</v>
      </c>
      <c r="W23" s="18"/>
      <c r="X23" s="18"/>
      <c r="Y23" s="18" t="str">
        <f t="shared" si="5"/>
        <v/>
      </c>
      <c r="Z23" s="18"/>
      <c r="AA23" s="18"/>
      <c r="AB23" s="18" t="str">
        <f t="shared" si="6"/>
        <v/>
      </c>
      <c r="AC23" s="18"/>
      <c r="AD23" s="18"/>
      <c r="AE23" s="18" t="str">
        <f t="shared" si="7"/>
        <v/>
      </c>
      <c r="AF23" s="18"/>
      <c r="AG23" s="18"/>
      <c r="AH23" s="18" t="str">
        <f t="shared" si="8"/>
        <v/>
      </c>
    </row>
    <row r="24" spans="1:34" ht="25.5" x14ac:dyDescent="0.25">
      <c r="A24" s="15" t="s">
        <v>628</v>
      </c>
      <c r="B24" s="2" t="str">
        <f>VLOOKUP($A24,[2]Projekty!$A$2:$AR$1147,4,0)</f>
        <v>OPKZP-PO1-SC121/122-2015</v>
      </c>
      <c r="C24" s="2" t="str">
        <f>VLOOKUP($A24,[2]Projekty!$A$2:$AR$1147,6,0)</f>
        <v>Obec Nesvady</v>
      </c>
      <c r="D24" s="2" t="str">
        <f>VLOOKUP($A24,[2]Projekty!$A$2:$AR$1147,7,0)</f>
        <v>Nesvady - rozšírenie kanalizácie a ČOV</v>
      </c>
      <c r="E24" s="2" t="str">
        <f>VLOOKUP($A24,[2]Projekty!$A$2:$AR$1147,9,0)</f>
        <v>NR</v>
      </c>
      <c r="F24" s="2" t="str">
        <f>VLOOKUP($A24,[2]Projekty!$A$2:$AR$1147,14,0)</f>
        <v>Realizácia</v>
      </c>
      <c r="G24" s="61">
        <f>VLOOKUP($A24,'[2]Dĺžka realizácie'!$A$2:$AR$1148,8,0)</f>
        <v>43738</v>
      </c>
      <c r="H24" s="18">
        <v>31.572900000000001</v>
      </c>
      <c r="I24" s="18"/>
      <c r="J24" s="18">
        <f t="shared" si="0"/>
        <v>0</v>
      </c>
      <c r="K24" s="18"/>
      <c r="L24" s="18"/>
      <c r="M24" s="18" t="str">
        <f t="shared" si="1"/>
        <v/>
      </c>
      <c r="N24" s="18">
        <v>1</v>
      </c>
      <c r="O24" s="18"/>
      <c r="P24" s="18">
        <f t="shared" si="2"/>
        <v>0</v>
      </c>
      <c r="Q24" s="18"/>
      <c r="R24" s="18"/>
      <c r="S24" s="18" t="str">
        <f t="shared" si="3"/>
        <v/>
      </c>
      <c r="T24" s="18">
        <v>4219</v>
      </c>
      <c r="U24" s="18"/>
      <c r="V24" s="18">
        <f t="shared" si="4"/>
        <v>0</v>
      </c>
      <c r="W24" s="18"/>
      <c r="X24" s="18"/>
      <c r="Y24" s="18" t="str">
        <f t="shared" si="5"/>
        <v/>
      </c>
      <c r="Z24" s="18"/>
      <c r="AA24" s="18"/>
      <c r="AB24" s="18" t="str">
        <f t="shared" si="6"/>
        <v/>
      </c>
      <c r="AC24" s="18"/>
      <c r="AD24" s="18"/>
      <c r="AE24" s="18" t="str">
        <f t="shared" si="7"/>
        <v/>
      </c>
      <c r="AF24" s="18"/>
      <c r="AG24" s="18"/>
      <c r="AH24" s="18" t="str">
        <f t="shared" si="8"/>
        <v/>
      </c>
    </row>
    <row r="25" spans="1:34" ht="25.5" x14ac:dyDescent="0.25">
      <c r="A25" s="15" t="s">
        <v>629</v>
      </c>
      <c r="B25" s="2" t="str">
        <f>VLOOKUP($A25,[2]Projekty!$A$2:$AR$1147,4,0)</f>
        <v>OPKZP-PO1-SC121/122-2015</v>
      </c>
      <c r="C25" s="2" t="str">
        <f>VLOOKUP($A25,[2]Projekty!$A$2:$AR$1147,6,0)</f>
        <v>Obec Dvory nad Žitavou</v>
      </c>
      <c r="D25" s="2" t="str">
        <f>VLOOKUP($A25,[2]Projekty!$A$2:$AR$1147,7,0)</f>
        <v>Dobudovanie kanalizácie a intenzifikácia ČOV v Dvoroch nad Žitavou</v>
      </c>
      <c r="E25" s="2" t="str">
        <f>VLOOKUP($A25,[2]Projekty!$A$2:$AR$1147,9,0)</f>
        <v>NR</v>
      </c>
      <c r="F25" s="2" t="str">
        <f>VLOOKUP($A25,[2]Projekty!$A$2:$AR$1147,14,0)</f>
        <v>Realizácia</v>
      </c>
      <c r="G25" s="61">
        <f>VLOOKUP($A25,'[2]Dĺžka realizácie'!$A$2:$AR$1148,8,0)</f>
        <v>43677</v>
      </c>
      <c r="H25" s="18">
        <v>14.08</v>
      </c>
      <c r="I25" s="18"/>
      <c r="J25" s="18">
        <f t="shared" si="0"/>
        <v>0</v>
      </c>
      <c r="K25" s="18"/>
      <c r="L25" s="18"/>
      <c r="M25" s="18" t="str">
        <f t="shared" si="1"/>
        <v/>
      </c>
      <c r="N25" s="18">
        <v>1</v>
      </c>
      <c r="O25" s="18"/>
      <c r="P25" s="18">
        <f t="shared" si="2"/>
        <v>0</v>
      </c>
      <c r="Q25" s="18"/>
      <c r="R25" s="18"/>
      <c r="S25" s="18" t="str">
        <f t="shared" si="3"/>
        <v/>
      </c>
      <c r="T25" s="18">
        <v>4241</v>
      </c>
      <c r="U25" s="18"/>
      <c r="V25" s="18">
        <f t="shared" si="4"/>
        <v>0</v>
      </c>
      <c r="W25" s="18"/>
      <c r="X25" s="18"/>
      <c r="Y25" s="18" t="str">
        <f t="shared" si="5"/>
        <v/>
      </c>
      <c r="Z25" s="18"/>
      <c r="AA25" s="18"/>
      <c r="AB25" s="18" t="str">
        <f t="shared" si="6"/>
        <v/>
      </c>
      <c r="AC25" s="18"/>
      <c r="AD25" s="18"/>
      <c r="AE25" s="18" t="str">
        <f t="shared" si="7"/>
        <v/>
      </c>
      <c r="AF25" s="18"/>
      <c r="AG25" s="18"/>
      <c r="AH25" s="18" t="str">
        <f t="shared" si="8"/>
        <v/>
      </c>
    </row>
    <row r="26" spans="1:34" ht="25.5" x14ac:dyDescent="0.25">
      <c r="A26" s="15" t="s">
        <v>630</v>
      </c>
      <c r="B26" s="2" t="str">
        <f>VLOOKUP($A26,[2]Projekty!$A$2:$AR$1147,4,0)</f>
        <v>OPKZP-PO1-SC121/122-2015</v>
      </c>
      <c r="C26" s="2" t="str">
        <f>VLOOKUP($A26,[2]Projekty!$A$2:$AR$1147,6,0)</f>
        <v>Obec Svätý Peter</v>
      </c>
      <c r="D26" s="2" t="str">
        <f>VLOOKUP($A26,[2]Projekty!$A$2:$AR$1147,7,0)</f>
        <v>Svätý Peter, celo obecná splašková kanalizácia a ČOV</v>
      </c>
      <c r="E26" s="2" t="str">
        <f>VLOOKUP($A26,[2]Projekty!$A$2:$AR$1147,9,0)</f>
        <v>NR</v>
      </c>
      <c r="F26" s="2" t="str">
        <f>VLOOKUP($A26,[2]Projekty!$A$2:$AR$1147,14,0)</f>
        <v>Realizácia</v>
      </c>
      <c r="G26" s="61">
        <f>VLOOKUP($A26,'[2]Dĺžka realizácie'!$A$2:$AR$1148,8,0)</f>
        <v>43190</v>
      </c>
      <c r="H26" s="18">
        <v>27.7119</v>
      </c>
      <c r="I26" s="18">
        <v>23.221800000000002</v>
      </c>
      <c r="J26" s="18">
        <f t="shared" si="0"/>
        <v>27.7119</v>
      </c>
      <c r="K26" s="18"/>
      <c r="L26" s="18"/>
      <c r="M26" s="18" t="str">
        <f t="shared" si="1"/>
        <v/>
      </c>
      <c r="N26" s="18">
        <v>1</v>
      </c>
      <c r="O26" s="18"/>
      <c r="P26" s="18">
        <f t="shared" si="2"/>
        <v>1</v>
      </c>
      <c r="Q26" s="18"/>
      <c r="R26" s="18"/>
      <c r="S26" s="18" t="str">
        <f t="shared" si="3"/>
        <v/>
      </c>
      <c r="T26" s="18">
        <v>2652</v>
      </c>
      <c r="U26" s="18"/>
      <c r="V26" s="18">
        <f t="shared" si="4"/>
        <v>2652</v>
      </c>
      <c r="W26" s="18"/>
      <c r="X26" s="18"/>
      <c r="Y26" s="18" t="str">
        <f t="shared" si="5"/>
        <v/>
      </c>
      <c r="Z26" s="18"/>
      <c r="AA26" s="18"/>
      <c r="AB26" s="18" t="str">
        <f t="shared" si="6"/>
        <v/>
      </c>
      <c r="AC26" s="18"/>
      <c r="AD26" s="18"/>
      <c r="AE26" s="18" t="str">
        <f t="shared" si="7"/>
        <v/>
      </c>
      <c r="AF26" s="18"/>
      <c r="AG26" s="18"/>
      <c r="AH26" s="18" t="str">
        <f t="shared" si="8"/>
        <v/>
      </c>
    </row>
    <row r="27" spans="1:34" ht="26.25" customHeight="1" x14ac:dyDescent="0.25">
      <c r="A27" s="15" t="s">
        <v>631</v>
      </c>
      <c r="B27" s="2" t="str">
        <f>VLOOKUP($A27,[2]Projekty!$A$2:$AR$1147,4,0)</f>
        <v>OPKZP-PO1-SC121/122-2015</v>
      </c>
      <c r="C27" s="2" t="str">
        <f>VLOOKUP($A27,[2]Projekty!$A$2:$AR$1147,6,0)</f>
        <v>Stredoslovenská vodárenská spoločnosť,  a.s.</v>
      </c>
      <c r="D27" s="2" t="str">
        <f>VLOOKUP($A27,[2]Projekty!$A$2:$AR$1147,7,0)</f>
        <v>Aglomerácia Podbrezová – odkanalizovanie</v>
      </c>
      <c r="E27" s="2" t="str">
        <f>VLOOKUP($A27,[2]Projekty!$A$2:$AR$1147,9,0)</f>
        <v>BB</v>
      </c>
      <c r="F27" s="2" t="str">
        <f>VLOOKUP($A27,[2]Projekty!$A$2:$AR$1147,14,0)</f>
        <v>Realizácia</v>
      </c>
      <c r="G27" s="61">
        <f>VLOOKUP($A27,'[2]Dĺžka realizácie'!$A$2:$AR$1148,8,0)</f>
        <v>44196</v>
      </c>
      <c r="H27" s="18">
        <v>11.752000000000001</v>
      </c>
      <c r="I27" s="18"/>
      <c r="J27" s="18">
        <f t="shared" si="0"/>
        <v>0</v>
      </c>
      <c r="K27" s="18"/>
      <c r="L27" s="18"/>
      <c r="M27" s="18" t="str">
        <f t="shared" si="1"/>
        <v/>
      </c>
      <c r="N27" s="18">
        <v>1</v>
      </c>
      <c r="O27" s="18"/>
      <c r="P27" s="18">
        <f t="shared" si="2"/>
        <v>0</v>
      </c>
      <c r="Q27" s="18"/>
      <c r="R27" s="18"/>
      <c r="S27" s="18" t="str">
        <f t="shared" si="3"/>
        <v/>
      </c>
      <c r="T27" s="18">
        <v>941</v>
      </c>
      <c r="U27" s="18"/>
      <c r="V27" s="18">
        <f t="shared" si="4"/>
        <v>0</v>
      </c>
      <c r="W27" s="18"/>
      <c r="X27" s="18"/>
      <c r="Y27" s="18" t="str">
        <f t="shared" si="5"/>
        <v/>
      </c>
      <c r="Z27" s="18"/>
      <c r="AA27" s="18"/>
      <c r="AB27" s="18" t="str">
        <f t="shared" si="6"/>
        <v/>
      </c>
      <c r="AC27" s="18"/>
      <c r="AD27" s="18"/>
      <c r="AE27" s="18" t="str">
        <f t="shared" si="7"/>
        <v/>
      </c>
      <c r="AF27" s="18"/>
      <c r="AG27" s="18"/>
      <c r="AH27" s="18" t="str">
        <f t="shared" si="8"/>
        <v/>
      </c>
    </row>
    <row r="28" spans="1:34" ht="25.5" x14ac:dyDescent="0.25">
      <c r="A28" s="15" t="s">
        <v>632</v>
      </c>
      <c r="B28" s="2" t="str">
        <f>VLOOKUP($A28,[2]Projekty!$A$2:$AR$1147,4,0)</f>
        <v>OPKZP-PO1-SC121/122-2015</v>
      </c>
      <c r="C28" s="2" t="str">
        <f>VLOOKUP($A28,[2]Projekty!$A$2:$AR$1147,6,0)</f>
        <v>Obec Liptovská Teplička</v>
      </c>
      <c r="D28" s="2" t="str">
        <f>VLOOKUP($A28,[2]Projekty!$A$2:$AR$1147,7,0)</f>
        <v>Dobudovanie ČOV a splaškovej kanalizácie v obci Liptovská Teplička - 2 stavba</v>
      </c>
      <c r="E28" s="2" t="str">
        <f>VLOOKUP($A28,[2]Projekty!$A$2:$AR$1147,9,0)</f>
        <v>PO</v>
      </c>
      <c r="F28" s="2" t="str">
        <f>VLOOKUP($A28,[2]Projekty!$A$2:$AR$1147,14,0)</f>
        <v>Realizácia</v>
      </c>
      <c r="G28" s="61">
        <f>VLOOKUP($A28,'[2]Dĺžka realizácie'!$A$2:$AR$1148,8,0)</f>
        <v>43251</v>
      </c>
      <c r="H28" s="18">
        <v>3.2696000000000001</v>
      </c>
      <c r="I28" s="18">
        <v>2.7286000000000001</v>
      </c>
      <c r="J28" s="18">
        <f t="shared" si="0"/>
        <v>3.2696000000000001</v>
      </c>
      <c r="K28" s="18"/>
      <c r="L28" s="18"/>
      <c r="M28" s="18" t="str">
        <f t="shared" si="1"/>
        <v/>
      </c>
      <c r="N28" s="18">
        <v>1</v>
      </c>
      <c r="O28" s="18"/>
      <c r="P28" s="18">
        <f t="shared" si="2"/>
        <v>1</v>
      </c>
      <c r="Q28" s="18"/>
      <c r="R28" s="18"/>
      <c r="S28" s="18" t="str">
        <f t="shared" si="3"/>
        <v/>
      </c>
      <c r="T28" s="18">
        <v>2400</v>
      </c>
      <c r="U28" s="18"/>
      <c r="V28" s="18">
        <f t="shared" si="4"/>
        <v>2400</v>
      </c>
      <c r="W28" s="18"/>
      <c r="X28" s="18"/>
      <c r="Y28" s="18" t="str">
        <f t="shared" si="5"/>
        <v/>
      </c>
      <c r="Z28" s="18"/>
      <c r="AA28" s="18"/>
      <c r="AB28" s="18" t="str">
        <f t="shared" si="6"/>
        <v/>
      </c>
      <c r="AC28" s="18"/>
      <c r="AD28" s="18"/>
      <c r="AE28" s="18" t="str">
        <f t="shared" si="7"/>
        <v/>
      </c>
      <c r="AF28" s="18"/>
      <c r="AG28" s="18"/>
      <c r="AH28" s="18" t="str">
        <f t="shared" si="8"/>
        <v/>
      </c>
    </row>
    <row r="29" spans="1:34" ht="25.5" x14ac:dyDescent="0.25">
      <c r="A29" s="15" t="s">
        <v>633</v>
      </c>
      <c r="B29" s="2" t="str">
        <f>VLOOKUP($A29,[2]Projekty!$A$2:$AR$1147,4,0)</f>
        <v>OPKZP-PO1-SC121/122-2015</v>
      </c>
      <c r="C29" s="2" t="str">
        <f>VLOOKUP($A29,[2]Projekty!$A$2:$AR$1147,6,0)</f>
        <v>Stredoslovenská vodárenská spoločnosť,  a.s.</v>
      </c>
      <c r="D29" s="2" t="str">
        <f>VLOOKUP($A29,[2]Projekty!$A$2:$AR$1147,7,0)</f>
        <v>Aglomerácia Oslany, Čereňany - kanalizácia a ČOV</v>
      </c>
      <c r="E29" s="2" t="str">
        <f>VLOOKUP($A29,[2]Projekty!$A$2:$AR$1147,9,0)</f>
        <v>TN</v>
      </c>
      <c r="F29" s="2" t="str">
        <f>VLOOKUP($A29,[2]Projekty!$A$2:$AR$1147,14,0)</f>
        <v>Realizácia</v>
      </c>
      <c r="G29" s="61">
        <f>VLOOKUP($A29,'[2]Dĺžka realizácie'!$A$2:$AR$1148,8,0)</f>
        <v>44196</v>
      </c>
      <c r="H29" s="18">
        <v>23.827000000000002</v>
      </c>
      <c r="I29" s="18"/>
      <c r="J29" s="18">
        <f t="shared" si="0"/>
        <v>0</v>
      </c>
      <c r="K29" s="18"/>
      <c r="L29" s="18"/>
      <c r="M29" s="18" t="str">
        <f t="shared" si="1"/>
        <v/>
      </c>
      <c r="N29" s="18">
        <v>2</v>
      </c>
      <c r="O29" s="18"/>
      <c r="P29" s="18">
        <f t="shared" si="2"/>
        <v>0</v>
      </c>
      <c r="Q29" s="18"/>
      <c r="R29" s="18"/>
      <c r="S29" s="18" t="str">
        <f t="shared" si="3"/>
        <v/>
      </c>
      <c r="T29" s="18">
        <v>4100</v>
      </c>
      <c r="U29" s="18"/>
      <c r="V29" s="18">
        <f t="shared" si="4"/>
        <v>0</v>
      </c>
      <c r="W29" s="18"/>
      <c r="X29" s="18"/>
      <c r="Y29" s="18" t="str">
        <f t="shared" si="5"/>
        <v/>
      </c>
      <c r="Z29" s="18"/>
      <c r="AA29" s="18"/>
      <c r="AB29" s="18" t="str">
        <f t="shared" si="6"/>
        <v/>
      </c>
      <c r="AC29" s="18"/>
      <c r="AD29" s="18"/>
      <c r="AE29" s="18" t="str">
        <f t="shared" si="7"/>
        <v/>
      </c>
      <c r="AF29" s="18"/>
      <c r="AG29" s="18"/>
      <c r="AH29" s="18" t="str">
        <f t="shared" si="8"/>
        <v/>
      </c>
    </row>
    <row r="30" spans="1:34" ht="25.5" x14ac:dyDescent="0.25">
      <c r="A30" s="15" t="s">
        <v>634</v>
      </c>
      <c r="B30" s="2" t="str">
        <f>VLOOKUP($A30,[2]Projekty!$A$2:$AR$1147,4,0)</f>
        <v>OPKZP-PO1-SC121/122-2015</v>
      </c>
      <c r="C30" s="2" t="str">
        <f>VLOOKUP($A30,[2]Projekty!$A$2:$AR$1147,6,0)</f>
        <v>Severoslovenské vodárne a kanalizácie, a. s.</v>
      </c>
      <c r="D30" s="2" t="str">
        <f>VLOOKUP($A30,[2]Projekty!$A$2:$AR$1147,7,0)</f>
        <v>Zásobovanie vodou, odkanalizovanie a čistenie odpadových vôd regiónu Stredné Kysuce</v>
      </c>
      <c r="E30" s="2" t="str">
        <f>VLOOKUP($A30,[2]Projekty!$A$2:$AR$1147,9,0)</f>
        <v>ZA</v>
      </c>
      <c r="F30" s="2" t="str">
        <f>VLOOKUP($A30,[2]Projekty!$A$2:$AR$1147,14,0)</f>
        <v>Realizácia</v>
      </c>
      <c r="G30" s="61">
        <f>VLOOKUP($A30,'[2]Dĺžka realizácie'!$A$2:$AR$1148,8,0)</f>
        <v>44196</v>
      </c>
      <c r="H30" s="18">
        <v>123.46040000000001</v>
      </c>
      <c r="I30" s="18"/>
      <c r="J30" s="18">
        <f t="shared" si="0"/>
        <v>0</v>
      </c>
      <c r="K30" s="18"/>
      <c r="L30" s="18"/>
      <c r="M30" s="18" t="str">
        <f t="shared" si="1"/>
        <v/>
      </c>
      <c r="N30" s="18">
        <v>1</v>
      </c>
      <c r="O30" s="18"/>
      <c r="P30" s="18">
        <f t="shared" si="2"/>
        <v>0</v>
      </c>
      <c r="Q30" s="18"/>
      <c r="R30" s="18"/>
      <c r="S30" s="18" t="str">
        <f t="shared" si="3"/>
        <v/>
      </c>
      <c r="T30" s="18">
        <v>19241</v>
      </c>
      <c r="U30" s="18"/>
      <c r="V30" s="18">
        <f t="shared" si="4"/>
        <v>0</v>
      </c>
      <c r="W30" s="18"/>
      <c r="X30" s="18"/>
      <c r="Y30" s="18" t="str">
        <f t="shared" si="5"/>
        <v/>
      </c>
      <c r="Z30" s="18">
        <v>22.408799999999999</v>
      </c>
      <c r="AA30" s="18"/>
      <c r="AB30" s="18">
        <f t="shared" si="6"/>
        <v>0</v>
      </c>
      <c r="AC30" s="18"/>
      <c r="AD30" s="18"/>
      <c r="AE30" s="18" t="str">
        <f t="shared" si="7"/>
        <v/>
      </c>
      <c r="AF30" s="18">
        <v>2400</v>
      </c>
      <c r="AG30" s="18"/>
      <c r="AH30" s="18">
        <f t="shared" si="8"/>
        <v>0</v>
      </c>
    </row>
    <row r="31" spans="1:34" ht="25.5" x14ac:dyDescent="0.25">
      <c r="A31" s="15" t="s">
        <v>636</v>
      </c>
      <c r="B31" s="2" t="str">
        <f>VLOOKUP($A31,[2]Projekty!$A$2:$AR$1147,4,0)</f>
        <v>OPKZP-PO1-SC121/122-2015</v>
      </c>
      <c r="C31" s="2" t="str">
        <f>VLOOKUP($A31,[2]Projekty!$A$2:$AR$1147,6,0)</f>
        <v>Obec Lozorno</v>
      </c>
      <c r="D31" s="2" t="str">
        <f>VLOOKUP($A31,[2]Projekty!$A$2:$AR$1147,7,0)</f>
        <v>Rozšírenie kapacity ČOV Lozorno</v>
      </c>
      <c r="E31" s="2" t="str">
        <f>VLOOKUP($A31,[2]Projekty!$A$2:$AR$1147,9,0)</f>
        <v>BA</v>
      </c>
      <c r="F31" s="2" t="str">
        <f>VLOOKUP($A31,[2]Projekty!$A$2:$AR$1147,14,0)</f>
        <v>Riadne ukončený</v>
      </c>
      <c r="G31" s="109">
        <f>VLOOKUP($A31,'[2]Dĺžka realizácie'!$A$2:$AR$1148,8,0)</f>
        <v>42735</v>
      </c>
      <c r="H31" s="18">
        <v>0</v>
      </c>
      <c r="I31" s="18"/>
      <c r="J31" s="18">
        <f t="shared" si="0"/>
        <v>0</v>
      </c>
      <c r="K31" s="18"/>
      <c r="L31" s="18"/>
      <c r="M31" s="18" t="str">
        <f t="shared" si="1"/>
        <v/>
      </c>
      <c r="N31" s="18">
        <v>1</v>
      </c>
      <c r="O31" s="106">
        <v>1</v>
      </c>
      <c r="P31" s="18">
        <f t="shared" si="2"/>
        <v>1</v>
      </c>
      <c r="Q31" s="18"/>
      <c r="R31" s="18"/>
      <c r="S31" s="18" t="str">
        <f t="shared" si="3"/>
        <v/>
      </c>
      <c r="T31" s="18">
        <v>3500</v>
      </c>
      <c r="U31" s="106">
        <v>3500</v>
      </c>
      <c r="V31" s="18">
        <f t="shared" si="4"/>
        <v>3500</v>
      </c>
      <c r="W31" s="18"/>
      <c r="X31" s="18"/>
      <c r="Y31" s="18" t="str">
        <f t="shared" si="5"/>
        <v/>
      </c>
      <c r="Z31" s="18"/>
      <c r="AA31" s="18"/>
      <c r="AB31" s="18" t="str">
        <f t="shared" si="6"/>
        <v/>
      </c>
      <c r="AC31" s="18"/>
      <c r="AD31" s="18"/>
      <c r="AE31" s="18" t="str">
        <f t="shared" si="7"/>
        <v/>
      </c>
      <c r="AF31" s="18"/>
      <c r="AG31" s="18"/>
      <c r="AH31" s="18" t="str">
        <f t="shared" si="8"/>
        <v/>
      </c>
    </row>
    <row r="32" spans="1:34" ht="25.5" x14ac:dyDescent="0.25">
      <c r="A32" s="15" t="s">
        <v>637</v>
      </c>
      <c r="B32" s="2" t="str">
        <f>VLOOKUP($A32,[2]Projekty!$A$2:$AR$1147,4,0)</f>
        <v>OPKZP-PO1-SC121/122-2015</v>
      </c>
      <c r="C32" s="2" t="str">
        <f>VLOOKUP($A32,[2]Projekty!$A$2:$AR$1147,6,0)</f>
        <v>Stredoslovenská vodárenská spoločnosť,  a.s.</v>
      </c>
      <c r="D32" s="2" t="str">
        <f>VLOOKUP($A32,[2]Projekty!$A$2:$AR$1147,7,0)</f>
        <v>Aglomerácia Valaská - Valaská, Hronec - odkanalizovanie</v>
      </c>
      <c r="E32" s="2" t="str">
        <f>VLOOKUP($A32,[2]Projekty!$A$2:$AR$1147,9,0)</f>
        <v>BB</v>
      </c>
      <c r="F32" s="2" t="str">
        <f>VLOOKUP($A32,[2]Projekty!$A$2:$AR$1147,14,0)</f>
        <v>Realizácia</v>
      </c>
      <c r="G32" s="61">
        <f>VLOOKUP($A32,'[2]Dĺžka realizácie'!$A$2:$AR$1148,8,0)</f>
        <v>44196</v>
      </c>
      <c r="H32" s="18">
        <v>18.956</v>
      </c>
      <c r="I32" s="18"/>
      <c r="J32" s="18">
        <f t="shared" si="0"/>
        <v>0</v>
      </c>
      <c r="K32" s="18"/>
      <c r="L32" s="18"/>
      <c r="M32" s="18" t="str">
        <f t="shared" si="1"/>
        <v/>
      </c>
      <c r="N32" s="18">
        <v>2</v>
      </c>
      <c r="O32" s="18"/>
      <c r="P32" s="18">
        <f t="shared" si="2"/>
        <v>0</v>
      </c>
      <c r="Q32" s="18"/>
      <c r="R32" s="18"/>
      <c r="S32" s="18" t="str">
        <f t="shared" si="3"/>
        <v/>
      </c>
      <c r="T32" s="18">
        <v>4765</v>
      </c>
      <c r="U32" s="18"/>
      <c r="V32" s="18">
        <f t="shared" si="4"/>
        <v>0</v>
      </c>
      <c r="W32" s="18"/>
      <c r="X32" s="18"/>
      <c r="Y32" s="18" t="str">
        <f t="shared" si="5"/>
        <v/>
      </c>
      <c r="Z32" s="18"/>
      <c r="AA32" s="18"/>
      <c r="AB32" s="18" t="str">
        <f t="shared" si="6"/>
        <v/>
      </c>
      <c r="AC32" s="18"/>
      <c r="AD32" s="18"/>
      <c r="AE32" s="18" t="str">
        <f t="shared" si="7"/>
        <v/>
      </c>
      <c r="AF32" s="18"/>
      <c r="AG32" s="18"/>
      <c r="AH32" s="18" t="str">
        <f t="shared" si="8"/>
        <v/>
      </c>
    </row>
    <row r="33" spans="1:34" ht="25.5" x14ac:dyDescent="0.25">
      <c r="A33" s="15" t="s">
        <v>638</v>
      </c>
      <c r="B33" s="2" t="str">
        <f>VLOOKUP($A33,[2]Projekty!$A$2:$AR$1147,4,0)</f>
        <v>OPKZP-PO1-SC121/122-2015</v>
      </c>
      <c r="C33" s="2" t="str">
        <f>VLOOKUP($A33,[2]Projekty!$A$2:$AR$1147,6,0)</f>
        <v>Obec Branč</v>
      </c>
      <c r="D33" s="2" t="str">
        <f>VLOOKUP($A33,[2]Projekty!$A$2:$AR$1147,7,0)</f>
        <v>Dobudovanie kanalizačnej siete obce Branč a rozšírenie ČOV Branč</v>
      </c>
      <c r="E33" s="2" t="str">
        <f>VLOOKUP($A33,[2]Projekty!$A$2:$AR$1147,9,0)</f>
        <v>NR</v>
      </c>
      <c r="F33" s="2" t="str">
        <f>VLOOKUP($A33,[2]Projekty!$A$2:$AR$1147,14,0)</f>
        <v>Realizácia</v>
      </c>
      <c r="G33" s="61">
        <f>VLOOKUP($A33,'[2]Dĺžka realizácie'!$A$2:$AR$1148,8,0)</f>
        <v>43343</v>
      </c>
      <c r="H33" s="18">
        <v>6.7060000000000004</v>
      </c>
      <c r="I33" s="18">
        <v>6.4820000000000002</v>
      </c>
      <c r="J33" s="18">
        <f t="shared" si="0"/>
        <v>6.7060000000000004</v>
      </c>
      <c r="K33" s="18"/>
      <c r="L33" s="18"/>
      <c r="M33" s="18" t="str">
        <f t="shared" si="1"/>
        <v/>
      </c>
      <c r="N33" s="18">
        <v>1</v>
      </c>
      <c r="O33" s="18"/>
      <c r="P33" s="18">
        <f t="shared" si="2"/>
        <v>1</v>
      </c>
      <c r="Q33" s="18"/>
      <c r="R33" s="18"/>
      <c r="S33" s="18" t="str">
        <f t="shared" si="3"/>
        <v/>
      </c>
      <c r="T33" s="18">
        <v>2204</v>
      </c>
      <c r="U33" s="18"/>
      <c r="V33" s="18">
        <f t="shared" si="4"/>
        <v>2204</v>
      </c>
      <c r="W33" s="18"/>
      <c r="X33" s="18"/>
      <c r="Y33" s="18" t="str">
        <f t="shared" si="5"/>
        <v/>
      </c>
      <c r="Z33" s="18"/>
      <c r="AA33" s="18"/>
      <c r="AB33" s="18" t="str">
        <f t="shared" si="6"/>
        <v/>
      </c>
      <c r="AC33" s="18"/>
      <c r="AD33" s="18"/>
      <c r="AE33" s="18" t="str">
        <f t="shared" si="7"/>
        <v/>
      </c>
      <c r="AF33" s="18"/>
      <c r="AG33" s="18"/>
      <c r="AH33" s="18" t="str">
        <f t="shared" si="8"/>
        <v/>
      </c>
    </row>
    <row r="34" spans="1:34" ht="25.5" x14ac:dyDescent="0.25">
      <c r="A34" s="15" t="s">
        <v>639</v>
      </c>
      <c r="B34" s="2" t="str">
        <f>VLOOKUP($A34,[2]Projekty!$A$2:$AR$1147,4,0)</f>
        <v>OPKZP-PO1-SC121/122-2015</v>
      </c>
      <c r="C34" s="2" t="str">
        <f>VLOOKUP($A34,[2]Projekty!$A$2:$AR$1147,6,0)</f>
        <v>Stredoslovenská vodárenská spoločnosť,  a.s.</v>
      </c>
      <c r="D34" s="2" t="str">
        <f>VLOOKUP($A34,[2]Projekty!$A$2:$AR$1147,7,0)</f>
        <v>Aglomerácia Tornaľa - kanalizácia a ČOV</v>
      </c>
      <c r="E34" s="2" t="str">
        <f>VLOOKUP($A34,[2]Projekty!$A$2:$AR$1147,9,0)</f>
        <v>BB</v>
      </c>
      <c r="F34" s="2" t="str">
        <f>VLOOKUP($A34,[2]Projekty!$A$2:$AR$1147,14,0)</f>
        <v>Realizácia</v>
      </c>
      <c r="G34" s="61">
        <f>VLOOKUP($A34,'[2]Dĺžka realizácie'!$A$2:$AR$1148,8,0)</f>
        <v>44196</v>
      </c>
      <c r="H34" s="18">
        <v>21.774999999999999</v>
      </c>
      <c r="I34" s="18"/>
      <c r="J34" s="18">
        <f t="shared" si="0"/>
        <v>0</v>
      </c>
      <c r="K34" s="18"/>
      <c r="L34" s="18"/>
      <c r="M34" s="18" t="str">
        <f t="shared" si="1"/>
        <v/>
      </c>
      <c r="N34" s="18">
        <v>1</v>
      </c>
      <c r="O34" s="18"/>
      <c r="P34" s="18">
        <f t="shared" si="2"/>
        <v>0</v>
      </c>
      <c r="Q34" s="18"/>
      <c r="R34" s="18"/>
      <c r="S34" s="18" t="str">
        <f t="shared" si="3"/>
        <v/>
      </c>
      <c r="T34" s="18">
        <v>7450</v>
      </c>
      <c r="U34" s="18"/>
      <c r="V34" s="18">
        <f t="shared" si="4"/>
        <v>0</v>
      </c>
      <c r="W34" s="18"/>
      <c r="X34" s="18"/>
      <c r="Y34" s="18" t="str">
        <f t="shared" si="5"/>
        <v/>
      </c>
      <c r="Z34" s="18"/>
      <c r="AA34" s="18"/>
      <c r="AB34" s="18" t="str">
        <f t="shared" si="6"/>
        <v/>
      </c>
      <c r="AC34" s="18"/>
      <c r="AD34" s="18"/>
      <c r="AE34" s="18" t="str">
        <f t="shared" si="7"/>
        <v/>
      </c>
      <c r="AF34" s="18"/>
      <c r="AG34" s="18"/>
      <c r="AH34" s="18" t="str">
        <f t="shared" si="8"/>
        <v/>
      </c>
    </row>
    <row r="35" spans="1:34" ht="25.5" x14ac:dyDescent="0.25">
      <c r="A35" s="15" t="s">
        <v>640</v>
      </c>
      <c r="B35" s="2" t="str">
        <f>VLOOKUP($A35,[2]Projekty!$A$2:$AR$1147,4,0)</f>
        <v>OPKZP-PO1-SC121/122-2015</v>
      </c>
      <c r="C35" s="2" t="str">
        <f>VLOOKUP($A35,[2]Projekty!$A$2:$AR$1147,6,0)</f>
        <v>Obec Hranovnica</v>
      </c>
      <c r="D35" s="2" t="str">
        <f>VLOOKUP($A35,[2]Projekty!$A$2:$AR$1147,7,0)</f>
        <v>Rekonštrukcia a modernizácia čistiarne odpadových vôd v obci Hranovnica</v>
      </c>
      <c r="E35" s="2" t="str">
        <f>VLOOKUP($A35,[2]Projekty!$A$2:$AR$1147,9,0)</f>
        <v>PO</v>
      </c>
      <c r="F35" s="2" t="str">
        <f>VLOOKUP($A35,[2]Projekty!$A$2:$AR$1147,14,0)</f>
        <v>Realizácia</v>
      </c>
      <c r="G35" s="61">
        <f>VLOOKUP($A35,'[2]Dĺžka realizácie'!$A$2:$AR$1148,8,0)</f>
        <v>43190</v>
      </c>
      <c r="H35" s="18">
        <v>0</v>
      </c>
      <c r="I35" s="18"/>
      <c r="J35" s="18">
        <f t="shared" si="0"/>
        <v>0</v>
      </c>
      <c r="K35" s="18"/>
      <c r="L35" s="18"/>
      <c r="M35" s="18" t="str">
        <f t="shared" si="1"/>
        <v/>
      </c>
      <c r="N35" s="18">
        <v>1</v>
      </c>
      <c r="O35" s="18">
        <v>1</v>
      </c>
      <c r="P35" s="18">
        <f t="shared" si="2"/>
        <v>1</v>
      </c>
      <c r="Q35" s="18"/>
      <c r="R35" s="18"/>
      <c r="S35" s="18" t="str">
        <f t="shared" si="3"/>
        <v/>
      </c>
      <c r="T35" s="18">
        <v>2512</v>
      </c>
      <c r="U35" s="18">
        <v>2512</v>
      </c>
      <c r="V35" s="18">
        <f t="shared" si="4"/>
        <v>2512</v>
      </c>
      <c r="W35" s="18"/>
      <c r="X35" s="18"/>
      <c r="Y35" s="18" t="str">
        <f t="shared" si="5"/>
        <v/>
      </c>
      <c r="Z35" s="18"/>
      <c r="AA35" s="18"/>
      <c r="AB35" s="18" t="str">
        <f t="shared" si="6"/>
        <v/>
      </c>
      <c r="AC35" s="18"/>
      <c r="AD35" s="18"/>
      <c r="AE35" s="18" t="str">
        <f t="shared" si="7"/>
        <v/>
      </c>
      <c r="AF35" s="18"/>
      <c r="AG35" s="18"/>
      <c r="AH35" s="18" t="str">
        <f t="shared" si="8"/>
        <v/>
      </c>
    </row>
    <row r="36" spans="1:34" ht="25.5" x14ac:dyDescent="0.25">
      <c r="A36" s="15" t="s">
        <v>641</v>
      </c>
      <c r="B36" s="2" t="str">
        <f>VLOOKUP($A36,[2]Projekty!$A$2:$AR$1147,4,0)</f>
        <v>OPKZP-PO1-SC121/122-2015</v>
      </c>
      <c r="C36" s="2" t="str">
        <f>VLOOKUP($A36,[2]Projekty!$A$2:$AR$1147,6,0)</f>
        <v>Obec Moravské Lieskové</v>
      </c>
      <c r="D36" s="2" t="str">
        <f>VLOOKUP($A36,[2]Projekty!$A$2:$AR$1147,7,0)</f>
        <v>Kanalizácia a ČOV Moravské Lieskové</v>
      </c>
      <c r="E36" s="2" t="str">
        <f>VLOOKUP($A36,[2]Projekty!$A$2:$AR$1147,9,0)</f>
        <v>TN</v>
      </c>
      <c r="F36" s="2" t="str">
        <f>VLOOKUP($A36,[2]Projekty!$A$2:$AR$1147,14,0)</f>
        <v>Realizácia</v>
      </c>
      <c r="G36" s="61">
        <f>VLOOKUP($A36,'[2]Dĺžka realizácie'!$A$2:$AR$1148,8,0)</f>
        <v>43525</v>
      </c>
      <c r="H36" s="18">
        <v>25.599900000000002</v>
      </c>
      <c r="I36" s="18">
        <v>1.6950000000000001</v>
      </c>
      <c r="J36" s="18">
        <f t="shared" si="0"/>
        <v>0</v>
      </c>
      <c r="K36" s="18"/>
      <c r="L36" s="18"/>
      <c r="M36" s="18" t="str">
        <f t="shared" si="1"/>
        <v/>
      </c>
      <c r="N36" s="18">
        <v>1</v>
      </c>
      <c r="O36" s="18"/>
      <c r="P36" s="18">
        <f t="shared" si="2"/>
        <v>0</v>
      </c>
      <c r="Q36" s="18"/>
      <c r="R36" s="18"/>
      <c r="S36" s="18" t="str">
        <f t="shared" si="3"/>
        <v/>
      </c>
      <c r="T36" s="18">
        <v>2035</v>
      </c>
      <c r="U36" s="18"/>
      <c r="V36" s="18">
        <f t="shared" si="4"/>
        <v>0</v>
      </c>
      <c r="W36" s="18"/>
      <c r="X36" s="18"/>
      <c r="Y36" s="18" t="str">
        <f t="shared" si="5"/>
        <v/>
      </c>
      <c r="Z36" s="18"/>
      <c r="AA36" s="18"/>
      <c r="AB36" s="18" t="str">
        <f t="shared" si="6"/>
        <v/>
      </c>
      <c r="AC36" s="18"/>
      <c r="AD36" s="18"/>
      <c r="AE36" s="18" t="str">
        <f t="shared" si="7"/>
        <v/>
      </c>
      <c r="AF36" s="18"/>
      <c r="AG36" s="18"/>
      <c r="AH36" s="18" t="str">
        <f t="shared" si="8"/>
        <v/>
      </c>
    </row>
    <row r="37" spans="1:34" ht="25.5" x14ac:dyDescent="0.25">
      <c r="A37" s="15" t="s">
        <v>642</v>
      </c>
      <c r="B37" s="2" t="str">
        <f>VLOOKUP($A37,[2]Projekty!$A$2:$AR$1147,4,0)</f>
        <v>OPKZP-PO1-SC121/122-2015</v>
      </c>
      <c r="C37" s="2" t="str">
        <f>VLOOKUP($A37,[2]Projekty!$A$2:$AR$1147,6,0)</f>
        <v>Stredoslovenská vodárenská spoločnosť,  a.s.</v>
      </c>
      <c r="D37" s="2" t="str">
        <f>VLOOKUP($A37,[2]Projekty!$A$2:$AR$1147,7,0)</f>
        <v>Aglomerácia Nitrianske Pravno - kanalizácia a ČOV</v>
      </c>
      <c r="E37" s="2" t="str">
        <f>VLOOKUP($A37,[2]Projekty!$A$2:$AR$1147,9,0)</f>
        <v>TN</v>
      </c>
      <c r="F37" s="2" t="str">
        <f>VLOOKUP($A37,[2]Projekty!$A$2:$AR$1147,14,0)</f>
        <v>Realizácia</v>
      </c>
      <c r="G37" s="61">
        <f>VLOOKUP($A37,'[2]Dĺžka realizácie'!$A$2:$AR$1148,8,0)</f>
        <v>44196</v>
      </c>
      <c r="H37" s="18">
        <v>11.9084</v>
      </c>
      <c r="I37" s="18"/>
      <c r="J37" s="18">
        <f t="shared" si="0"/>
        <v>0</v>
      </c>
      <c r="K37" s="18"/>
      <c r="L37" s="18"/>
      <c r="M37" s="18" t="str">
        <f t="shared" si="1"/>
        <v/>
      </c>
      <c r="N37" s="18">
        <v>1</v>
      </c>
      <c r="O37" s="18"/>
      <c r="P37" s="18">
        <f t="shared" si="2"/>
        <v>0</v>
      </c>
      <c r="Q37" s="18"/>
      <c r="R37" s="18"/>
      <c r="S37" s="18" t="str">
        <f t="shared" si="3"/>
        <v/>
      </c>
      <c r="T37" s="18">
        <v>3000</v>
      </c>
      <c r="U37" s="18"/>
      <c r="V37" s="18">
        <f t="shared" si="4"/>
        <v>0</v>
      </c>
      <c r="W37" s="18"/>
      <c r="X37" s="18"/>
      <c r="Y37" s="18" t="str">
        <f t="shared" si="5"/>
        <v/>
      </c>
      <c r="Z37" s="18"/>
      <c r="AA37" s="18"/>
      <c r="AB37" s="18" t="str">
        <f t="shared" si="6"/>
        <v/>
      </c>
      <c r="AC37" s="18"/>
      <c r="AD37" s="18"/>
      <c r="AE37" s="18" t="str">
        <f t="shared" si="7"/>
        <v/>
      </c>
      <c r="AF37" s="18"/>
      <c r="AG37" s="18"/>
      <c r="AH37" s="18" t="str">
        <f t="shared" si="8"/>
        <v/>
      </c>
    </row>
    <row r="38" spans="1:34" ht="25.5" x14ac:dyDescent="0.25">
      <c r="A38" s="15" t="s">
        <v>644</v>
      </c>
      <c r="B38" s="2" t="str">
        <f>VLOOKUP($A38,[2]Projekty!$A$2:$AR$1147,4,0)</f>
        <v>OPKZP-PO1-SC121/122-2015</v>
      </c>
      <c r="C38" s="2" t="str">
        <f>VLOOKUP($A38,[2]Projekty!$A$2:$AR$1147,6,0)</f>
        <v>OBEC Topoľníky</v>
      </c>
      <c r="D38" s="2" t="str">
        <f>VLOOKUP($A38,[2]Projekty!$A$2:$AR$1147,7,0)</f>
        <v>Topoľníky - Kanalizácia a úprava ČOV</v>
      </c>
      <c r="E38" s="2" t="str">
        <f>VLOOKUP($A38,[2]Projekty!$A$2:$AR$1147,9,0)</f>
        <v>TT</v>
      </c>
      <c r="F38" s="2" t="str">
        <f>VLOOKUP($A38,[2]Projekty!$A$2:$AR$1147,14,0)</f>
        <v>Realizácia</v>
      </c>
      <c r="G38" s="61">
        <f>VLOOKUP($A38,'[2]Dĺžka realizácie'!$A$2:$AR$1148,8,0)</f>
        <v>43861</v>
      </c>
      <c r="H38" s="18">
        <v>24.5456</v>
      </c>
      <c r="I38" s="18">
        <v>10.235300000000001</v>
      </c>
      <c r="J38" s="18">
        <f t="shared" si="0"/>
        <v>0</v>
      </c>
      <c r="K38" s="18"/>
      <c r="L38" s="18"/>
      <c r="M38" s="18" t="str">
        <f t="shared" si="1"/>
        <v/>
      </c>
      <c r="N38" s="18">
        <v>1</v>
      </c>
      <c r="O38" s="18"/>
      <c r="P38" s="18">
        <f t="shared" si="2"/>
        <v>0</v>
      </c>
      <c r="Q38" s="18"/>
      <c r="R38" s="18"/>
      <c r="S38" s="18" t="str">
        <f t="shared" si="3"/>
        <v/>
      </c>
      <c r="T38" s="18">
        <v>3000</v>
      </c>
      <c r="U38" s="18"/>
      <c r="V38" s="18">
        <f t="shared" si="4"/>
        <v>0</v>
      </c>
      <c r="W38" s="18"/>
      <c r="X38" s="18"/>
      <c r="Y38" s="18" t="str">
        <f t="shared" si="5"/>
        <v/>
      </c>
      <c r="Z38" s="18"/>
      <c r="AA38" s="18"/>
      <c r="AB38" s="18" t="str">
        <f t="shared" si="6"/>
        <v/>
      </c>
      <c r="AC38" s="18"/>
      <c r="AD38" s="18"/>
      <c r="AE38" s="18" t="str">
        <f t="shared" si="7"/>
        <v/>
      </c>
      <c r="AF38" s="18"/>
      <c r="AG38" s="18"/>
      <c r="AH38" s="18" t="str">
        <f t="shared" si="8"/>
        <v/>
      </c>
    </row>
    <row r="39" spans="1:34" ht="25.5" x14ac:dyDescent="0.25">
      <c r="A39" s="15" t="s">
        <v>645</v>
      </c>
      <c r="B39" s="2" t="str">
        <f>VLOOKUP($A39,[2]Projekty!$A$2:$AR$1147,4,0)</f>
        <v>OPKZP-PO1-SC121/122-2015</v>
      </c>
      <c r="C39" s="2" t="str">
        <f>VLOOKUP($A39,[2]Projekty!$A$2:$AR$1147,6,0)</f>
        <v>Obec Bátorove Kosihy</v>
      </c>
      <c r="D39" s="2" t="str">
        <f>VLOOKUP($A39,[2]Projekty!$A$2:$AR$1147,7,0)</f>
        <v>Kanalizácia a ČOV obce Bátorové Kosihy</v>
      </c>
      <c r="E39" s="2" t="str">
        <f>VLOOKUP($A39,[2]Projekty!$A$2:$AR$1147,9,0)</f>
        <v>NR</v>
      </c>
      <c r="F39" s="2" t="str">
        <f>VLOOKUP($A39,[2]Projekty!$A$2:$AR$1147,14,0)</f>
        <v>Realizácia</v>
      </c>
      <c r="G39" s="61">
        <f>VLOOKUP($A39,'[2]Dĺžka realizácie'!$A$2:$AR$1148,8,0)</f>
        <v>43677</v>
      </c>
      <c r="H39" s="18">
        <v>20.853000000000002</v>
      </c>
      <c r="I39" s="18"/>
      <c r="J39" s="18">
        <f t="shared" si="0"/>
        <v>0</v>
      </c>
      <c r="K39" s="18"/>
      <c r="L39" s="18"/>
      <c r="M39" s="18" t="str">
        <f t="shared" si="1"/>
        <v/>
      </c>
      <c r="N39" s="18">
        <v>1</v>
      </c>
      <c r="O39" s="18"/>
      <c r="P39" s="18">
        <f t="shared" si="2"/>
        <v>0</v>
      </c>
      <c r="Q39" s="18"/>
      <c r="R39" s="18"/>
      <c r="S39" s="18" t="str">
        <f t="shared" si="3"/>
        <v/>
      </c>
      <c r="T39" s="18">
        <v>3000</v>
      </c>
      <c r="U39" s="18"/>
      <c r="V39" s="18">
        <f t="shared" si="4"/>
        <v>0</v>
      </c>
      <c r="W39" s="18"/>
      <c r="X39" s="18"/>
      <c r="Y39" s="18" t="str">
        <f t="shared" si="5"/>
        <v/>
      </c>
      <c r="Z39" s="18"/>
      <c r="AA39" s="18"/>
      <c r="AB39" s="18" t="str">
        <f t="shared" si="6"/>
        <v/>
      </c>
      <c r="AC39" s="18"/>
      <c r="AD39" s="18"/>
      <c r="AE39" s="18" t="str">
        <f t="shared" si="7"/>
        <v/>
      </c>
      <c r="AF39" s="18"/>
      <c r="AG39" s="18"/>
      <c r="AH39" s="18" t="str">
        <f t="shared" si="8"/>
        <v/>
      </c>
    </row>
    <row r="40" spans="1:34" ht="25.5" x14ac:dyDescent="0.25">
      <c r="A40" s="2" t="s">
        <v>646</v>
      </c>
      <c r="B40" s="2" t="str">
        <f>VLOOKUP($A40,[2]Projekty!$A$2:$AR$1147,4,0)</f>
        <v>OPKZP-PO1-SC121-2015-VP</v>
      </c>
      <c r="C40" s="2" t="str">
        <f>VLOOKUP($A40,[2]Projekty!$A$2:$AR$1147,6,0)</f>
        <v>Západoslovenská vodárenská spoločnosť, a.s.</v>
      </c>
      <c r="D40" s="2" t="str">
        <f>VLOOKUP($A40,[2]Projekty!$A$2:$AR$1147,7,0)</f>
        <v>Čistiareň odpadových vôd SEVER</v>
      </c>
      <c r="E40" s="2" t="str">
        <f>VLOOKUP($A40,[2]Projekty!$A$2:$AR$1147,9,0)</f>
        <v>NR, TN</v>
      </c>
      <c r="F40" s="2" t="str">
        <f>VLOOKUP($A40,[2]Projekty!$A$2:$AR$1147,14,0)</f>
        <v>Realizácia</v>
      </c>
      <c r="G40" s="61">
        <f>VLOOKUP($A40,'[2]Dĺžka realizácie'!$A$2:$AR$1148,8,0)</f>
        <v>43281</v>
      </c>
      <c r="H40" s="18">
        <v>45.37</v>
      </c>
      <c r="I40" s="18">
        <v>43.58</v>
      </c>
      <c r="J40" s="18">
        <f t="shared" si="0"/>
        <v>45.37</v>
      </c>
      <c r="K40" s="18"/>
      <c r="L40" s="18"/>
      <c r="M40" s="18" t="str">
        <f t="shared" si="1"/>
        <v/>
      </c>
      <c r="N40" s="18">
        <v>3</v>
      </c>
      <c r="O40" s="18">
        <v>2.99</v>
      </c>
      <c r="P40" s="18">
        <f t="shared" si="2"/>
        <v>3</v>
      </c>
      <c r="Q40" s="18"/>
      <c r="R40" s="18"/>
      <c r="S40" s="18" t="str">
        <f t="shared" si="3"/>
        <v/>
      </c>
      <c r="T40" s="18">
        <v>112159</v>
      </c>
      <c r="U40" s="112">
        <v>112159</v>
      </c>
      <c r="V40" s="18">
        <f t="shared" si="4"/>
        <v>112159</v>
      </c>
      <c r="W40" s="18"/>
      <c r="X40" s="18"/>
      <c r="Y40" s="18" t="str">
        <f t="shared" si="5"/>
        <v/>
      </c>
      <c r="Z40" s="18"/>
      <c r="AA40" s="18"/>
      <c r="AB40" s="18" t="str">
        <f t="shared" si="6"/>
        <v/>
      </c>
      <c r="AC40" s="18"/>
      <c r="AD40" s="18"/>
      <c r="AE40" s="18" t="str">
        <f t="shared" si="7"/>
        <v/>
      </c>
      <c r="AF40" s="18"/>
      <c r="AG40" s="18"/>
      <c r="AH40" s="18" t="str">
        <f t="shared" si="8"/>
        <v/>
      </c>
    </row>
    <row r="41" spans="1:34" x14ac:dyDescent="0.25">
      <c r="H41" s="18">
        <f t="shared" ref="H41" si="9">SUM(H5:H40)</f>
        <v>809.77720000000011</v>
      </c>
      <c r="I41" s="18">
        <f t="shared" ref="I41:AH41" si="10">SUM(I5:I40)</f>
        <v>195.69709999999998</v>
      </c>
      <c r="J41" s="18">
        <f t="shared" si="10"/>
        <v>265.60969999999998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36</v>
      </c>
      <c r="O41" s="18">
        <f t="shared" si="10"/>
        <v>4.99</v>
      </c>
      <c r="P41" s="18">
        <f t="shared" si="10"/>
        <v>12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 t="shared" si="10"/>
        <v>258357</v>
      </c>
      <c r="U41" s="18">
        <f t="shared" si="10"/>
        <v>118171</v>
      </c>
      <c r="V41" s="18">
        <f t="shared" si="10"/>
        <v>151893</v>
      </c>
      <c r="W41" s="18">
        <f t="shared" si="10"/>
        <v>0</v>
      </c>
      <c r="X41" s="18">
        <f t="shared" si="10"/>
        <v>0</v>
      </c>
      <c r="Y41" s="18">
        <f t="shared" si="10"/>
        <v>0</v>
      </c>
      <c r="Z41" s="18">
        <f t="shared" si="10"/>
        <v>24.5078</v>
      </c>
      <c r="AA41" s="18">
        <f t="shared" si="10"/>
        <v>2.0990000000000002</v>
      </c>
      <c r="AB41" s="18">
        <f t="shared" si="10"/>
        <v>2.0990000000000002</v>
      </c>
      <c r="AC41" s="18">
        <f t="shared" si="10"/>
        <v>0</v>
      </c>
      <c r="AD41" s="18">
        <f t="shared" si="10"/>
        <v>0</v>
      </c>
      <c r="AE41" s="18">
        <f t="shared" si="10"/>
        <v>0</v>
      </c>
      <c r="AF41" s="18">
        <f t="shared" si="10"/>
        <v>2540</v>
      </c>
      <c r="AG41" s="18">
        <f t="shared" si="10"/>
        <v>0</v>
      </c>
      <c r="AH41" s="18">
        <f t="shared" si="10"/>
        <v>140</v>
      </c>
    </row>
    <row r="42" spans="1:34" x14ac:dyDescent="0.25">
      <c r="H42" s="18">
        <f>COUNT(H5:H40)</f>
        <v>36</v>
      </c>
      <c r="I42" s="18">
        <f t="shared" ref="I42:AH42" si="11">COUNT(I5:I40)</f>
        <v>11</v>
      </c>
      <c r="J42" s="18">
        <f t="shared" si="11"/>
        <v>36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8">
        <f t="shared" si="11"/>
        <v>36</v>
      </c>
      <c r="O42" s="18">
        <f t="shared" si="11"/>
        <v>4</v>
      </c>
      <c r="P42" s="18">
        <f t="shared" si="11"/>
        <v>36</v>
      </c>
      <c r="Q42" s="18">
        <f t="shared" si="11"/>
        <v>0</v>
      </c>
      <c r="R42" s="18">
        <f t="shared" si="11"/>
        <v>0</v>
      </c>
      <c r="S42" s="18">
        <f t="shared" si="11"/>
        <v>0</v>
      </c>
      <c r="T42" s="18">
        <f t="shared" si="11"/>
        <v>36</v>
      </c>
      <c r="U42" s="18">
        <f t="shared" si="11"/>
        <v>4</v>
      </c>
      <c r="V42" s="18">
        <f t="shared" si="11"/>
        <v>36</v>
      </c>
      <c r="W42" s="18">
        <f t="shared" si="11"/>
        <v>0</v>
      </c>
      <c r="X42" s="18">
        <f t="shared" si="11"/>
        <v>0</v>
      </c>
      <c r="Y42" s="18">
        <f t="shared" si="11"/>
        <v>0</v>
      </c>
      <c r="Z42" s="18">
        <f t="shared" si="11"/>
        <v>2</v>
      </c>
      <c r="AA42" s="18">
        <f t="shared" si="11"/>
        <v>1</v>
      </c>
      <c r="AB42" s="18">
        <f t="shared" si="11"/>
        <v>2</v>
      </c>
      <c r="AC42" s="18">
        <f t="shared" si="11"/>
        <v>0</v>
      </c>
      <c r="AD42" s="18">
        <f t="shared" si="11"/>
        <v>0</v>
      </c>
      <c r="AE42" s="18">
        <f t="shared" si="11"/>
        <v>0</v>
      </c>
      <c r="AF42" s="18">
        <f t="shared" si="11"/>
        <v>2</v>
      </c>
      <c r="AG42" s="18">
        <f t="shared" si="11"/>
        <v>0</v>
      </c>
      <c r="AH42" s="18">
        <f t="shared" si="11"/>
        <v>2</v>
      </c>
    </row>
    <row r="43" spans="1:34" x14ac:dyDescent="0.25">
      <c r="H43" s="19"/>
      <c r="I43"/>
      <c r="J43"/>
      <c r="N43" s="19"/>
      <c r="T43" s="19"/>
    </row>
    <row r="44" spans="1:34" x14ac:dyDescent="0.25">
      <c r="H44" s="19"/>
      <c r="I44" s="70"/>
      <c r="J44" s="70"/>
      <c r="N44" s="19"/>
      <c r="T44" s="19"/>
    </row>
    <row r="45" spans="1:34" x14ac:dyDescent="0.25">
      <c r="A45" s="78" t="s">
        <v>1045</v>
      </c>
      <c r="H45" s="19"/>
      <c r="T45" s="19"/>
      <c r="U45" s="19"/>
      <c r="V45" s="19"/>
    </row>
    <row r="46" spans="1:34" ht="57" customHeight="1" x14ac:dyDescent="0.25">
      <c r="A46" s="1202" t="s">
        <v>595</v>
      </c>
      <c r="B46" s="1202" t="s">
        <v>596</v>
      </c>
      <c r="C46" s="1202" t="s">
        <v>597</v>
      </c>
      <c r="D46" s="1202" t="s">
        <v>598</v>
      </c>
      <c r="E46" s="1202" t="s">
        <v>1057</v>
      </c>
      <c r="F46" s="1202" t="s">
        <v>600</v>
      </c>
      <c r="G46" s="1201" t="s">
        <v>878</v>
      </c>
      <c r="H46" s="1199" t="s">
        <v>224</v>
      </c>
      <c r="I46" s="1200"/>
      <c r="J46" s="102"/>
      <c r="K46" s="1199" t="s">
        <v>224</v>
      </c>
      <c r="L46" s="1200"/>
      <c r="M46" s="102"/>
      <c r="N46" s="1199" t="s">
        <v>226</v>
      </c>
      <c r="O46" s="1200"/>
      <c r="P46" s="102"/>
      <c r="Q46" s="1199" t="s">
        <v>226</v>
      </c>
      <c r="R46" s="1200"/>
      <c r="S46" s="102"/>
      <c r="T46" s="1199" t="s">
        <v>87</v>
      </c>
      <c r="U46" s="1200"/>
      <c r="V46" s="102"/>
      <c r="W46" s="1199" t="s">
        <v>87</v>
      </c>
      <c r="X46" s="1200"/>
      <c r="Y46" s="102"/>
      <c r="Z46" s="1199" t="s">
        <v>229</v>
      </c>
      <c r="AA46" s="1200"/>
      <c r="AB46" s="102"/>
      <c r="AC46" s="1199" t="s">
        <v>231</v>
      </c>
      <c r="AD46" s="1200"/>
      <c r="AE46" s="102"/>
      <c r="AF46" s="1199" t="s">
        <v>233</v>
      </c>
      <c r="AG46" s="1200"/>
    </row>
    <row r="47" spans="1:34" x14ac:dyDescent="0.25">
      <c r="A47" s="1203"/>
      <c r="B47" s="1203"/>
      <c r="C47" s="1203"/>
      <c r="D47" s="1203"/>
      <c r="E47" s="1203"/>
      <c r="F47" s="1203"/>
      <c r="G47" s="1201"/>
      <c r="H47" s="1197" t="s">
        <v>223</v>
      </c>
      <c r="I47" s="1198"/>
      <c r="J47" s="103"/>
      <c r="K47" s="1197" t="s">
        <v>223</v>
      </c>
      <c r="L47" s="1198"/>
      <c r="M47" s="103"/>
      <c r="N47" s="1197" t="s">
        <v>225</v>
      </c>
      <c r="O47" s="1198"/>
      <c r="P47" s="103"/>
      <c r="Q47" s="1197" t="s">
        <v>225</v>
      </c>
      <c r="R47" s="1198"/>
      <c r="S47" s="103"/>
      <c r="T47" s="1197" t="s">
        <v>227</v>
      </c>
      <c r="U47" s="1198"/>
      <c r="V47" s="103"/>
      <c r="W47" s="1197" t="s">
        <v>227</v>
      </c>
      <c r="X47" s="1198"/>
      <c r="Y47" s="103"/>
      <c r="Z47" s="1197" t="s">
        <v>228</v>
      </c>
      <c r="AA47" s="1198"/>
      <c r="AB47" s="103"/>
      <c r="AC47" s="1197" t="s">
        <v>230</v>
      </c>
      <c r="AD47" s="1198"/>
      <c r="AE47" s="103"/>
      <c r="AF47" s="1197" t="s">
        <v>232</v>
      </c>
      <c r="AG47" s="1198"/>
    </row>
    <row r="48" spans="1:34" x14ac:dyDescent="0.25">
      <c r="A48" s="1203"/>
      <c r="B48" s="1203"/>
      <c r="C48" s="1203"/>
      <c r="D48" s="1203"/>
      <c r="E48" s="1203"/>
      <c r="F48" s="1203"/>
      <c r="G48" s="1201"/>
      <c r="H48" s="1197" t="s">
        <v>558</v>
      </c>
      <c r="I48" s="1198"/>
      <c r="J48" s="103"/>
      <c r="K48" s="1197" t="s">
        <v>538</v>
      </c>
      <c r="L48" s="1198"/>
      <c r="M48" s="103"/>
      <c r="N48" s="1197" t="s">
        <v>558</v>
      </c>
      <c r="O48" s="1198"/>
      <c r="P48" s="103"/>
      <c r="Q48" s="1197" t="s">
        <v>538</v>
      </c>
      <c r="R48" s="1198"/>
      <c r="S48" s="103"/>
      <c r="T48" s="1197" t="s">
        <v>558</v>
      </c>
      <c r="U48" s="1198"/>
      <c r="V48" s="103"/>
      <c r="W48" s="1197" t="s">
        <v>538</v>
      </c>
      <c r="X48" s="1198"/>
      <c r="Y48" s="103"/>
      <c r="Z48" s="1197" t="s">
        <v>559</v>
      </c>
      <c r="AA48" s="1198"/>
      <c r="AB48" s="103"/>
      <c r="AC48" s="1197" t="s">
        <v>559</v>
      </c>
      <c r="AD48" s="1198"/>
      <c r="AE48" s="103"/>
      <c r="AF48" s="1197" t="s">
        <v>559</v>
      </c>
      <c r="AG48" s="1198"/>
    </row>
    <row r="49" spans="1:34" x14ac:dyDescent="0.25">
      <c r="A49" s="1204"/>
      <c r="B49" s="1204"/>
      <c r="C49" s="1204"/>
      <c r="D49" s="1204"/>
      <c r="E49" s="1204"/>
      <c r="F49" s="1204"/>
      <c r="G49" s="1201"/>
      <c r="H49" s="16" t="s">
        <v>603</v>
      </c>
      <c r="I49" s="16" t="s">
        <v>604</v>
      </c>
      <c r="J49" s="104">
        <v>43465</v>
      </c>
      <c r="K49" s="16" t="s">
        <v>603</v>
      </c>
      <c r="L49" s="16" t="s">
        <v>604</v>
      </c>
      <c r="M49" s="104">
        <v>43465</v>
      </c>
      <c r="N49" s="16" t="s">
        <v>603</v>
      </c>
      <c r="O49" s="16" t="s">
        <v>604</v>
      </c>
      <c r="P49" s="104">
        <v>43465</v>
      </c>
      <c r="Q49" s="16" t="s">
        <v>603</v>
      </c>
      <c r="R49" s="16" t="s">
        <v>604</v>
      </c>
      <c r="S49" s="104">
        <v>43465</v>
      </c>
      <c r="T49" s="16" t="s">
        <v>603</v>
      </c>
      <c r="U49" s="16" t="s">
        <v>604</v>
      </c>
      <c r="V49" s="104">
        <v>43465</v>
      </c>
      <c r="W49" s="16" t="s">
        <v>603</v>
      </c>
      <c r="X49" s="16" t="s">
        <v>604</v>
      </c>
      <c r="Y49" s="104">
        <v>43465</v>
      </c>
      <c r="Z49" s="16" t="s">
        <v>603</v>
      </c>
      <c r="AA49" s="16" t="s">
        <v>604</v>
      </c>
      <c r="AB49" s="104">
        <v>43465</v>
      </c>
      <c r="AC49" s="16" t="s">
        <v>603</v>
      </c>
      <c r="AD49" s="16" t="s">
        <v>604</v>
      </c>
      <c r="AE49" s="104">
        <v>43465</v>
      </c>
      <c r="AF49" s="16" t="s">
        <v>603</v>
      </c>
      <c r="AG49" s="16" t="s">
        <v>604</v>
      </c>
      <c r="AH49" s="104">
        <v>43465</v>
      </c>
    </row>
    <row r="50" spans="1:34" ht="25.5" x14ac:dyDescent="0.25">
      <c r="A50" s="15" t="s">
        <v>613</v>
      </c>
      <c r="B50" s="2" t="s">
        <v>1052</v>
      </c>
      <c r="C50" s="2" t="s">
        <v>1053</v>
      </c>
      <c r="D50" s="2" t="s">
        <v>895</v>
      </c>
      <c r="E50" s="2" t="str">
        <f>VLOOKUP($A50,[2]Projekty!$A$2:$AR$1147,9,0)</f>
        <v>PO</v>
      </c>
      <c r="F50" s="2" t="s">
        <v>1049</v>
      </c>
      <c r="G50" s="61">
        <v>43951</v>
      </c>
      <c r="H50" s="18">
        <v>9.1434999999999995</v>
      </c>
      <c r="I50" s="18"/>
      <c r="J50" s="18">
        <f>IF(H50="","",IF($F50="riadne ukončený",I50,IF($G50&lt;=J$49,H50,0)))</f>
        <v>0</v>
      </c>
      <c r="K50" s="18"/>
      <c r="L50" s="18"/>
      <c r="M50" s="18" t="str">
        <f>IF(K50="","",IF($F50="riadne ukončený",L50,IF($G50&lt;=M$49,K50,0)))</f>
        <v/>
      </c>
      <c r="N50" s="18">
        <v>1</v>
      </c>
      <c r="O50" s="18"/>
      <c r="P50" s="18">
        <f>IF(N50="","",IF($F50="riadne ukončený",O50,IF($G50&lt;=P$49,N50,0)))</f>
        <v>0</v>
      </c>
      <c r="Q50" s="18"/>
      <c r="R50" s="18"/>
      <c r="S50" s="18" t="str">
        <f>IF(Q50="","",IF($F50="riadne ukončený",R50,IF($G50&lt;=S$49,Q50,0)))</f>
        <v/>
      </c>
      <c r="T50" s="18">
        <v>2300</v>
      </c>
      <c r="U50" s="18"/>
      <c r="V50" s="18">
        <f>IF(T50="","",IF($F50="riadne ukončený",U50,IF($G50&lt;=V$49,T50,0)))</f>
        <v>0</v>
      </c>
      <c r="W50" s="18"/>
      <c r="X50" s="18"/>
      <c r="Y50" s="18" t="str">
        <f>IF(W50="","",IF($F50="riadne ukončený",X50,IF($G50&lt;=Y$49,W50,0)))</f>
        <v/>
      </c>
      <c r="Z50" s="18"/>
      <c r="AA50" s="18"/>
      <c r="AB50" s="18" t="str">
        <f>IF(Z50="","",IF($F50="riadne ukončený",AA50,IF($G50&lt;=AB$49,Z50,0)))</f>
        <v/>
      </c>
      <c r="AC50" s="18"/>
      <c r="AD50" s="18"/>
      <c r="AE50" s="18" t="str">
        <f>IF(AC50="","",IF($F50="riadne ukončený",AD50,IF($G50&lt;=AE$49,AC50,0)))</f>
        <v/>
      </c>
      <c r="AF50" s="18"/>
      <c r="AG50" s="18"/>
      <c r="AH50" s="18" t="str">
        <f>IF(AF50="","",IF($F50="riadne ukončený",AG50,IF($G50&lt;=AH$49,AF50,0)))</f>
        <v/>
      </c>
    </row>
    <row r="51" spans="1:34" ht="25.5" x14ac:dyDescent="0.25">
      <c r="A51" s="15" t="s">
        <v>617</v>
      </c>
      <c r="B51" s="2" t="s">
        <v>1052</v>
      </c>
      <c r="C51" s="2" t="s">
        <v>1054</v>
      </c>
      <c r="D51" s="2" t="s">
        <v>902</v>
      </c>
      <c r="E51" s="2" t="str">
        <f>VLOOKUP($A51,[2]Projekty!$A$2:$AR$1147,9,0)</f>
        <v>BA</v>
      </c>
      <c r="F51" s="2" t="s">
        <v>1049</v>
      </c>
      <c r="G51" s="61">
        <v>43281</v>
      </c>
      <c r="H51" s="18">
        <v>22.74</v>
      </c>
      <c r="I51" s="18"/>
      <c r="J51" s="18">
        <f t="shared" ref="J51:J55" si="12">IF(H51="","",IF($F51="riadne ukončený",I51,IF($G51&lt;=J$49,H51,0)))</f>
        <v>22.74</v>
      </c>
      <c r="K51" s="18"/>
      <c r="L51" s="18"/>
      <c r="M51" s="18" t="str">
        <f t="shared" ref="M51:M55" si="13">IF(K51="","",IF($F51="riadne ukončený",L51,IF($G51&lt;=M$49,K51,0)))</f>
        <v/>
      </c>
      <c r="N51" s="18">
        <v>1</v>
      </c>
      <c r="O51" s="18"/>
      <c r="P51" s="18">
        <f t="shared" ref="P51:P55" si="14">IF(N51="","",IF($F51="riadne ukončený",O51,IF($G51&lt;=P$49,N51,0)))</f>
        <v>1</v>
      </c>
      <c r="Q51" s="18"/>
      <c r="R51" s="18"/>
      <c r="S51" s="18" t="str">
        <f t="shared" ref="S51:S55" si="15">IF(Q51="","",IF($F51="riadne ukončený",R51,IF($G51&lt;=S$49,Q51,0)))</f>
        <v/>
      </c>
      <c r="T51" s="18">
        <v>2689</v>
      </c>
      <c r="U51" s="18"/>
      <c r="V51" s="18">
        <f t="shared" ref="V51:V55" si="16">IF(T51="","",IF($F51="riadne ukončený",U51,IF($G51&lt;=V$49,T51,0)))</f>
        <v>2689</v>
      </c>
      <c r="W51" s="18"/>
      <c r="X51" s="18"/>
      <c r="Y51" s="18" t="str">
        <f t="shared" ref="Y51:Y55" si="17">IF(W51="","",IF($F51="riadne ukončený",X51,IF($G51&lt;=Y$49,W51,0)))</f>
        <v/>
      </c>
      <c r="Z51" s="18">
        <v>3.62</v>
      </c>
      <c r="AA51" s="18"/>
      <c r="AB51" s="18">
        <f t="shared" ref="AB51:AB55" si="18">IF(Z51="","",IF($F51="riadne ukončený",AA51,IF($G51&lt;=AB$49,Z51,0)))</f>
        <v>3.62</v>
      </c>
      <c r="AC51" s="18"/>
      <c r="AD51" s="18"/>
      <c r="AE51" s="18" t="str">
        <f t="shared" ref="AE51:AE55" si="19">IF(AC51="","",IF($F51="riadne ukončený",AD51,IF($G51&lt;=AE$49,AC51,0)))</f>
        <v/>
      </c>
      <c r="AF51" s="18">
        <v>589</v>
      </c>
      <c r="AG51" s="18"/>
      <c r="AH51" s="18">
        <f t="shared" ref="AH51:AH55" si="20">IF(AF51="","",IF($F51="riadne ukončený",AG51,IF($G51&lt;=AH$49,AF51,0)))</f>
        <v>589</v>
      </c>
    </row>
    <row r="52" spans="1:34" ht="38.25" x14ac:dyDescent="0.25">
      <c r="A52" s="15" t="s">
        <v>622</v>
      </c>
      <c r="B52" s="2" t="s">
        <v>1052</v>
      </c>
      <c r="C52" s="2" t="s">
        <v>678</v>
      </c>
      <c r="D52" s="2" t="s">
        <v>908</v>
      </c>
      <c r="E52" s="2" t="str">
        <f>VLOOKUP($A52,[2]Projekty!$A$2:$AR$1147,9,0)</f>
        <v>KE</v>
      </c>
      <c r="F52" s="2" t="s">
        <v>1049</v>
      </c>
      <c r="G52" s="61">
        <v>43465</v>
      </c>
      <c r="H52" s="18">
        <v>22.050699999999999</v>
      </c>
      <c r="I52" s="18"/>
      <c r="J52" s="18">
        <f t="shared" si="12"/>
        <v>22.050699999999999</v>
      </c>
      <c r="K52" s="18"/>
      <c r="L52" s="18"/>
      <c r="M52" s="18" t="str">
        <f t="shared" si="13"/>
        <v/>
      </c>
      <c r="N52" s="18">
        <v>1</v>
      </c>
      <c r="O52" s="18"/>
      <c r="P52" s="18">
        <f t="shared" si="14"/>
        <v>1</v>
      </c>
      <c r="Q52" s="18"/>
      <c r="R52" s="18"/>
      <c r="S52" s="18" t="str">
        <f t="shared" si="15"/>
        <v/>
      </c>
      <c r="T52" s="18">
        <v>2200</v>
      </c>
      <c r="U52" s="18"/>
      <c r="V52" s="18">
        <f t="shared" si="16"/>
        <v>2200</v>
      </c>
      <c r="W52" s="18"/>
      <c r="X52" s="18"/>
      <c r="Y52" s="18" t="str">
        <f t="shared" si="17"/>
        <v/>
      </c>
      <c r="Z52" s="18"/>
      <c r="AA52" s="18"/>
      <c r="AB52" s="18" t="str">
        <f t="shared" si="18"/>
        <v/>
      </c>
      <c r="AC52" s="18"/>
      <c r="AD52" s="18"/>
      <c r="AE52" s="18" t="str">
        <f t="shared" si="19"/>
        <v/>
      </c>
      <c r="AF52" s="18"/>
      <c r="AG52" s="18"/>
      <c r="AH52" s="18" t="str">
        <f t="shared" si="20"/>
        <v/>
      </c>
    </row>
    <row r="53" spans="1:34" ht="38.25" x14ac:dyDescent="0.25">
      <c r="A53" s="15" t="s">
        <v>626</v>
      </c>
      <c r="B53" s="2" t="s">
        <v>1052</v>
      </c>
      <c r="C53" s="2" t="s">
        <v>678</v>
      </c>
      <c r="D53" s="2" t="s">
        <v>919</v>
      </c>
      <c r="E53" s="2" t="str">
        <f>VLOOKUP($A53,[2]Projekty!$A$2:$AR$1147,9,0)</f>
        <v>PO</v>
      </c>
      <c r="F53" s="2" t="s">
        <v>1049</v>
      </c>
      <c r="G53" s="61">
        <v>43830</v>
      </c>
      <c r="H53" s="18">
        <v>14.959899999999999</v>
      </c>
      <c r="I53" s="18"/>
      <c r="J53" s="18">
        <f t="shared" si="12"/>
        <v>0</v>
      </c>
      <c r="K53" s="18"/>
      <c r="L53" s="18"/>
      <c r="M53" s="18" t="str">
        <f t="shared" si="13"/>
        <v/>
      </c>
      <c r="N53" s="18">
        <v>1</v>
      </c>
      <c r="O53" s="18"/>
      <c r="P53" s="18">
        <f t="shared" si="14"/>
        <v>0</v>
      </c>
      <c r="Q53" s="18"/>
      <c r="R53" s="18"/>
      <c r="S53" s="18" t="str">
        <f t="shared" si="15"/>
        <v/>
      </c>
      <c r="T53" s="18">
        <v>2634</v>
      </c>
      <c r="U53" s="18"/>
      <c r="V53" s="18">
        <f t="shared" si="16"/>
        <v>0</v>
      </c>
      <c r="W53" s="18"/>
      <c r="X53" s="18"/>
      <c r="Y53" s="18" t="str">
        <f t="shared" si="17"/>
        <v/>
      </c>
      <c r="Z53" s="18"/>
      <c r="AA53" s="18"/>
      <c r="AB53" s="18" t="str">
        <f t="shared" si="18"/>
        <v/>
      </c>
      <c r="AC53" s="18"/>
      <c r="AD53" s="18"/>
      <c r="AE53" s="18" t="str">
        <f t="shared" si="19"/>
        <v/>
      </c>
      <c r="AF53" s="18"/>
      <c r="AG53" s="18"/>
      <c r="AH53" s="18" t="str">
        <f t="shared" si="20"/>
        <v/>
      </c>
    </row>
    <row r="54" spans="1:34" ht="25.5" x14ac:dyDescent="0.25">
      <c r="A54" s="15" t="s">
        <v>635</v>
      </c>
      <c r="B54" s="2" t="s">
        <v>1052</v>
      </c>
      <c r="C54" s="2" t="s">
        <v>1055</v>
      </c>
      <c r="D54" s="2" t="s">
        <v>936</v>
      </c>
      <c r="E54" s="2" t="str">
        <f>VLOOKUP($A54,[2]Projekty!$A$2:$AR$1147,9,0)</f>
        <v>ZA</v>
      </c>
      <c r="F54" s="2" t="s">
        <v>1049</v>
      </c>
      <c r="G54" s="61">
        <v>42916</v>
      </c>
      <c r="H54" s="18">
        <v>10.09</v>
      </c>
      <c r="I54" s="18"/>
      <c r="J54" s="18">
        <f t="shared" si="12"/>
        <v>10.09</v>
      </c>
      <c r="K54" s="18"/>
      <c r="L54" s="18"/>
      <c r="M54" s="18" t="str">
        <f t="shared" si="13"/>
        <v/>
      </c>
      <c r="N54" s="18">
        <v>1</v>
      </c>
      <c r="O54" s="18"/>
      <c r="P54" s="18">
        <f t="shared" si="14"/>
        <v>1</v>
      </c>
      <c r="Q54" s="18"/>
      <c r="R54" s="18"/>
      <c r="S54" s="18" t="str">
        <f t="shared" si="15"/>
        <v/>
      </c>
      <c r="T54" s="18">
        <v>2538</v>
      </c>
      <c r="U54" s="18"/>
      <c r="V54" s="18">
        <f t="shared" si="16"/>
        <v>2538</v>
      </c>
      <c r="W54" s="18"/>
      <c r="X54" s="18"/>
      <c r="Y54" s="18" t="str">
        <f t="shared" si="17"/>
        <v/>
      </c>
      <c r="Z54" s="18"/>
      <c r="AA54" s="18"/>
      <c r="AB54" s="18" t="str">
        <f t="shared" si="18"/>
        <v/>
      </c>
      <c r="AC54" s="18"/>
      <c r="AD54" s="18"/>
      <c r="AE54" s="18" t="str">
        <f t="shared" si="19"/>
        <v/>
      </c>
      <c r="AF54" s="18"/>
      <c r="AG54" s="18"/>
      <c r="AH54" s="18" t="str">
        <f t="shared" si="20"/>
        <v/>
      </c>
    </row>
    <row r="55" spans="1:34" ht="25.5" x14ac:dyDescent="0.25">
      <c r="A55" s="15" t="s">
        <v>643</v>
      </c>
      <c r="B55" s="2" t="s">
        <v>1052</v>
      </c>
      <c r="C55" s="2" t="s">
        <v>1056</v>
      </c>
      <c r="D55" s="2" t="s">
        <v>952</v>
      </c>
      <c r="E55" s="2" t="str">
        <f>VLOOKUP($A55,[2]Projekty!$A$2:$AR$1147,9,0)</f>
        <v>TT</v>
      </c>
      <c r="F55" s="2" t="s">
        <v>1049</v>
      </c>
      <c r="G55" s="61">
        <v>43951</v>
      </c>
      <c r="H55" s="18">
        <v>29.498999999999999</v>
      </c>
      <c r="I55" s="18"/>
      <c r="J55" s="18">
        <f t="shared" si="12"/>
        <v>0</v>
      </c>
      <c r="K55" s="18"/>
      <c r="L55" s="18"/>
      <c r="M55" s="18" t="str">
        <f t="shared" si="13"/>
        <v/>
      </c>
      <c r="N55" s="18">
        <v>1</v>
      </c>
      <c r="O55" s="18"/>
      <c r="P55" s="18">
        <f t="shared" si="14"/>
        <v>0</v>
      </c>
      <c r="Q55" s="18"/>
      <c r="R55" s="18"/>
      <c r="S55" s="18" t="str">
        <f t="shared" si="15"/>
        <v/>
      </c>
      <c r="T55" s="18">
        <v>3145</v>
      </c>
      <c r="U55" s="18"/>
      <c r="V55" s="18">
        <f t="shared" si="16"/>
        <v>0</v>
      </c>
      <c r="W55" s="18"/>
      <c r="X55" s="18"/>
      <c r="Y55" s="18" t="str">
        <f t="shared" si="17"/>
        <v/>
      </c>
      <c r="Z55" s="18"/>
      <c r="AA55" s="18"/>
      <c r="AB55" s="18" t="str">
        <f t="shared" si="18"/>
        <v/>
      </c>
      <c r="AC55" s="18"/>
      <c r="AD55" s="18"/>
      <c r="AE55" s="18" t="str">
        <f t="shared" si="19"/>
        <v/>
      </c>
      <c r="AF55" s="18"/>
      <c r="AG55" s="18"/>
      <c r="AH55" s="18" t="str">
        <f t="shared" si="20"/>
        <v/>
      </c>
    </row>
    <row r="56" spans="1:34" x14ac:dyDescent="0.25">
      <c r="H56" s="18">
        <f>SUM(H50:H55)</f>
        <v>108.48309999999999</v>
      </c>
      <c r="I56" s="18">
        <f t="shared" ref="I56:AH56" si="21">SUM(I50:I55)</f>
        <v>0</v>
      </c>
      <c r="J56" s="18">
        <f t="shared" si="21"/>
        <v>54.880700000000004</v>
      </c>
      <c r="K56" s="18">
        <f t="shared" si="21"/>
        <v>0</v>
      </c>
      <c r="L56" s="18">
        <f t="shared" si="21"/>
        <v>0</v>
      </c>
      <c r="M56" s="18">
        <f t="shared" si="21"/>
        <v>0</v>
      </c>
      <c r="N56" s="18">
        <f t="shared" si="21"/>
        <v>6</v>
      </c>
      <c r="O56" s="18">
        <f t="shared" si="21"/>
        <v>0</v>
      </c>
      <c r="P56" s="18">
        <f t="shared" si="21"/>
        <v>3</v>
      </c>
      <c r="Q56" s="18">
        <f t="shared" si="21"/>
        <v>0</v>
      </c>
      <c r="R56" s="18">
        <f t="shared" si="21"/>
        <v>0</v>
      </c>
      <c r="S56" s="18">
        <f t="shared" si="21"/>
        <v>0</v>
      </c>
      <c r="T56" s="18">
        <f t="shared" si="21"/>
        <v>15506</v>
      </c>
      <c r="U56" s="18">
        <f t="shared" si="21"/>
        <v>0</v>
      </c>
      <c r="V56" s="18">
        <f t="shared" si="21"/>
        <v>7427</v>
      </c>
      <c r="W56" s="18">
        <f t="shared" si="21"/>
        <v>0</v>
      </c>
      <c r="X56" s="18">
        <f t="shared" si="21"/>
        <v>0</v>
      </c>
      <c r="Y56" s="18">
        <f t="shared" si="21"/>
        <v>0</v>
      </c>
      <c r="Z56" s="18">
        <f t="shared" si="21"/>
        <v>3.62</v>
      </c>
      <c r="AA56" s="18">
        <f t="shared" si="21"/>
        <v>0</v>
      </c>
      <c r="AB56" s="18">
        <f t="shared" si="21"/>
        <v>3.62</v>
      </c>
      <c r="AC56" s="18">
        <f t="shared" si="21"/>
        <v>0</v>
      </c>
      <c r="AD56" s="18">
        <f t="shared" si="21"/>
        <v>0</v>
      </c>
      <c r="AE56" s="18">
        <f t="shared" si="21"/>
        <v>0</v>
      </c>
      <c r="AF56" s="18">
        <f t="shared" si="21"/>
        <v>589</v>
      </c>
      <c r="AG56" s="18">
        <f t="shared" si="21"/>
        <v>0</v>
      </c>
      <c r="AH56" s="18">
        <f t="shared" si="21"/>
        <v>589</v>
      </c>
    </row>
    <row r="57" spans="1:34" x14ac:dyDescent="0.25">
      <c r="H57" s="18">
        <f t="shared" ref="H57" si="22">COUNT(H50:H55)</f>
        <v>6</v>
      </c>
      <c r="I57" s="18">
        <f t="shared" ref="I57:AH57" si="23">COUNT(I50:I55)</f>
        <v>0</v>
      </c>
      <c r="J57" s="18">
        <f t="shared" si="23"/>
        <v>6</v>
      </c>
      <c r="K57" s="18">
        <f t="shared" si="23"/>
        <v>0</v>
      </c>
      <c r="L57" s="18">
        <f t="shared" si="23"/>
        <v>0</v>
      </c>
      <c r="M57" s="18">
        <f t="shared" si="23"/>
        <v>0</v>
      </c>
      <c r="N57" s="18">
        <f t="shared" si="23"/>
        <v>6</v>
      </c>
      <c r="O57" s="18">
        <f t="shared" si="23"/>
        <v>0</v>
      </c>
      <c r="P57" s="18">
        <f t="shared" si="23"/>
        <v>6</v>
      </c>
      <c r="Q57" s="18">
        <f t="shared" si="23"/>
        <v>0</v>
      </c>
      <c r="R57" s="18">
        <f t="shared" si="23"/>
        <v>0</v>
      </c>
      <c r="S57" s="18">
        <f t="shared" si="23"/>
        <v>0</v>
      </c>
      <c r="T57" s="18">
        <f t="shared" si="23"/>
        <v>6</v>
      </c>
      <c r="U57" s="18">
        <f t="shared" si="23"/>
        <v>0</v>
      </c>
      <c r="V57" s="18">
        <f t="shared" si="23"/>
        <v>6</v>
      </c>
      <c r="W57" s="18">
        <f t="shared" si="23"/>
        <v>0</v>
      </c>
      <c r="X57" s="18">
        <f t="shared" si="23"/>
        <v>0</v>
      </c>
      <c r="Y57" s="18">
        <f t="shared" si="23"/>
        <v>0</v>
      </c>
      <c r="Z57" s="18">
        <f t="shared" si="23"/>
        <v>1</v>
      </c>
      <c r="AA57" s="18">
        <f t="shared" si="23"/>
        <v>0</v>
      </c>
      <c r="AB57" s="18">
        <f t="shared" si="23"/>
        <v>1</v>
      </c>
      <c r="AC57" s="18">
        <f t="shared" si="23"/>
        <v>0</v>
      </c>
      <c r="AD57" s="18">
        <f t="shared" si="23"/>
        <v>0</v>
      </c>
      <c r="AE57" s="18">
        <f t="shared" si="23"/>
        <v>0</v>
      </c>
      <c r="AF57" s="18">
        <f t="shared" si="23"/>
        <v>1</v>
      </c>
      <c r="AG57" s="18">
        <f t="shared" si="23"/>
        <v>0</v>
      </c>
      <c r="AH57" s="18">
        <f t="shared" si="23"/>
        <v>1</v>
      </c>
    </row>
  </sheetData>
  <autoFilter ref="A4:AG41"/>
  <mergeCells count="68">
    <mergeCell ref="H1:I1"/>
    <mergeCell ref="AC3:AD3"/>
    <mergeCell ref="AF3:AG3"/>
    <mergeCell ref="AF2:AG2"/>
    <mergeCell ref="H2:I2"/>
    <mergeCell ref="K2:L2"/>
    <mergeCell ref="N2:O2"/>
    <mergeCell ref="Q2:R2"/>
    <mergeCell ref="T2:U2"/>
    <mergeCell ref="W2:X2"/>
    <mergeCell ref="Z2:AA2"/>
    <mergeCell ref="AC2:AD2"/>
    <mergeCell ref="H3:I3"/>
    <mergeCell ref="K3:L3"/>
    <mergeCell ref="N3:O3"/>
    <mergeCell ref="Q3:R3"/>
    <mergeCell ref="T3:U3"/>
    <mergeCell ref="AC1:AD1"/>
    <mergeCell ref="AF1:AG1"/>
    <mergeCell ref="Z1:AA1"/>
    <mergeCell ref="W3:X3"/>
    <mergeCell ref="Z3:AA3"/>
    <mergeCell ref="K1:L1"/>
    <mergeCell ref="N1:O1"/>
    <mergeCell ref="Q1:R1"/>
    <mergeCell ref="T1:U1"/>
    <mergeCell ref="W1:X1"/>
    <mergeCell ref="G1:G4"/>
    <mergeCell ref="A1:A4"/>
    <mergeCell ref="B1:B4"/>
    <mergeCell ref="C1:C4"/>
    <mergeCell ref="D1:D4"/>
    <mergeCell ref="F1:F4"/>
    <mergeCell ref="E1:E4"/>
    <mergeCell ref="A46:A49"/>
    <mergeCell ref="B46:B49"/>
    <mergeCell ref="C46:C49"/>
    <mergeCell ref="D46:D49"/>
    <mergeCell ref="F46:F49"/>
    <mergeCell ref="E46:E49"/>
    <mergeCell ref="G46:G49"/>
    <mergeCell ref="H46:I46"/>
    <mergeCell ref="K46:L46"/>
    <mergeCell ref="N46:O46"/>
    <mergeCell ref="Q46:R46"/>
    <mergeCell ref="H47:I47"/>
    <mergeCell ref="K47:L47"/>
    <mergeCell ref="N47:O47"/>
    <mergeCell ref="Q47:R47"/>
    <mergeCell ref="H48:I48"/>
    <mergeCell ref="K48:L48"/>
    <mergeCell ref="N48:O48"/>
    <mergeCell ref="Q48:R48"/>
    <mergeCell ref="T46:U46"/>
    <mergeCell ref="W46:X46"/>
    <mergeCell ref="Z46:AA46"/>
    <mergeCell ref="AC46:AD46"/>
    <mergeCell ref="AF46:AG46"/>
    <mergeCell ref="T47:U47"/>
    <mergeCell ref="W47:X47"/>
    <mergeCell ref="Z47:AA47"/>
    <mergeCell ref="AC47:AD47"/>
    <mergeCell ref="AF47:AG47"/>
    <mergeCell ref="T48:U48"/>
    <mergeCell ref="W48:X48"/>
    <mergeCell ref="Z48:AA48"/>
    <mergeCell ref="AC48:AD48"/>
    <mergeCell ref="AF48:AG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"/>
  <sheetViews>
    <sheetView workbookViewId="0">
      <pane xSplit="1" ySplit="4" topLeftCell="AK5" activePane="bottomRight" state="frozen"/>
      <selection pane="topRight" activeCell="B1" sqref="B1"/>
      <selection pane="bottomLeft" activeCell="A5" sqref="A5"/>
      <selection pane="bottomRight" activeCell="BF4" sqref="BF4"/>
    </sheetView>
  </sheetViews>
  <sheetFormatPr defaultRowHeight="15" x14ac:dyDescent="0.25"/>
  <cols>
    <col min="1" max="1" width="10.85546875" bestFit="1" customWidth="1"/>
    <col min="2" max="2" width="22.140625" bestFit="1" customWidth="1"/>
    <col min="3" max="3" width="22" bestFit="1" customWidth="1"/>
    <col min="4" max="4" width="36.42578125" bestFit="1" customWidth="1"/>
    <col min="5" max="5" width="9" bestFit="1" customWidth="1"/>
    <col min="6" max="6" width="16.42578125" customWidth="1"/>
    <col min="7" max="7" width="12.85546875" customWidth="1"/>
    <col min="8" max="29" width="11.42578125" customWidth="1"/>
    <col min="30" max="31" width="11.5703125" customWidth="1"/>
    <col min="32" max="57" width="11.42578125" customWidth="1"/>
  </cols>
  <sheetData>
    <row r="1" spans="1:58" ht="57" customHeight="1" x14ac:dyDescent="0.25">
      <c r="A1" s="1202" t="s">
        <v>595</v>
      </c>
      <c r="B1" s="1202" t="s">
        <v>596</v>
      </c>
      <c r="C1" s="1202" t="s">
        <v>597</v>
      </c>
      <c r="D1" s="1202" t="s">
        <v>598</v>
      </c>
      <c r="E1" s="1202" t="s">
        <v>1057</v>
      </c>
      <c r="F1" s="1202" t="s">
        <v>600</v>
      </c>
      <c r="G1" s="1201" t="s">
        <v>878</v>
      </c>
      <c r="H1" s="1206" t="s">
        <v>235</v>
      </c>
      <c r="I1" s="1206"/>
      <c r="J1" s="126"/>
      <c r="K1" s="1206" t="s">
        <v>237</v>
      </c>
      <c r="L1" s="1206"/>
      <c r="M1" s="126"/>
      <c r="N1" s="1206" t="s">
        <v>239</v>
      </c>
      <c r="O1" s="1206"/>
      <c r="P1" s="126"/>
      <c r="Q1" s="1206" t="s">
        <v>241</v>
      </c>
      <c r="R1" s="1206"/>
      <c r="S1" s="126"/>
      <c r="T1" s="1206" t="s">
        <v>243</v>
      </c>
      <c r="U1" s="1206"/>
      <c r="V1" s="126"/>
      <c r="W1" s="1206" t="s">
        <v>245</v>
      </c>
      <c r="X1" s="1206"/>
      <c r="Y1" s="126"/>
      <c r="Z1" s="1206" t="s">
        <v>247</v>
      </c>
      <c r="AA1" s="1206"/>
      <c r="AB1" s="126"/>
      <c r="AC1" s="1206" t="s">
        <v>249</v>
      </c>
      <c r="AD1" s="1206"/>
      <c r="AE1" s="126"/>
      <c r="AF1" s="1206" t="s">
        <v>94</v>
      </c>
      <c r="AG1" s="1206"/>
      <c r="AH1" s="126"/>
      <c r="AI1" s="1206" t="s">
        <v>252</v>
      </c>
      <c r="AJ1" s="1206"/>
      <c r="AK1" s="126"/>
      <c r="AL1" s="1206" t="s">
        <v>210</v>
      </c>
      <c r="AM1" s="1206"/>
      <c r="AN1" s="126"/>
      <c r="AO1" s="1206" t="s">
        <v>254</v>
      </c>
      <c r="AP1" s="1206"/>
      <c r="AQ1" s="126"/>
      <c r="AR1" s="1206" t="s">
        <v>256</v>
      </c>
      <c r="AS1" s="1206"/>
      <c r="AT1" s="126"/>
      <c r="AU1" s="1206" t="s">
        <v>258</v>
      </c>
      <c r="AV1" s="1206"/>
      <c r="AW1" s="126"/>
      <c r="AX1" s="1206" t="s">
        <v>260</v>
      </c>
      <c r="AY1" s="1206"/>
      <c r="AZ1" s="126"/>
      <c r="BA1" s="1206" t="s">
        <v>216</v>
      </c>
      <c r="BB1" s="1206"/>
      <c r="BC1" s="126"/>
      <c r="BD1" s="1206" t="s">
        <v>262</v>
      </c>
      <c r="BE1" s="1206"/>
    </row>
    <row r="2" spans="1:58" x14ac:dyDescent="0.25">
      <c r="A2" s="1203"/>
      <c r="B2" s="1203"/>
      <c r="C2" s="1203"/>
      <c r="D2" s="1203"/>
      <c r="E2" s="1203"/>
      <c r="F2" s="1203"/>
      <c r="G2" s="1201"/>
      <c r="H2" s="1205" t="s">
        <v>234</v>
      </c>
      <c r="I2" s="1205"/>
      <c r="J2" s="127"/>
      <c r="K2" s="1205" t="s">
        <v>236</v>
      </c>
      <c r="L2" s="1205"/>
      <c r="M2" s="127"/>
      <c r="N2" s="1205" t="s">
        <v>238</v>
      </c>
      <c r="O2" s="1205"/>
      <c r="P2" s="127"/>
      <c r="Q2" s="1205" t="s">
        <v>240</v>
      </c>
      <c r="R2" s="1205"/>
      <c r="S2" s="127"/>
      <c r="T2" s="1205" t="s">
        <v>242</v>
      </c>
      <c r="U2" s="1205"/>
      <c r="V2" s="127"/>
      <c r="W2" s="1205" t="s">
        <v>244</v>
      </c>
      <c r="X2" s="1205"/>
      <c r="Y2" s="127"/>
      <c r="Z2" s="1205" t="s">
        <v>246</v>
      </c>
      <c r="AA2" s="1205"/>
      <c r="AB2" s="127"/>
      <c r="AC2" s="1205" t="s">
        <v>248</v>
      </c>
      <c r="AD2" s="1205"/>
      <c r="AE2" s="127"/>
      <c r="AF2" s="1205" t="s">
        <v>250</v>
      </c>
      <c r="AG2" s="1205"/>
      <c r="AH2" s="127"/>
      <c r="AI2" s="1205" t="s">
        <v>251</v>
      </c>
      <c r="AJ2" s="1205"/>
      <c r="AK2" s="127"/>
      <c r="AL2" s="1205" t="s">
        <v>209</v>
      </c>
      <c r="AM2" s="1205"/>
      <c r="AN2" s="127"/>
      <c r="AO2" s="1205" t="s">
        <v>253</v>
      </c>
      <c r="AP2" s="1205"/>
      <c r="AQ2" s="127"/>
      <c r="AR2" s="1205" t="s">
        <v>255</v>
      </c>
      <c r="AS2" s="1205"/>
      <c r="AT2" s="127"/>
      <c r="AU2" s="1205" t="s">
        <v>257</v>
      </c>
      <c r="AV2" s="1205"/>
      <c r="AW2" s="127"/>
      <c r="AX2" s="1205" t="s">
        <v>259</v>
      </c>
      <c r="AY2" s="1205"/>
      <c r="AZ2" s="127"/>
      <c r="BA2" s="1205" t="s">
        <v>215</v>
      </c>
      <c r="BB2" s="1205"/>
      <c r="BC2" s="127"/>
      <c r="BD2" s="1205" t="s">
        <v>261</v>
      </c>
      <c r="BE2" s="1205"/>
    </row>
    <row r="3" spans="1:58" x14ac:dyDescent="0.25">
      <c r="A3" s="1203"/>
      <c r="B3" s="1203"/>
      <c r="C3" s="1203"/>
      <c r="D3" s="1203"/>
      <c r="E3" s="1203"/>
      <c r="F3" s="1203"/>
      <c r="G3" s="1201"/>
      <c r="H3" s="1205" t="s">
        <v>560</v>
      </c>
      <c r="I3" s="1205"/>
      <c r="J3" s="127"/>
      <c r="K3" s="1205" t="s">
        <v>550</v>
      </c>
      <c r="L3" s="1205"/>
      <c r="M3" s="127"/>
      <c r="N3" s="1205" t="s">
        <v>550</v>
      </c>
      <c r="O3" s="1205"/>
      <c r="P3" s="127"/>
      <c r="Q3" s="1205" t="s">
        <v>550</v>
      </c>
      <c r="R3" s="1205"/>
      <c r="S3" s="127"/>
      <c r="T3" s="1205" t="s">
        <v>550</v>
      </c>
      <c r="U3" s="1205"/>
      <c r="V3" s="127"/>
      <c r="W3" s="1205" t="s">
        <v>542</v>
      </c>
      <c r="X3" s="1205"/>
      <c r="Y3" s="127"/>
      <c r="Z3" s="1205" t="s">
        <v>550</v>
      </c>
      <c r="AA3" s="1205"/>
      <c r="AB3" s="127"/>
      <c r="AC3" s="1205" t="s">
        <v>550</v>
      </c>
      <c r="AD3" s="1205"/>
      <c r="AE3" s="127"/>
      <c r="AF3" s="1205" t="s">
        <v>560</v>
      </c>
      <c r="AG3" s="1205"/>
      <c r="AH3" s="127"/>
      <c r="AI3" s="1205" t="s">
        <v>550</v>
      </c>
      <c r="AJ3" s="1205"/>
      <c r="AK3" s="127"/>
      <c r="AL3" s="1205" t="s">
        <v>542</v>
      </c>
      <c r="AM3" s="1205"/>
      <c r="AN3" s="127"/>
      <c r="AO3" s="1205" t="s">
        <v>550</v>
      </c>
      <c r="AP3" s="1205"/>
      <c r="AQ3" s="127"/>
      <c r="AR3" s="1205" t="s">
        <v>550</v>
      </c>
      <c r="AS3" s="1205"/>
      <c r="AT3" s="127"/>
      <c r="AU3" s="1205" t="s">
        <v>550</v>
      </c>
      <c r="AV3" s="1205"/>
      <c r="AW3" s="127"/>
      <c r="AX3" s="1205" t="s">
        <v>550</v>
      </c>
      <c r="AY3" s="1205"/>
      <c r="AZ3" s="127"/>
      <c r="BA3" s="1205" t="s">
        <v>542</v>
      </c>
      <c r="BB3" s="1205"/>
      <c r="BC3" s="127"/>
      <c r="BD3" s="1205" t="s">
        <v>560</v>
      </c>
      <c r="BE3" s="1205"/>
    </row>
    <row r="4" spans="1:58" x14ac:dyDescent="0.25">
      <c r="A4" s="1204"/>
      <c r="B4" s="1204"/>
      <c r="C4" s="1204"/>
      <c r="D4" s="1204"/>
      <c r="E4" s="1204"/>
      <c r="F4" s="1204"/>
      <c r="G4" s="1201"/>
      <c r="H4" s="16" t="s">
        <v>603</v>
      </c>
      <c r="I4" s="16" t="s">
        <v>604</v>
      </c>
      <c r="J4" s="104">
        <v>43465</v>
      </c>
      <c r="K4" s="16" t="s">
        <v>603</v>
      </c>
      <c r="L4" s="16" t="s">
        <v>604</v>
      </c>
      <c r="M4" s="104">
        <v>43465</v>
      </c>
      <c r="N4" s="16" t="s">
        <v>603</v>
      </c>
      <c r="O4" s="16" t="s">
        <v>604</v>
      </c>
      <c r="P4" s="104">
        <v>43465</v>
      </c>
      <c r="Q4" s="16" t="s">
        <v>603</v>
      </c>
      <c r="R4" s="16" t="s">
        <v>604</v>
      </c>
      <c r="S4" s="104">
        <v>43465</v>
      </c>
      <c r="T4" s="16" t="s">
        <v>603</v>
      </c>
      <c r="U4" s="16" t="s">
        <v>604</v>
      </c>
      <c r="V4" s="104">
        <v>43465</v>
      </c>
      <c r="W4" s="16" t="s">
        <v>603</v>
      </c>
      <c r="X4" s="16" t="s">
        <v>604</v>
      </c>
      <c r="Y4" s="104">
        <v>43465</v>
      </c>
      <c r="Z4" s="16" t="s">
        <v>603</v>
      </c>
      <c r="AA4" s="16" t="s">
        <v>604</v>
      </c>
      <c r="AB4" s="104">
        <v>43465</v>
      </c>
      <c r="AC4" s="16" t="s">
        <v>603</v>
      </c>
      <c r="AD4" s="16" t="s">
        <v>604</v>
      </c>
      <c r="AE4" s="104">
        <v>43465</v>
      </c>
      <c r="AF4" s="16" t="s">
        <v>603</v>
      </c>
      <c r="AG4" s="16" t="s">
        <v>604</v>
      </c>
      <c r="AH4" s="104">
        <v>43465</v>
      </c>
      <c r="AI4" s="16" t="s">
        <v>603</v>
      </c>
      <c r="AJ4" s="16" t="s">
        <v>604</v>
      </c>
      <c r="AK4" s="104">
        <v>43465</v>
      </c>
      <c r="AL4" s="16" t="s">
        <v>603</v>
      </c>
      <c r="AM4" s="16" t="s">
        <v>604</v>
      </c>
      <c r="AN4" s="104">
        <v>43465</v>
      </c>
      <c r="AO4" s="16" t="s">
        <v>603</v>
      </c>
      <c r="AP4" s="16" t="s">
        <v>604</v>
      </c>
      <c r="AQ4" s="104">
        <v>43465</v>
      </c>
      <c r="AR4" s="16" t="s">
        <v>603</v>
      </c>
      <c r="AS4" s="16" t="s">
        <v>604</v>
      </c>
      <c r="AT4" s="104">
        <v>43465</v>
      </c>
      <c r="AU4" s="16" t="s">
        <v>603</v>
      </c>
      <c r="AV4" s="16" t="s">
        <v>604</v>
      </c>
      <c r="AW4" s="104">
        <v>43465</v>
      </c>
      <c r="AX4" s="16" t="s">
        <v>603</v>
      </c>
      <c r="AY4" s="16" t="s">
        <v>604</v>
      </c>
      <c r="AZ4" s="104">
        <v>43465</v>
      </c>
      <c r="BA4" s="16" t="s">
        <v>603</v>
      </c>
      <c r="BB4" s="16" t="s">
        <v>604</v>
      </c>
      <c r="BC4" s="104">
        <v>43465</v>
      </c>
      <c r="BD4" s="16" t="s">
        <v>603</v>
      </c>
      <c r="BE4" s="16" t="s">
        <v>604</v>
      </c>
      <c r="BF4" s="104">
        <v>43465</v>
      </c>
    </row>
    <row r="5" spans="1:58" ht="38.25" x14ac:dyDescent="0.25">
      <c r="A5" s="15" t="s">
        <v>650</v>
      </c>
      <c r="B5" s="2" t="str">
        <f>VLOOKUP($A5,[2]Projekty!$A$2:$AR$1147,4,0)</f>
        <v>OPKZP-PO1-SC123-2015-8</v>
      </c>
      <c r="C5" s="2" t="str">
        <f>VLOOKUP($A5,[2]Projekty!$A$2:$AR$1147,6,0)</f>
        <v>SLOVENSKÝ VODOHOSPODÁRSKY PODNIK,  štátny podnik</v>
      </c>
      <c r="D5" s="2" t="str">
        <f>VLOOKUP($A5,[2]Projekty!$A$2:$AR$1147,7,0)</f>
        <v>Monitorovanie fyzikálno-chemických a biologických prvkov kvality vôd v roku 2015</v>
      </c>
      <c r="E5" s="2" t="str">
        <f>VLOOKUP($A5,[2]Projekty!$A$2:$AR$1147,9,0)</f>
        <v>všetky kraje</v>
      </c>
      <c r="F5" s="2" t="str">
        <f>VLOOKUP($A5,[2]Projekty!$A$2:$AR$1147,14,0)</f>
        <v>Riadne ukončený</v>
      </c>
      <c r="G5" s="109">
        <v>44196</v>
      </c>
      <c r="H5" s="20"/>
      <c r="I5" s="18"/>
      <c r="J5" s="18" t="str">
        <f>IF(H5="","",IF($F5="riadne ukončený",I5,IF($G5&lt;=J$4,H5,0)))</f>
        <v/>
      </c>
      <c r="K5" s="18"/>
      <c r="L5" s="18"/>
      <c r="M5" s="18" t="str">
        <f>IF(K5="","",IF($F5="riadne ukončený",L5,IF($G5&lt;=M$4,K5,0)))</f>
        <v/>
      </c>
      <c r="N5" s="18">
        <v>94954</v>
      </c>
      <c r="O5" s="106">
        <v>94954</v>
      </c>
      <c r="P5" s="18">
        <f>IF(N5="","",IF($F5="riadne ukončený",O5,IF($G5&lt;=P$4,N5,0)))</f>
        <v>94954</v>
      </c>
      <c r="Q5" s="18"/>
      <c r="R5" s="18"/>
      <c r="S5" s="18" t="str">
        <f>IF(Q5="","",IF($F5="riadne ukončený",R5,IF($G5&lt;=S$4,Q5,0)))</f>
        <v/>
      </c>
      <c r="T5" s="18">
        <v>4763</v>
      </c>
      <c r="U5" s="106">
        <v>4763</v>
      </c>
      <c r="V5" s="18">
        <f>IF(T5="","",IF($F5="riadne ukončený",U5,IF($G5&lt;=V$4,T5,0)))</f>
        <v>4763</v>
      </c>
      <c r="W5" s="18"/>
      <c r="X5" s="18"/>
      <c r="Y5" s="18" t="str">
        <f>IF(W5="","",IF($F5="riadne ukončený",X5,IF($G5&lt;=Y$4,W5,0)))</f>
        <v/>
      </c>
      <c r="Z5" s="18"/>
      <c r="AA5" s="18"/>
      <c r="AB5" s="18" t="str">
        <f>IF(Z5="","",IF($F5="riadne ukončený",AA5,IF($G5&lt;=AB$4,Z5,0)))</f>
        <v/>
      </c>
      <c r="AC5" s="18">
        <v>308</v>
      </c>
      <c r="AD5" s="106">
        <v>308</v>
      </c>
      <c r="AE5" s="18">
        <f>IF(AC5="","",IF($F5="riadne ukončený",AD5,IF($G5&lt;=AE$4,AC5,0)))</f>
        <v>308</v>
      </c>
      <c r="AF5" s="18"/>
      <c r="AG5" s="18"/>
      <c r="AH5" s="18" t="str">
        <f>IF(AF5="","",IF($F5="riadne ukončený",AG5,IF($G5&lt;=AH$4,AF5,0)))</f>
        <v/>
      </c>
      <c r="AI5" s="20"/>
      <c r="AJ5" s="18"/>
      <c r="AK5" s="18" t="str">
        <f>IF(AI5="","",IF($F5="riadne ukončený",AJ5,IF($G5&lt;=AK$4,AI5,0)))</f>
        <v/>
      </c>
      <c r="AL5" s="18"/>
      <c r="AM5" s="18"/>
      <c r="AN5" s="18" t="str">
        <f>IF(AL5="","",IF($F5="riadne ukončený",AM5,IF($G5&lt;=AN$4,AL5,0)))</f>
        <v/>
      </c>
      <c r="AO5" s="18"/>
      <c r="AP5" s="18"/>
      <c r="AQ5" s="18" t="str">
        <f>IF(AO5="","",IF($F5="riadne ukončený",AP5,IF($G5&lt;=AQ$4,AO5,0)))</f>
        <v/>
      </c>
      <c r="AR5" s="18"/>
      <c r="AS5" s="18"/>
      <c r="AT5" s="18" t="str">
        <f>IF(AR5="","",IF($F5="riadne ukončený",AS5,IF($G5&lt;=AT$4,AR5,0)))</f>
        <v/>
      </c>
      <c r="AU5" s="18"/>
      <c r="AV5" s="18"/>
      <c r="AW5" s="18" t="str">
        <f>IF(AU5="","",IF($F5="riadne ukončený",AV5,IF($G5&lt;=AW$4,AU5,0)))</f>
        <v/>
      </c>
      <c r="AX5" s="18"/>
      <c r="AY5" s="18"/>
      <c r="AZ5" s="18" t="str">
        <f>IF(AX5="","",IF($F5="riadne ukončený",AY5,IF($G5&lt;=AZ$4,AX5,0)))</f>
        <v/>
      </c>
      <c r="BA5" s="18"/>
      <c r="BB5" s="18"/>
      <c r="BC5" s="18" t="str">
        <f>IF(BA5="","",IF($F5="riadne ukončený",BB5,IF($G5&lt;=BC$4,BA5,0)))</f>
        <v/>
      </c>
      <c r="BD5" s="18"/>
      <c r="BE5" s="18"/>
      <c r="BF5" s="18" t="str">
        <f>IF(BD5="","",IF($F5="riadne ukončený",BE5,IF($G5&lt;=BF$4,BD5,0)))</f>
        <v/>
      </c>
    </row>
    <row r="6" spans="1:58" ht="25.5" x14ac:dyDescent="0.25">
      <c r="A6" s="15" t="s">
        <v>651</v>
      </c>
      <c r="B6" s="2" t="str">
        <f>VLOOKUP($A6,[2]Projekty!$A$2:$AR$1147,4,0)</f>
        <v>OPKZP-PO1-SC123-2015-8</v>
      </c>
      <c r="C6" s="2" t="str">
        <f>VLOOKUP($A6,[2]Projekty!$A$2:$AR$1147,6,0)</f>
        <v>Výskumný ústav vodného hospodárstva</v>
      </c>
      <c r="D6" s="2" t="str">
        <f>VLOOKUP($A6,[2]Projekty!$A$2:$AR$1147,7,0)</f>
        <v>Monitorovanie a hodnotenie stavu vôd – III. etapa</v>
      </c>
      <c r="E6" s="2" t="str">
        <f>VLOOKUP($A6,[2]Projekty!$A$2:$AR$1147,9,0)</f>
        <v>všetky kraje</v>
      </c>
      <c r="F6" s="2" t="str">
        <f>VLOOKUP($A6,[2]Projekty!$A$2:$AR$1147,14,0)</f>
        <v>Realizácia</v>
      </c>
      <c r="G6" s="61">
        <v>44196</v>
      </c>
      <c r="H6" s="20"/>
      <c r="I6" s="18"/>
      <c r="J6" s="18" t="str">
        <f t="shared" ref="J6:J8" si="0">IF(H6="","",IF($F6="riadne ukončený",I6,IF($G6&lt;=J$4,H6,0)))</f>
        <v/>
      </c>
      <c r="K6" s="18"/>
      <c r="L6" s="18"/>
      <c r="M6" s="18" t="str">
        <f t="shared" ref="M6:M8" si="1">IF(K6="","",IF($F6="riadne ukončený",L6,IF($G6&lt;=M$4,K6,0)))</f>
        <v/>
      </c>
      <c r="N6" s="18"/>
      <c r="O6" s="18"/>
      <c r="P6" s="18" t="str">
        <f t="shared" ref="P6:P8" si="2">IF(N6="","",IF($F6="riadne ukončený",O6,IF($G6&lt;=P$4,N6,0)))</f>
        <v/>
      </c>
      <c r="Q6" s="18">
        <v>105830</v>
      </c>
      <c r="R6" s="18">
        <v>13280</v>
      </c>
      <c r="S6" s="18">
        <f t="shared" ref="S6:S8" si="3">IF(Q6="","",IF($F6="riadne ukončený",R6,IF($G6&lt;=S$4,Q6,0)))</f>
        <v>0</v>
      </c>
      <c r="T6" s="18">
        <v>271179</v>
      </c>
      <c r="U6" s="18">
        <v>332871</v>
      </c>
      <c r="V6" s="18">
        <f t="shared" ref="V6:V8" si="4">IF(T6="","",IF($F6="riadne ukončený",U6,IF($G6&lt;=V$4,T6,0)))</f>
        <v>0</v>
      </c>
      <c r="W6" s="18"/>
      <c r="X6" s="18"/>
      <c r="Y6" s="18" t="str">
        <f t="shared" ref="Y6:Y8" si="5">IF(W6="","",IF($F6="riadne ukončený",X6,IF($G6&lt;=Y$4,W6,0)))</f>
        <v/>
      </c>
      <c r="Z6" s="18">
        <v>49</v>
      </c>
      <c r="AA6" s="18">
        <v>49</v>
      </c>
      <c r="AB6" s="18">
        <f t="shared" ref="AB6:AB8" si="6">IF(Z6="","",IF($F6="riadne ukončený",AA6,IF($G6&lt;=AB$4,Z6,0)))</f>
        <v>0</v>
      </c>
      <c r="AC6" s="18">
        <v>607</v>
      </c>
      <c r="AD6" s="18">
        <v>552</v>
      </c>
      <c r="AE6" s="18">
        <f t="shared" ref="AE6:AE8" si="7">IF(AC6="","",IF($F6="riadne ukončený",AD6,IF($G6&lt;=AE$4,AC6,0)))</f>
        <v>0</v>
      </c>
      <c r="AF6" s="18"/>
      <c r="AG6" s="18"/>
      <c r="AH6" s="18" t="str">
        <f t="shared" ref="AH6:AH8" si="8">IF(AF6="","",IF($F6="riadne ukončený",AG6,IF($G6&lt;=AH$4,AF6,0)))</f>
        <v/>
      </c>
      <c r="AI6" s="20"/>
      <c r="AJ6" s="18"/>
      <c r="AK6" s="18" t="str">
        <f t="shared" ref="AK6:AK8" si="9">IF(AI6="","",IF($F6="riadne ukončený",AJ6,IF($G6&lt;=AK$4,AI6,0)))</f>
        <v/>
      </c>
      <c r="AL6" s="18"/>
      <c r="AM6" s="18"/>
      <c r="AN6" s="18" t="str">
        <f t="shared" ref="AN6:AN8" si="10">IF(AL6="","",IF($F6="riadne ukončený",AM6,IF($G6&lt;=AN$4,AL6,0)))</f>
        <v/>
      </c>
      <c r="AO6" s="18"/>
      <c r="AP6" s="18"/>
      <c r="AQ6" s="18" t="str">
        <f t="shared" ref="AQ6:AQ8" si="11">IF(AO6="","",IF($F6="riadne ukončený",AP6,IF($G6&lt;=AQ$4,AO6,0)))</f>
        <v/>
      </c>
      <c r="AR6" s="18"/>
      <c r="AS6" s="18"/>
      <c r="AT6" s="18" t="str">
        <f t="shared" ref="AT6:AT8" si="12">IF(AR6="","",IF($F6="riadne ukončený",AS6,IF($G6&lt;=AT$4,AR6,0)))</f>
        <v/>
      </c>
      <c r="AU6" s="18">
        <v>49</v>
      </c>
      <c r="AV6" s="18">
        <v>49</v>
      </c>
      <c r="AW6" s="18">
        <f t="shared" ref="AW6:AW8" si="13">IF(AU6="","",IF($F6="riadne ukončený",AV6,IF($G6&lt;=AW$4,AU6,0)))</f>
        <v>0</v>
      </c>
      <c r="AX6" s="18">
        <v>1510</v>
      </c>
      <c r="AY6" s="18">
        <v>273</v>
      </c>
      <c r="AZ6" s="18">
        <f t="shared" ref="AZ6:AZ8" si="14">IF(AX6="","",IF($F6="riadne ukončený",AY6,IF($G6&lt;=AZ$4,AX6,0)))</f>
        <v>0</v>
      </c>
      <c r="BA6" s="18"/>
      <c r="BB6" s="18"/>
      <c r="BC6" s="18" t="str">
        <f t="shared" ref="BC6:BC8" si="15">IF(BA6="","",IF($F6="riadne ukončený",BB6,IF($G6&lt;=BC$4,BA6,0)))</f>
        <v/>
      </c>
      <c r="BD6" s="18"/>
      <c r="BE6" s="18"/>
      <c r="BF6" s="18" t="str">
        <f t="shared" ref="BF6:BF8" si="16">IF(BD6="","",IF($F6="riadne ukončený",BE6,IF($G6&lt;=BF$4,BD6,0)))</f>
        <v/>
      </c>
    </row>
    <row r="7" spans="1:58" ht="25.5" x14ac:dyDescent="0.25">
      <c r="A7" s="15" t="s">
        <v>652</v>
      </c>
      <c r="B7" s="2" t="str">
        <f>VLOOKUP($A7,[2]Projekty!$A$2:$AR$1147,4,0)</f>
        <v>OPKZP-PO1-SC123-2015-8</v>
      </c>
      <c r="C7" s="2" t="str">
        <f>VLOOKUP($A7,[2]Projekty!$A$2:$AR$1147,6,0)</f>
        <v>Štátny geologický ústav Dionýza Štúra</v>
      </c>
      <c r="D7" s="2" t="str">
        <f>VLOOKUP($A7,[2]Projekty!$A$2:$AR$1147,7,0)</f>
        <v>Monitorovanie chemického stavu a hodnotenie kvality podzemných vôd Slovenskej republiky</v>
      </c>
      <c r="E7" s="2" t="str">
        <f>VLOOKUP($A7,[2]Projekty!$A$2:$AR$1147,9,0)</f>
        <v>všetky kraje</v>
      </c>
      <c r="F7" s="2" t="str">
        <f>VLOOKUP($A7,[2]Projekty!$A$2:$AR$1147,14,0)</f>
        <v>Realizácia</v>
      </c>
      <c r="G7" s="61">
        <v>44196</v>
      </c>
      <c r="H7" s="20"/>
      <c r="I7" s="18"/>
      <c r="J7" s="18" t="str">
        <f t="shared" si="0"/>
        <v/>
      </c>
      <c r="K7" s="18"/>
      <c r="L7" s="18"/>
      <c r="M7" s="18" t="str">
        <f t="shared" si="1"/>
        <v/>
      </c>
      <c r="N7" s="18"/>
      <c r="O7" s="18"/>
      <c r="P7" s="18" t="str">
        <f t="shared" si="2"/>
        <v/>
      </c>
      <c r="Q7" s="18">
        <v>6360</v>
      </c>
      <c r="R7" s="18">
        <v>2200</v>
      </c>
      <c r="S7" s="18">
        <f t="shared" si="3"/>
        <v>0</v>
      </c>
      <c r="T7" s="18"/>
      <c r="U7" s="18"/>
      <c r="V7" s="18" t="str">
        <f t="shared" si="4"/>
        <v/>
      </c>
      <c r="W7" s="18"/>
      <c r="X7" s="18"/>
      <c r="Y7" s="18" t="str">
        <f t="shared" si="5"/>
        <v/>
      </c>
      <c r="Z7" s="18">
        <v>73</v>
      </c>
      <c r="AA7" s="18">
        <v>73</v>
      </c>
      <c r="AB7" s="18">
        <f t="shared" si="6"/>
        <v>0</v>
      </c>
      <c r="AC7" s="18"/>
      <c r="AD7" s="18"/>
      <c r="AE7" s="18" t="str">
        <f t="shared" si="7"/>
        <v/>
      </c>
      <c r="AF7" s="18"/>
      <c r="AG7" s="18"/>
      <c r="AH7" s="18" t="str">
        <f t="shared" si="8"/>
        <v/>
      </c>
      <c r="AI7" s="20"/>
      <c r="AJ7" s="18"/>
      <c r="AK7" s="18" t="str">
        <f t="shared" si="9"/>
        <v/>
      </c>
      <c r="AL7" s="18"/>
      <c r="AM7" s="18"/>
      <c r="AN7" s="18" t="str">
        <f t="shared" si="10"/>
        <v/>
      </c>
      <c r="AO7" s="18"/>
      <c r="AP7" s="18"/>
      <c r="AQ7" s="18" t="str">
        <f t="shared" si="11"/>
        <v/>
      </c>
      <c r="AR7" s="18"/>
      <c r="AS7" s="18"/>
      <c r="AT7" s="18" t="str">
        <f t="shared" si="12"/>
        <v/>
      </c>
      <c r="AU7" s="18">
        <v>73</v>
      </c>
      <c r="AV7" s="18"/>
      <c r="AW7" s="18">
        <f t="shared" si="13"/>
        <v>0</v>
      </c>
      <c r="AX7" s="18"/>
      <c r="AY7" s="18"/>
      <c r="AZ7" s="18" t="str">
        <f t="shared" si="14"/>
        <v/>
      </c>
      <c r="BA7" s="18"/>
      <c r="BB7" s="18"/>
      <c r="BC7" s="18" t="str">
        <f t="shared" si="15"/>
        <v/>
      </c>
      <c r="BD7" s="18"/>
      <c r="BE7" s="18"/>
      <c r="BF7" s="18" t="str">
        <f t="shared" si="16"/>
        <v/>
      </c>
    </row>
    <row r="8" spans="1:58" ht="38.25" x14ac:dyDescent="0.25">
      <c r="A8" s="15" t="s">
        <v>1007</v>
      </c>
      <c r="B8" s="2" t="str">
        <f>VLOOKUP($A8,[2]Projekty!$A$2:$AR$1147,4,0)</f>
        <v>OPKZP-PO1-SC123-2015-8</v>
      </c>
      <c r="C8" s="2" t="str">
        <f>VLOOKUP($A8,[2]Projekty!$A$2:$AR$1147,6,0)</f>
        <v>SLOVENSKÝ VODOHOSPODÁRSKY PODNIK, štátny podnik</v>
      </c>
      <c r="D8" s="2" t="str">
        <f>VLOOKUP($A8,[2]Projekty!$A$2:$AR$1147,7,0)</f>
        <v>Monitorovanie fyzikálno-chemických a biologických prvkov kvality vôd v rokoch 2016 - 2020</v>
      </c>
      <c r="E8" s="2" t="str">
        <f>VLOOKUP($A8,[2]Projekty!$A$2:$AR$1147,9,0)</f>
        <v>všetky kraje</v>
      </c>
      <c r="F8" s="2" t="str">
        <f>VLOOKUP($A8,[2]Projekty!$A$2:$AR$1147,14,0)</f>
        <v>Realizácia</v>
      </c>
      <c r="G8" s="61">
        <v>44196</v>
      </c>
      <c r="H8" s="20"/>
      <c r="I8" s="18"/>
      <c r="J8" s="18" t="str">
        <f t="shared" si="0"/>
        <v/>
      </c>
      <c r="K8" s="18"/>
      <c r="L8" s="18"/>
      <c r="M8" s="18" t="str">
        <f t="shared" si="1"/>
        <v/>
      </c>
      <c r="N8" s="18"/>
      <c r="O8" s="18"/>
      <c r="P8" s="18" t="str">
        <f t="shared" si="2"/>
        <v/>
      </c>
      <c r="Q8" s="18"/>
      <c r="R8" s="18"/>
      <c r="S8" s="18" t="str">
        <f t="shared" si="3"/>
        <v/>
      </c>
      <c r="T8" s="18">
        <v>499414</v>
      </c>
      <c r="U8" s="18">
        <v>242826</v>
      </c>
      <c r="V8" s="18">
        <f t="shared" si="4"/>
        <v>0</v>
      </c>
      <c r="W8" s="18"/>
      <c r="X8" s="18"/>
      <c r="Y8" s="18" t="str">
        <f t="shared" si="5"/>
        <v/>
      </c>
      <c r="Z8" s="18"/>
      <c r="AA8" s="18"/>
      <c r="AB8" s="18" t="str">
        <f t="shared" si="6"/>
        <v/>
      </c>
      <c r="AC8" s="18">
        <v>571</v>
      </c>
      <c r="AD8" s="18">
        <v>544</v>
      </c>
      <c r="AE8" s="18">
        <f t="shared" si="7"/>
        <v>0</v>
      </c>
      <c r="AF8" s="18"/>
      <c r="AG8" s="18"/>
      <c r="AH8" s="18" t="str">
        <f t="shared" si="8"/>
        <v/>
      </c>
      <c r="AI8" s="20"/>
      <c r="AJ8" s="18"/>
      <c r="AK8" s="18" t="str">
        <f t="shared" si="9"/>
        <v/>
      </c>
      <c r="AL8" s="18"/>
      <c r="AM8" s="18"/>
      <c r="AN8" s="18" t="str">
        <f t="shared" si="10"/>
        <v/>
      </c>
      <c r="AO8" s="18"/>
      <c r="AP8" s="18"/>
      <c r="AQ8" s="18" t="str">
        <f t="shared" si="11"/>
        <v/>
      </c>
      <c r="AR8" s="18"/>
      <c r="AS8" s="18"/>
      <c r="AT8" s="18" t="str">
        <f t="shared" si="12"/>
        <v/>
      </c>
      <c r="AU8" s="18"/>
      <c r="AV8" s="18"/>
      <c r="AW8" s="18" t="str">
        <f t="shared" si="13"/>
        <v/>
      </c>
      <c r="AX8" s="18"/>
      <c r="AY8" s="18"/>
      <c r="AZ8" s="18" t="str">
        <f t="shared" si="14"/>
        <v/>
      </c>
      <c r="BA8" s="18"/>
      <c r="BB8" s="18"/>
      <c r="BC8" s="18" t="str">
        <f t="shared" si="15"/>
        <v/>
      </c>
      <c r="BD8" s="18"/>
      <c r="BE8" s="18"/>
      <c r="BF8" s="18" t="str">
        <f t="shared" si="16"/>
        <v/>
      </c>
    </row>
    <row r="9" spans="1:58" x14ac:dyDescent="0.25">
      <c r="H9" s="18">
        <f t="shared" ref="H9" si="17">SUM(H5:H8)</f>
        <v>0</v>
      </c>
      <c r="I9" s="18">
        <f t="shared" ref="I9:BF9" si="18">SUM(I5:I8)</f>
        <v>0</v>
      </c>
      <c r="J9" s="18">
        <f t="shared" si="18"/>
        <v>0</v>
      </c>
      <c r="K9" s="18">
        <f t="shared" si="18"/>
        <v>0</v>
      </c>
      <c r="L9" s="18">
        <f t="shared" si="18"/>
        <v>0</v>
      </c>
      <c r="M9" s="18">
        <f t="shared" si="18"/>
        <v>0</v>
      </c>
      <c r="N9" s="18">
        <f t="shared" si="18"/>
        <v>94954</v>
      </c>
      <c r="O9" s="18">
        <f t="shared" si="18"/>
        <v>94954</v>
      </c>
      <c r="P9" s="18">
        <f t="shared" si="18"/>
        <v>94954</v>
      </c>
      <c r="Q9" s="18">
        <f t="shared" si="18"/>
        <v>112190</v>
      </c>
      <c r="R9" s="18">
        <f t="shared" si="18"/>
        <v>15480</v>
      </c>
      <c r="S9" s="18">
        <f t="shared" si="18"/>
        <v>0</v>
      </c>
      <c r="T9" s="18">
        <f t="shared" si="18"/>
        <v>775356</v>
      </c>
      <c r="U9" s="18">
        <f t="shared" si="18"/>
        <v>580460</v>
      </c>
      <c r="V9" s="18">
        <f t="shared" si="18"/>
        <v>4763</v>
      </c>
      <c r="W9" s="18">
        <f t="shared" si="18"/>
        <v>0</v>
      </c>
      <c r="X9" s="18">
        <f t="shared" si="18"/>
        <v>0</v>
      </c>
      <c r="Y9" s="18">
        <f t="shared" si="18"/>
        <v>0</v>
      </c>
      <c r="Z9" s="18">
        <f t="shared" si="18"/>
        <v>122</v>
      </c>
      <c r="AA9" s="18">
        <f t="shared" si="18"/>
        <v>122</v>
      </c>
      <c r="AB9" s="18">
        <f t="shared" si="18"/>
        <v>0</v>
      </c>
      <c r="AC9" s="18">
        <f t="shared" si="18"/>
        <v>1486</v>
      </c>
      <c r="AD9" s="18">
        <f t="shared" si="18"/>
        <v>1404</v>
      </c>
      <c r="AE9" s="18">
        <f t="shared" si="18"/>
        <v>308</v>
      </c>
      <c r="AF9" s="18">
        <f t="shared" si="18"/>
        <v>0</v>
      </c>
      <c r="AG9" s="18">
        <f t="shared" si="18"/>
        <v>0</v>
      </c>
      <c r="AH9" s="18">
        <f t="shared" si="18"/>
        <v>0</v>
      </c>
      <c r="AI9" s="18">
        <f t="shared" si="18"/>
        <v>0</v>
      </c>
      <c r="AJ9" s="18">
        <f t="shared" si="18"/>
        <v>0</v>
      </c>
      <c r="AK9" s="18">
        <f t="shared" si="18"/>
        <v>0</v>
      </c>
      <c r="AL9" s="18">
        <f t="shared" si="18"/>
        <v>0</v>
      </c>
      <c r="AM9" s="18">
        <f t="shared" si="18"/>
        <v>0</v>
      </c>
      <c r="AN9" s="18">
        <f t="shared" si="18"/>
        <v>0</v>
      </c>
      <c r="AO9" s="18">
        <f t="shared" si="18"/>
        <v>0</v>
      </c>
      <c r="AP9" s="18">
        <f t="shared" si="18"/>
        <v>0</v>
      </c>
      <c r="AQ9" s="18">
        <f t="shared" si="18"/>
        <v>0</v>
      </c>
      <c r="AR9" s="18">
        <f t="shared" si="18"/>
        <v>0</v>
      </c>
      <c r="AS9" s="18">
        <f t="shared" si="18"/>
        <v>0</v>
      </c>
      <c r="AT9" s="18">
        <f t="shared" si="18"/>
        <v>0</v>
      </c>
      <c r="AU9" s="18">
        <f t="shared" si="18"/>
        <v>122</v>
      </c>
      <c r="AV9" s="18">
        <f t="shared" si="18"/>
        <v>49</v>
      </c>
      <c r="AW9" s="18">
        <f t="shared" si="18"/>
        <v>0</v>
      </c>
      <c r="AX9" s="18">
        <f t="shared" si="18"/>
        <v>1510</v>
      </c>
      <c r="AY9" s="18">
        <f t="shared" si="18"/>
        <v>273</v>
      </c>
      <c r="AZ9" s="18">
        <f t="shared" si="18"/>
        <v>0</v>
      </c>
      <c r="BA9" s="18">
        <f t="shared" si="18"/>
        <v>0</v>
      </c>
      <c r="BB9" s="18">
        <f t="shared" si="18"/>
        <v>0</v>
      </c>
      <c r="BC9" s="18">
        <f t="shared" si="18"/>
        <v>0</v>
      </c>
      <c r="BD9" s="18">
        <f t="shared" si="18"/>
        <v>0</v>
      </c>
      <c r="BE9" s="18">
        <f t="shared" si="18"/>
        <v>0</v>
      </c>
      <c r="BF9" s="18">
        <f t="shared" si="18"/>
        <v>0</v>
      </c>
    </row>
    <row r="10" spans="1:58" x14ac:dyDescent="0.25">
      <c r="H10" s="18">
        <f t="shared" ref="H10" si="19">COUNT(H5:H8)</f>
        <v>0</v>
      </c>
      <c r="I10" s="18">
        <f t="shared" ref="I10:BF10" si="20">COUNT(I5:I8)</f>
        <v>0</v>
      </c>
      <c r="J10" s="18">
        <f t="shared" si="20"/>
        <v>0</v>
      </c>
      <c r="K10" s="18">
        <f t="shared" si="20"/>
        <v>0</v>
      </c>
      <c r="L10" s="18">
        <f t="shared" si="20"/>
        <v>0</v>
      </c>
      <c r="M10" s="18">
        <f t="shared" si="20"/>
        <v>0</v>
      </c>
      <c r="N10" s="18">
        <f t="shared" si="20"/>
        <v>1</v>
      </c>
      <c r="O10" s="18">
        <f t="shared" si="20"/>
        <v>1</v>
      </c>
      <c r="P10" s="18">
        <f t="shared" si="20"/>
        <v>1</v>
      </c>
      <c r="Q10" s="18">
        <f t="shared" si="20"/>
        <v>2</v>
      </c>
      <c r="R10" s="18">
        <f t="shared" si="20"/>
        <v>2</v>
      </c>
      <c r="S10" s="18">
        <f t="shared" si="20"/>
        <v>2</v>
      </c>
      <c r="T10" s="18">
        <f t="shared" si="20"/>
        <v>3</v>
      </c>
      <c r="U10" s="18">
        <f t="shared" si="20"/>
        <v>3</v>
      </c>
      <c r="V10" s="18">
        <f t="shared" si="20"/>
        <v>3</v>
      </c>
      <c r="W10" s="18">
        <f t="shared" si="20"/>
        <v>0</v>
      </c>
      <c r="X10" s="18">
        <f t="shared" si="20"/>
        <v>0</v>
      </c>
      <c r="Y10" s="18">
        <f t="shared" si="20"/>
        <v>0</v>
      </c>
      <c r="Z10" s="18">
        <f t="shared" si="20"/>
        <v>2</v>
      </c>
      <c r="AA10" s="18">
        <f t="shared" si="20"/>
        <v>2</v>
      </c>
      <c r="AB10" s="18">
        <f t="shared" si="20"/>
        <v>2</v>
      </c>
      <c r="AC10" s="18">
        <f t="shared" si="20"/>
        <v>3</v>
      </c>
      <c r="AD10" s="18">
        <f t="shared" si="20"/>
        <v>3</v>
      </c>
      <c r="AE10" s="18">
        <f t="shared" si="20"/>
        <v>3</v>
      </c>
      <c r="AF10" s="18">
        <f t="shared" si="20"/>
        <v>0</v>
      </c>
      <c r="AG10" s="18">
        <f t="shared" si="20"/>
        <v>0</v>
      </c>
      <c r="AH10" s="18">
        <f t="shared" si="20"/>
        <v>0</v>
      </c>
      <c r="AI10" s="18">
        <f t="shared" si="20"/>
        <v>0</v>
      </c>
      <c r="AJ10" s="18">
        <f t="shared" si="20"/>
        <v>0</v>
      </c>
      <c r="AK10" s="18">
        <f t="shared" si="20"/>
        <v>0</v>
      </c>
      <c r="AL10" s="18">
        <f t="shared" si="20"/>
        <v>0</v>
      </c>
      <c r="AM10" s="18">
        <f t="shared" si="20"/>
        <v>0</v>
      </c>
      <c r="AN10" s="18">
        <f t="shared" si="20"/>
        <v>0</v>
      </c>
      <c r="AO10" s="18">
        <f t="shared" si="20"/>
        <v>0</v>
      </c>
      <c r="AP10" s="18">
        <f t="shared" si="20"/>
        <v>0</v>
      </c>
      <c r="AQ10" s="18">
        <f t="shared" si="20"/>
        <v>0</v>
      </c>
      <c r="AR10" s="18">
        <f t="shared" si="20"/>
        <v>0</v>
      </c>
      <c r="AS10" s="18">
        <f t="shared" si="20"/>
        <v>0</v>
      </c>
      <c r="AT10" s="18">
        <f t="shared" si="20"/>
        <v>0</v>
      </c>
      <c r="AU10" s="18">
        <f t="shared" si="20"/>
        <v>2</v>
      </c>
      <c r="AV10" s="18">
        <f t="shared" si="20"/>
        <v>1</v>
      </c>
      <c r="AW10" s="18">
        <f t="shared" si="20"/>
        <v>2</v>
      </c>
      <c r="AX10" s="18">
        <f t="shared" si="20"/>
        <v>1</v>
      </c>
      <c r="AY10" s="18">
        <f t="shared" si="20"/>
        <v>1</v>
      </c>
      <c r="AZ10" s="18">
        <f t="shared" si="20"/>
        <v>1</v>
      </c>
      <c r="BA10" s="18">
        <f t="shared" si="20"/>
        <v>0</v>
      </c>
      <c r="BB10" s="18">
        <f t="shared" si="20"/>
        <v>0</v>
      </c>
      <c r="BC10" s="18">
        <f t="shared" si="20"/>
        <v>0</v>
      </c>
      <c r="BD10" s="18">
        <f t="shared" si="20"/>
        <v>0</v>
      </c>
      <c r="BE10" s="18">
        <f t="shared" si="20"/>
        <v>0</v>
      </c>
      <c r="BF10" s="18">
        <f t="shared" si="20"/>
        <v>0</v>
      </c>
    </row>
  </sheetData>
  <mergeCells count="58">
    <mergeCell ref="G1:G4"/>
    <mergeCell ref="A1:A4"/>
    <mergeCell ref="B1:B4"/>
    <mergeCell ref="C1:C4"/>
    <mergeCell ref="D1:D4"/>
    <mergeCell ref="F1:F4"/>
    <mergeCell ref="E1:E4"/>
    <mergeCell ref="K1:L1"/>
    <mergeCell ref="N1:O1"/>
    <mergeCell ref="Q1:R1"/>
    <mergeCell ref="T1:U1"/>
    <mergeCell ref="W1:X1"/>
    <mergeCell ref="H2:I2"/>
    <mergeCell ref="K2:L2"/>
    <mergeCell ref="N2:O2"/>
    <mergeCell ref="Q2:R2"/>
    <mergeCell ref="T2:U2"/>
    <mergeCell ref="W3:X3"/>
    <mergeCell ref="Z3:AA3"/>
    <mergeCell ref="AC3:AD3"/>
    <mergeCell ref="AF3:AG3"/>
    <mergeCell ref="AC1:AD1"/>
    <mergeCell ref="AF1:AG1"/>
    <mergeCell ref="W2:X2"/>
    <mergeCell ref="Z2:AA2"/>
    <mergeCell ref="AC2:AD2"/>
    <mergeCell ref="Z1:AA1"/>
    <mergeCell ref="BD3:BE3"/>
    <mergeCell ref="BD2:BE2"/>
    <mergeCell ref="BD1:BE1"/>
    <mergeCell ref="AR3:AS3"/>
    <mergeCell ref="AR2:AS2"/>
    <mergeCell ref="AR1:AS1"/>
    <mergeCell ref="AU3:AV3"/>
    <mergeCell ref="AU2:AV2"/>
    <mergeCell ref="AU1:AV1"/>
    <mergeCell ref="AX3:AY3"/>
    <mergeCell ref="AX2:AY2"/>
    <mergeCell ref="AX1:AY1"/>
    <mergeCell ref="BA3:BB3"/>
    <mergeCell ref="BA2:BB2"/>
    <mergeCell ref="BA1:BB1"/>
    <mergeCell ref="AL3:AM3"/>
    <mergeCell ref="AO3:AP3"/>
    <mergeCell ref="AO2:AP2"/>
    <mergeCell ref="AO1:AP1"/>
    <mergeCell ref="H1:I1"/>
    <mergeCell ref="AI3:AJ3"/>
    <mergeCell ref="AI2:AJ2"/>
    <mergeCell ref="AI1:AJ1"/>
    <mergeCell ref="AL1:AM1"/>
    <mergeCell ref="AL2:AM2"/>
    <mergeCell ref="AF2:AG2"/>
    <mergeCell ref="H3:I3"/>
    <mergeCell ref="K3:L3"/>
    <mergeCell ref="N3:O3"/>
    <mergeCell ref="Q3:R3"/>
    <mergeCell ref="T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26</vt:i4>
      </vt:variant>
    </vt:vector>
  </HeadingPairs>
  <TitlesOfParts>
    <vt:vector size="26" baseType="lpstr">
      <vt:lpstr>Výsledok programu</vt:lpstr>
      <vt:lpstr>Výstup programu</vt:lpstr>
      <vt:lpstr>Výkonnostný rámec 12-2017</vt:lpstr>
      <vt:lpstr>Vystup programu 12-2017</vt:lpstr>
      <vt:lpstr>Výstup projektov 12-2017</vt:lpstr>
      <vt:lpstr>Vystup programu 06-2017</vt:lpstr>
      <vt:lpstr>1.1.1</vt:lpstr>
      <vt:lpstr>1.2.1+1.2.2</vt:lpstr>
      <vt:lpstr>1.2.3</vt:lpstr>
      <vt:lpstr>1.4.1</vt:lpstr>
      <vt:lpstr>1.4.2</vt:lpstr>
      <vt:lpstr>3.1.1</vt:lpstr>
      <vt:lpstr>3.1.3</vt:lpstr>
      <vt:lpstr>4.1.1</vt:lpstr>
      <vt:lpstr>4.1.2</vt:lpstr>
      <vt:lpstr>4.2.1</vt:lpstr>
      <vt:lpstr>4.3.1</vt:lpstr>
      <vt:lpstr>4.4.1</vt:lpstr>
      <vt:lpstr>4.5.1</vt:lpstr>
      <vt:lpstr>5.1.1 - MRR</vt:lpstr>
      <vt:lpstr>5.1.1 - VRR</vt:lpstr>
      <vt:lpstr>5.1.2 - MRR</vt:lpstr>
      <vt:lpstr>5.1.2 - VRR</vt:lpstr>
      <vt:lpstr>Hárok1</vt:lpstr>
      <vt:lpstr>výročné správy 2016</vt:lpstr>
      <vt:lpstr>sumár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2019-02-12T11:26:51Z</dcterms:modified>
</cp:coreProperties>
</file>