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ento_zošit" defaultThemeVersion="124226"/>
  <workbookProtection workbookAlgorithmName="SHA-512" workbookHashValue="M0igkstaHM+Q1dJ1qmslcxRVi7GCIWLckzzusxk/fsx2/G+OUM6GoadZkRbcmg01I21EA5UoxuhC70kUTi5Elw==" workbookSaltValue="E9VTkvuSfUn1ztdwrpq00g==" workbookSpinCount="100000" lockStructure="1"/>
  <bookViews>
    <workbookView xWindow="0" yWindow="0" windowWidth="15600" windowHeight="11760" tabRatio="757" firstSheet="16" activeTab="23"/>
  </bookViews>
  <sheets>
    <sheet name="VYSVETLIVKY" sheetId="34" r:id="rId1"/>
    <sheet name="Vykon.ramec" sheetId="37" r:id="rId2"/>
    <sheet name="Vystup. ukazovatele programu" sheetId="36" r:id="rId3"/>
    <sheet name="Vystup. ukazovatele projektov" sheetId="3" r:id="rId4"/>
    <sheet name="1.1.1 Proj.real." sheetId="5" r:id="rId5"/>
    <sheet name="1.1.1 (10.V) Schv.ZoNFP" sheetId="28" r:id="rId6"/>
    <sheet name="1.1.1 (11.V) Schv.ZoNFP" sheetId="27" r:id="rId7"/>
    <sheet name="1.1.1 (12.V) Dor.ZoNFP" sheetId="26" r:id="rId8"/>
    <sheet name="1.1.1 (15.V) Dor.ZoNFP" sheetId="24" r:id="rId9"/>
    <sheet name="1.1.1 (16.V) Dor.ZoNFP" sheetId="25" r:id="rId10"/>
    <sheet name="1.2.1+1.2.2 Proj.real." sheetId="6" r:id="rId11"/>
    <sheet name="1.2.1+1.2.2 (1.V) Zasob" sheetId="29" r:id="rId12"/>
    <sheet name="1.2.3 Proj.real" sheetId="7" r:id="rId13"/>
    <sheet name="1.4.1 Proj.real" sheetId="8" r:id="rId14"/>
    <sheet name="1.4.2 Proj.real" sheetId="10" r:id="rId15"/>
    <sheet name="3.1.3 Proj.real" sheetId="13" r:id="rId16"/>
    <sheet name="4.1.1 Projekty (FN)" sheetId="16" r:id="rId17"/>
    <sheet name="4.1.1-4.1.2 Projekty (ZelDom)" sheetId="14" r:id="rId18"/>
    <sheet name="4.2.1 Projekty (FN)" sheetId="39" r:id="rId19"/>
    <sheet name="4.3.1 Projekty (FN)" sheetId="38" r:id="rId20"/>
    <sheet name="4.3.1 (6.V) Projekty" sheetId="15" r:id="rId21"/>
    <sheet name="4.3.1 (6.V) Schv. ZoNFP" sheetId="23" r:id="rId22"/>
    <sheet name="5.1.1 TP Proj.real." sheetId="31" r:id="rId23"/>
    <sheet name="5.1.1 TP ZoNFP" sheetId="32" r:id="rId24"/>
  </sheets>
  <definedNames>
    <definedName name="_xlnm._FilterDatabase" localSheetId="6" hidden="1">'1.1.1 (11.V) Schv.ZoNFP'!$B$1:$R$33</definedName>
    <definedName name="_xlnm._FilterDatabase" localSheetId="9" hidden="1">'1.1.1 (16.V) Dor.ZoNFP'!$B$1:$U$31</definedName>
    <definedName name="_xlnm._FilterDatabase" localSheetId="4" hidden="1">'1.1.1 Proj.real.'!$B$4:$BJ$144</definedName>
    <definedName name="_xlnm._FilterDatabase" localSheetId="11" hidden="1">'1.2.1+1.2.2 (1.V) Zasob'!$B$1:$T$23</definedName>
    <definedName name="_xlnm._FilterDatabase" localSheetId="10" hidden="1">'1.2.1+1.2.2 Proj.real.'!$B$4:$AH$47</definedName>
    <definedName name="_xlnm._FilterDatabase" localSheetId="13" hidden="1">'1.4.1 Proj.real'!$A$1:$AX$22</definedName>
    <definedName name="_xlnm._FilterDatabase" localSheetId="20" hidden="1">'4.3.1 (6.V) Projekty'!$A$4:$BI$89</definedName>
    <definedName name="_xlnm._FilterDatabase" localSheetId="21" hidden="1">'4.3.1 (6.V) Schv. ZoNFP'!$A$4:$AR$219</definedName>
    <definedName name="_xlnm._FilterDatabase" localSheetId="3" hidden="1">'Vystup. ukazovatele projektov'!$A$1:$N$230</definedName>
  </definedNames>
  <calcPr calcId="145621"/>
</workbook>
</file>

<file path=xl/calcChain.xml><?xml version="1.0" encoding="utf-8"?>
<calcChain xmlns="http://schemas.openxmlformats.org/spreadsheetml/2006/main">
  <c r="H11" i="27" l="1"/>
  <c r="V18" i="37" l="1"/>
  <c r="P18" i="37"/>
  <c r="V12" i="37"/>
  <c r="P12" i="37"/>
  <c r="V9" i="37"/>
  <c r="P9" i="37"/>
  <c r="V8" i="37"/>
  <c r="P8" i="37"/>
  <c r="Q7" i="37"/>
  <c r="AF56" i="36"/>
  <c r="AE56" i="36"/>
  <c r="AB56" i="36"/>
  <c r="X56" i="36"/>
  <c r="Y56" i="36" s="1"/>
  <c r="T56" i="36"/>
  <c r="U56" i="36" s="1"/>
  <c r="P56" i="36"/>
  <c r="Q56" i="36" s="1"/>
  <c r="AF57" i="36"/>
  <c r="AE57" i="36"/>
  <c r="AB57" i="36"/>
  <c r="X57" i="36"/>
  <c r="Y57" i="36" s="1"/>
  <c r="T57" i="36"/>
  <c r="P57" i="36"/>
  <c r="Q57" i="36" s="1"/>
  <c r="AF54" i="36"/>
  <c r="AE54" i="36"/>
  <c r="AB54" i="36"/>
  <c r="X54" i="36"/>
  <c r="Y54" i="36" s="1"/>
  <c r="T54" i="36"/>
  <c r="U54" i="36" s="1"/>
  <c r="P54" i="36"/>
  <c r="Q54" i="36" s="1"/>
  <c r="P55" i="36"/>
  <c r="Q55" i="36" s="1"/>
  <c r="T55" i="36"/>
  <c r="U55" i="36" s="1"/>
  <c r="AF55" i="36"/>
  <c r="AE55" i="36"/>
  <c r="AB55" i="36"/>
  <c r="X55" i="36"/>
  <c r="Y55" i="36" s="1"/>
  <c r="AF37" i="36"/>
  <c r="AE37" i="36"/>
  <c r="AB37" i="36"/>
  <c r="X37" i="36"/>
  <c r="T37" i="36"/>
  <c r="S37" i="36"/>
  <c r="P37" i="36"/>
  <c r="Q37" i="36" s="1"/>
  <c r="AF35" i="36"/>
  <c r="AE35" i="36"/>
  <c r="AB35" i="36"/>
  <c r="X35" i="36"/>
  <c r="T35" i="36"/>
  <c r="T36" i="36"/>
  <c r="X36" i="36"/>
  <c r="P35" i="36"/>
  <c r="AF23" i="36"/>
  <c r="AE23" i="36"/>
  <c r="AB23" i="36"/>
  <c r="X23" i="36"/>
  <c r="T23" i="36"/>
  <c r="P23" i="36"/>
  <c r="AB15" i="36"/>
  <c r="AE13" i="36"/>
  <c r="AB13" i="36"/>
  <c r="AE12" i="36"/>
  <c r="AC55" i="36" l="1"/>
  <c r="AD55" i="36" s="1"/>
  <c r="AC56" i="36"/>
  <c r="AD56" i="36" s="1"/>
  <c r="AC57" i="36"/>
  <c r="AD57" i="36" s="1"/>
  <c r="U57" i="36"/>
  <c r="AC54" i="36"/>
  <c r="AC37" i="36"/>
  <c r="AC35" i="36"/>
  <c r="AC23" i="36"/>
  <c r="AD23" i="36" s="1"/>
  <c r="N20" i="37"/>
  <c r="M20" i="37"/>
  <c r="N19" i="37"/>
  <c r="M19" i="37"/>
  <c r="N18" i="37"/>
  <c r="M18" i="37"/>
  <c r="N10" i="37"/>
  <c r="M10" i="37"/>
  <c r="O9" i="37"/>
  <c r="M9" i="37"/>
  <c r="O12" i="37"/>
  <c r="M12" i="37"/>
  <c r="N8" i="37"/>
  <c r="M8" i="37"/>
  <c r="N7" i="37"/>
  <c r="M7" i="37"/>
  <c r="AC101" i="36"/>
  <c r="M14" i="37"/>
  <c r="N14" i="37"/>
  <c r="M15" i="37"/>
  <c r="N15" i="37"/>
  <c r="M16" i="37"/>
  <c r="N16" i="37"/>
  <c r="Q90" i="36" l="1"/>
  <c r="AC90" i="36"/>
  <c r="Y23" i="36"/>
  <c r="X10" i="36"/>
  <c r="Y10" i="36" s="1"/>
  <c r="AB10" i="36"/>
  <c r="AE10" i="36"/>
  <c r="AF10" i="36"/>
  <c r="AE11" i="36"/>
  <c r="AF11" i="36"/>
  <c r="X14" i="36"/>
  <c r="Y14" i="36" s="1"/>
  <c r="AB14" i="36"/>
  <c r="AE14" i="36"/>
  <c r="AB16" i="36"/>
  <c r="AF16" i="36"/>
  <c r="AB17" i="36"/>
  <c r="AE17" i="36"/>
  <c r="AF17" i="36"/>
  <c r="X18" i="36"/>
  <c r="Y18" i="36" s="1"/>
  <c r="AB18" i="36"/>
  <c r="AE18" i="36"/>
  <c r="AF18" i="36"/>
  <c r="AB19" i="36"/>
  <c r="AE19" i="36"/>
  <c r="AF19" i="36"/>
  <c r="X20" i="36"/>
  <c r="Y20" i="36" s="1"/>
  <c r="AB20" i="36"/>
  <c r="AE20" i="36"/>
  <c r="AF20" i="36"/>
  <c r="X21" i="36"/>
  <c r="Y21" i="36" s="1"/>
  <c r="AB21" i="36"/>
  <c r="AE21" i="36"/>
  <c r="AF21" i="36"/>
  <c r="X22" i="36"/>
  <c r="Y22" i="36" s="1"/>
  <c r="AB22" i="36"/>
  <c r="AE22" i="36"/>
  <c r="AF22" i="36"/>
  <c r="P24" i="36"/>
  <c r="Q24" i="36" s="1"/>
  <c r="T24" i="36"/>
  <c r="Y24" i="36"/>
  <c r="AB24" i="36"/>
  <c r="AE24" i="36"/>
  <c r="AF24" i="36"/>
  <c r="P25" i="36"/>
  <c r="Q25" i="36" s="1"/>
  <c r="T25" i="36"/>
  <c r="U25" i="36" s="1"/>
  <c r="Y25" i="36"/>
  <c r="AB25" i="36"/>
  <c r="AE25" i="36"/>
  <c r="AF25" i="36"/>
  <c r="P26" i="36"/>
  <c r="Q26" i="36" s="1"/>
  <c r="T26" i="36"/>
  <c r="U26" i="36" s="1"/>
  <c r="Y26" i="36"/>
  <c r="AB26" i="36"/>
  <c r="AE26" i="36"/>
  <c r="AF26" i="36"/>
  <c r="P27" i="36"/>
  <c r="Q27" i="36" s="1"/>
  <c r="T27" i="36"/>
  <c r="Y27" i="36"/>
  <c r="AB27" i="36"/>
  <c r="AE27" i="36"/>
  <c r="AF27" i="36"/>
  <c r="AB28" i="36"/>
  <c r="AE28" i="36"/>
  <c r="AF28" i="36"/>
  <c r="X29" i="36"/>
  <c r="Y29" i="36" s="1"/>
  <c r="AB29" i="36"/>
  <c r="AE29" i="36"/>
  <c r="AF29" i="36"/>
  <c r="X30" i="36"/>
  <c r="Y30" i="36" s="1"/>
  <c r="AB30" i="36"/>
  <c r="AE30" i="36"/>
  <c r="AF30" i="36"/>
  <c r="X31" i="36"/>
  <c r="Y31" i="36" s="1"/>
  <c r="AB31" i="36"/>
  <c r="AE31" i="36"/>
  <c r="AF31" i="36"/>
  <c r="AB32" i="36"/>
  <c r="AE32" i="36"/>
  <c r="AF32" i="36"/>
  <c r="X33" i="36"/>
  <c r="Z33" i="36" s="1"/>
  <c r="AB33" i="36"/>
  <c r="AE33" i="36"/>
  <c r="AF33" i="36"/>
  <c r="AB34" i="36"/>
  <c r="AE34" i="36"/>
  <c r="AF34" i="36"/>
  <c r="Q23" i="36" l="1"/>
  <c r="Y35" i="36"/>
  <c r="U23" i="36"/>
  <c r="AC26" i="36"/>
  <c r="AD26" i="36" s="1"/>
  <c r="AC25" i="36"/>
  <c r="AD25" i="36" s="1"/>
  <c r="AC27" i="36"/>
  <c r="AD27" i="36" s="1"/>
  <c r="AC24" i="36"/>
  <c r="AD24" i="36" s="1"/>
  <c r="U24" i="36"/>
  <c r="U27" i="36"/>
  <c r="Y33" i="36"/>
  <c r="AD96" i="36"/>
  <c r="AD97" i="36"/>
  <c r="AD100" i="36"/>
  <c r="AC85" i="36"/>
  <c r="AD85" i="36" s="1"/>
  <c r="AC80" i="36"/>
  <c r="AD80" i="36" s="1"/>
  <c r="AD101" i="36"/>
  <c r="AC88" i="36"/>
  <c r="AD88" i="36" s="1"/>
  <c r="AC89" i="36"/>
  <c r="AD89" i="36" s="1"/>
  <c r="AD90" i="36"/>
  <c r="AC87" i="36"/>
  <c r="AD87" i="36" s="1"/>
  <c r="AC86" i="36"/>
  <c r="AD86" i="36" s="1"/>
  <c r="AC82" i="36"/>
  <c r="AD82" i="36" s="1"/>
  <c r="AC83" i="36"/>
  <c r="AD83" i="36" s="1"/>
  <c r="AC84" i="36"/>
  <c r="AD84" i="36" s="1"/>
  <c r="AC81" i="36"/>
  <c r="AD81" i="36" s="1"/>
  <c r="CC7" i="39" l="1"/>
  <c r="CB7" i="39"/>
  <c r="CA7" i="39"/>
  <c r="BZ7" i="39"/>
  <c r="BY7" i="39"/>
  <c r="BX7" i="39"/>
  <c r="BW7" i="39"/>
  <c r="BV7" i="39"/>
  <c r="BU7" i="39"/>
  <c r="BT7" i="39"/>
  <c r="BS7" i="39"/>
  <c r="BR7" i="39"/>
  <c r="K182" i="3" s="1"/>
  <c r="BQ7" i="39"/>
  <c r="BP7" i="39"/>
  <c r="BO7" i="39"/>
  <c r="K181" i="3" s="1"/>
  <c r="BN7" i="39"/>
  <c r="BM7" i="39"/>
  <c r="BL7" i="39"/>
  <c r="K180" i="3" s="1"/>
  <c r="BK7" i="39"/>
  <c r="BJ7" i="39"/>
  <c r="BI7" i="39"/>
  <c r="K179" i="3" s="1"/>
  <c r="BH7" i="39"/>
  <c r="BG7" i="39"/>
  <c r="BF7" i="39"/>
  <c r="K176" i="3" s="1"/>
  <c r="BE7" i="39"/>
  <c r="BD7" i="39"/>
  <c r="BC7" i="39"/>
  <c r="K174" i="3" s="1"/>
  <c r="BB7" i="39"/>
  <c r="BA7" i="39"/>
  <c r="AZ7" i="39"/>
  <c r="K171" i="3" s="1"/>
  <c r="AY7" i="39"/>
  <c r="AX7" i="39"/>
  <c r="AW7" i="39"/>
  <c r="K170" i="3" s="1"/>
  <c r="AV7" i="39"/>
  <c r="AU7" i="39"/>
  <c r="AT7" i="39"/>
  <c r="K169" i="3" s="1"/>
  <c r="AS7" i="39"/>
  <c r="AR7" i="39"/>
  <c r="AQ7" i="39"/>
  <c r="K168" i="3" s="1"/>
  <c r="AP7" i="39"/>
  <c r="AO7" i="39"/>
  <c r="AN7" i="39"/>
  <c r="AM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K7" i="39"/>
  <c r="J7" i="39"/>
  <c r="I7" i="39"/>
  <c r="CC7" i="38"/>
  <c r="CB7" i="38"/>
  <c r="CA7" i="38"/>
  <c r="BZ7" i="38"/>
  <c r="BY7" i="38"/>
  <c r="BX7" i="38"/>
  <c r="BW7" i="38"/>
  <c r="BV7" i="38"/>
  <c r="BU7" i="38"/>
  <c r="BT7" i="38"/>
  <c r="BS7" i="38"/>
  <c r="BR7" i="38"/>
  <c r="BQ7" i="38"/>
  <c r="BP7" i="38"/>
  <c r="BO7" i="38"/>
  <c r="BN7" i="38"/>
  <c r="BM7" i="38"/>
  <c r="BL7" i="38"/>
  <c r="BK7" i="38"/>
  <c r="BJ7" i="38"/>
  <c r="BI7" i="38"/>
  <c r="BH7" i="38"/>
  <c r="BG7" i="38"/>
  <c r="BF7" i="38"/>
  <c r="BE7" i="38"/>
  <c r="BD7" i="38"/>
  <c r="BC7" i="38"/>
  <c r="BB7" i="38"/>
  <c r="BA7" i="38"/>
  <c r="AZ7" i="38"/>
  <c r="AY7" i="38"/>
  <c r="AX7" i="38"/>
  <c r="AW7" i="38"/>
  <c r="AV7" i="38"/>
  <c r="AU7" i="38"/>
  <c r="AT7" i="38"/>
  <c r="AS7" i="38"/>
  <c r="AR7" i="38"/>
  <c r="AQ7" i="38"/>
  <c r="AP7" i="38"/>
  <c r="AO7" i="38"/>
  <c r="AN7" i="38"/>
  <c r="AM7" i="38"/>
  <c r="AL7" i="38"/>
  <c r="AK7" i="38"/>
  <c r="AJ7" i="38"/>
  <c r="AI7" i="38"/>
  <c r="AH7" i="38"/>
  <c r="AG7" i="38"/>
  <c r="AF7" i="38"/>
  <c r="AE7" i="38"/>
  <c r="AD7" i="38"/>
  <c r="AC7" i="38"/>
  <c r="AB7" i="38"/>
  <c r="AA7" i="38"/>
  <c r="Z7" i="38"/>
  <c r="Y7" i="38"/>
  <c r="X7" i="38"/>
  <c r="W7" i="38"/>
  <c r="V7" i="38"/>
  <c r="U7" i="38"/>
  <c r="T7" i="38"/>
  <c r="S7" i="38"/>
  <c r="R7" i="38"/>
  <c r="Q7" i="38"/>
  <c r="P7" i="38"/>
  <c r="O7" i="38"/>
  <c r="N7" i="38"/>
  <c r="M7" i="38"/>
  <c r="L7" i="38"/>
  <c r="K7" i="38"/>
  <c r="J7" i="38"/>
  <c r="I7" i="38"/>
  <c r="V5" i="10" l="1"/>
  <c r="P5" i="10"/>
  <c r="T92" i="36" l="1"/>
  <c r="X92" i="36"/>
  <c r="P21" i="37"/>
  <c r="AB100" i="36"/>
  <c r="AB99" i="36"/>
  <c r="AB98" i="36"/>
  <c r="AB97" i="36"/>
  <c r="AB96" i="36"/>
  <c r="AB93" i="36"/>
  <c r="M6" i="31"/>
  <c r="M7" i="31"/>
  <c r="M8" i="31"/>
  <c r="M9" i="31"/>
  <c r="M5" i="31"/>
  <c r="M10" i="31" s="1"/>
  <c r="L223" i="3" s="1"/>
  <c r="X93" i="36" s="1"/>
  <c r="H6" i="32"/>
  <c r="O259" i="3" s="1"/>
  <c r="I6" i="32"/>
  <c r="J6" i="32"/>
  <c r="G6" i="32"/>
  <c r="BG6" i="15" l="1"/>
  <c r="BG7" i="15"/>
  <c r="H220" i="23"/>
  <c r="G220" i="23"/>
  <c r="AE53" i="36" l="1"/>
  <c r="AF92" i="36"/>
  <c r="AF91" i="36"/>
  <c r="AB92" i="36"/>
  <c r="AC92" i="36" s="1"/>
  <c r="AD92" i="36" s="1"/>
  <c r="AE92" i="36"/>
  <c r="AE91" i="36"/>
  <c r="X63" i="36"/>
  <c r="T63" i="36"/>
  <c r="P63" i="36"/>
  <c r="AB60" i="36"/>
  <c r="AB59" i="36"/>
  <c r="AB58" i="36"/>
  <c r="AB53" i="36"/>
  <c r="AE52" i="36"/>
  <c r="AB52" i="36"/>
  <c r="AF73" i="36"/>
  <c r="AF72" i="36"/>
  <c r="AF71" i="36"/>
  <c r="AF70" i="36"/>
  <c r="AF69" i="36"/>
  <c r="AF65" i="36"/>
  <c r="AF67" i="36"/>
  <c r="AF68" i="36"/>
  <c r="AF64" i="36"/>
  <c r="AF66" i="36"/>
  <c r="AF63" i="36"/>
  <c r="AF62" i="36"/>
  <c r="AF61" i="36"/>
  <c r="AF60" i="36"/>
  <c r="AF59" i="36"/>
  <c r="AF53" i="36"/>
  <c r="AF52" i="36"/>
  <c r="L184" i="3"/>
  <c r="BJ6" i="15"/>
  <c r="BJ7" i="15"/>
  <c r="BJ8" i="15"/>
  <c r="BJ9" i="15"/>
  <c r="BJ10" i="15"/>
  <c r="BJ11" i="15"/>
  <c r="BJ12" i="15"/>
  <c r="BJ13" i="15"/>
  <c r="BJ14" i="15"/>
  <c r="BJ15" i="15"/>
  <c r="BJ16" i="15"/>
  <c r="BJ17" i="15"/>
  <c r="BJ18" i="15"/>
  <c r="BJ19" i="15"/>
  <c r="BJ20" i="15"/>
  <c r="BJ21" i="15"/>
  <c r="BJ22" i="15"/>
  <c r="BJ23" i="15"/>
  <c r="BJ24" i="15"/>
  <c r="BJ25" i="15"/>
  <c r="BJ26" i="15"/>
  <c r="BJ27" i="15"/>
  <c r="BJ28" i="15"/>
  <c r="BJ29" i="15"/>
  <c r="BJ30" i="15"/>
  <c r="BJ31" i="15"/>
  <c r="BJ32" i="15"/>
  <c r="BJ33" i="15"/>
  <c r="BJ34" i="15"/>
  <c r="BJ35" i="15"/>
  <c r="BJ36" i="15"/>
  <c r="BJ37" i="15"/>
  <c r="BJ38" i="15"/>
  <c r="BJ39" i="15"/>
  <c r="BJ40" i="15"/>
  <c r="BJ41" i="15"/>
  <c r="BJ42" i="15"/>
  <c r="BJ43" i="15"/>
  <c r="BJ44" i="15"/>
  <c r="BJ45" i="15"/>
  <c r="BJ46" i="15"/>
  <c r="BJ47" i="15"/>
  <c r="BJ48" i="15"/>
  <c r="BJ49" i="15"/>
  <c r="BJ50" i="15"/>
  <c r="BJ51" i="15"/>
  <c r="BJ52" i="15"/>
  <c r="BJ53" i="15"/>
  <c r="BJ54" i="15"/>
  <c r="BJ55" i="15"/>
  <c r="BJ56" i="15"/>
  <c r="BJ57" i="15"/>
  <c r="BJ58" i="15"/>
  <c r="BJ59" i="15"/>
  <c r="BJ60" i="15"/>
  <c r="BJ61" i="15"/>
  <c r="BJ62" i="15"/>
  <c r="BJ63" i="15"/>
  <c r="BJ64" i="15"/>
  <c r="BJ65" i="15"/>
  <c r="BJ66" i="15"/>
  <c r="BJ67" i="15"/>
  <c r="BJ68" i="15"/>
  <c r="BJ69" i="15"/>
  <c r="BJ70" i="15"/>
  <c r="BJ71" i="15"/>
  <c r="BJ72" i="15"/>
  <c r="BJ73" i="15"/>
  <c r="BJ74" i="15"/>
  <c r="BJ75" i="15"/>
  <c r="BJ76" i="15"/>
  <c r="BJ77" i="15"/>
  <c r="BJ78" i="15"/>
  <c r="BJ79" i="15"/>
  <c r="BJ80" i="15"/>
  <c r="BJ81" i="15"/>
  <c r="BJ82" i="15"/>
  <c r="BG8" i="15"/>
  <c r="BG9" i="15"/>
  <c r="BG10" i="15"/>
  <c r="BG11" i="15"/>
  <c r="BG12" i="15"/>
  <c r="BG13" i="15"/>
  <c r="BG14" i="15"/>
  <c r="BG15" i="15"/>
  <c r="BG16" i="15"/>
  <c r="BG17" i="15"/>
  <c r="BG18" i="15"/>
  <c r="BG19" i="15"/>
  <c r="BG20" i="15"/>
  <c r="BG21" i="15"/>
  <c r="BG22" i="15"/>
  <c r="BG23" i="15"/>
  <c r="BG24" i="15"/>
  <c r="BG25" i="15"/>
  <c r="BG26" i="15"/>
  <c r="BG27" i="15"/>
  <c r="BG28" i="15"/>
  <c r="BG29" i="15"/>
  <c r="BG30" i="15"/>
  <c r="BG31" i="15"/>
  <c r="BG32" i="15"/>
  <c r="BG33" i="15"/>
  <c r="BG34" i="15"/>
  <c r="BG35" i="15"/>
  <c r="BG36" i="15"/>
  <c r="BG37" i="15"/>
  <c r="BG38" i="15"/>
  <c r="BG39" i="15"/>
  <c r="BG40" i="15"/>
  <c r="BG41" i="15"/>
  <c r="BG42" i="15"/>
  <c r="BG43" i="15"/>
  <c r="BG44" i="15"/>
  <c r="BG45" i="15"/>
  <c r="BG46" i="15"/>
  <c r="BG47" i="15"/>
  <c r="BG48" i="15"/>
  <c r="BG49" i="15"/>
  <c r="BG50" i="15"/>
  <c r="BG51" i="15"/>
  <c r="BG52" i="15"/>
  <c r="BG53" i="15"/>
  <c r="BG54" i="15"/>
  <c r="BG55" i="15"/>
  <c r="BG56" i="15"/>
  <c r="BG57" i="15"/>
  <c r="BG58" i="15"/>
  <c r="BG59" i="15"/>
  <c r="BG60" i="15"/>
  <c r="BG61" i="15"/>
  <c r="BG62" i="15"/>
  <c r="BG63" i="15"/>
  <c r="BG64" i="15"/>
  <c r="BG65" i="15"/>
  <c r="BG66" i="15"/>
  <c r="BG67" i="15"/>
  <c r="BG68" i="15"/>
  <c r="BG69" i="15"/>
  <c r="BG70" i="15"/>
  <c r="BG71" i="15"/>
  <c r="BG72" i="15"/>
  <c r="BG73" i="15"/>
  <c r="BG74" i="15"/>
  <c r="BG75" i="15"/>
  <c r="BG76" i="15"/>
  <c r="BG77" i="15"/>
  <c r="BG78" i="15"/>
  <c r="BG79" i="15"/>
  <c r="BG80" i="15"/>
  <c r="BG81" i="15"/>
  <c r="BG82" i="15"/>
  <c r="BD6" i="15"/>
  <c r="BD7" i="15"/>
  <c r="BD8" i="15"/>
  <c r="BD9" i="15"/>
  <c r="BD10" i="15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D28" i="15"/>
  <c r="BD29" i="15"/>
  <c r="BD30" i="15"/>
  <c r="BD31" i="15"/>
  <c r="BD32" i="15"/>
  <c r="BD33" i="15"/>
  <c r="BD34" i="15"/>
  <c r="BD35" i="15"/>
  <c r="BD36" i="15"/>
  <c r="BD37" i="15"/>
  <c r="BD38" i="15"/>
  <c r="BD39" i="15"/>
  <c r="BD40" i="15"/>
  <c r="BD41" i="15"/>
  <c r="BD42" i="15"/>
  <c r="BD43" i="15"/>
  <c r="BD44" i="15"/>
  <c r="BD45" i="15"/>
  <c r="BD46" i="15"/>
  <c r="BD47" i="15"/>
  <c r="BD48" i="15"/>
  <c r="BD49" i="15"/>
  <c r="BD50" i="15"/>
  <c r="BD51" i="15"/>
  <c r="BD52" i="15"/>
  <c r="BD53" i="15"/>
  <c r="BD54" i="15"/>
  <c r="BD55" i="15"/>
  <c r="BD56" i="15"/>
  <c r="BD57" i="15"/>
  <c r="BD58" i="15"/>
  <c r="BD59" i="15"/>
  <c r="BD60" i="15"/>
  <c r="BD61" i="15"/>
  <c r="BD62" i="15"/>
  <c r="BD63" i="15"/>
  <c r="BD64" i="15"/>
  <c r="BD65" i="15"/>
  <c r="BD66" i="15"/>
  <c r="BD67" i="15"/>
  <c r="BD68" i="15"/>
  <c r="BD69" i="15"/>
  <c r="BD70" i="15"/>
  <c r="BD71" i="15"/>
  <c r="BD72" i="15"/>
  <c r="BD73" i="15"/>
  <c r="BD74" i="15"/>
  <c r="BD75" i="15"/>
  <c r="BD76" i="15"/>
  <c r="BD77" i="15"/>
  <c r="BD78" i="15"/>
  <c r="BD79" i="15"/>
  <c r="BD80" i="15"/>
  <c r="BD81" i="15"/>
  <c r="BD82" i="15"/>
  <c r="BA6" i="15"/>
  <c r="BA7" i="15"/>
  <c r="BA8" i="15"/>
  <c r="BA9" i="15"/>
  <c r="BA10" i="15"/>
  <c r="BA11" i="15"/>
  <c r="BA12" i="15"/>
  <c r="BA13" i="15"/>
  <c r="BA14" i="15"/>
  <c r="BA15" i="15"/>
  <c r="BA16" i="15"/>
  <c r="BA17" i="15"/>
  <c r="BA18" i="15"/>
  <c r="BA19" i="15"/>
  <c r="BA20" i="15"/>
  <c r="BA21" i="15"/>
  <c r="BA22" i="15"/>
  <c r="BA23" i="15"/>
  <c r="BA24" i="15"/>
  <c r="BA25" i="15"/>
  <c r="BA26" i="15"/>
  <c r="BA27" i="15"/>
  <c r="BA28" i="15"/>
  <c r="BA29" i="15"/>
  <c r="BA30" i="15"/>
  <c r="BA31" i="15"/>
  <c r="BA32" i="15"/>
  <c r="BA33" i="15"/>
  <c r="BA34" i="15"/>
  <c r="BA35" i="15"/>
  <c r="BA36" i="15"/>
  <c r="BA37" i="15"/>
  <c r="BA38" i="15"/>
  <c r="BA39" i="15"/>
  <c r="BA40" i="15"/>
  <c r="BA41" i="15"/>
  <c r="BA42" i="15"/>
  <c r="BA43" i="15"/>
  <c r="BA44" i="15"/>
  <c r="BA45" i="15"/>
  <c r="BA46" i="15"/>
  <c r="BA47" i="15"/>
  <c r="BA48" i="15"/>
  <c r="BA49" i="15"/>
  <c r="BA50" i="15"/>
  <c r="BA51" i="15"/>
  <c r="BA52" i="15"/>
  <c r="BA53" i="15"/>
  <c r="BA54" i="15"/>
  <c r="BA55" i="15"/>
  <c r="BA56" i="15"/>
  <c r="BA57" i="15"/>
  <c r="BA58" i="15"/>
  <c r="BA59" i="15"/>
  <c r="BA60" i="15"/>
  <c r="BA61" i="15"/>
  <c r="BA62" i="15"/>
  <c r="BA63" i="15"/>
  <c r="BA64" i="15"/>
  <c r="BA65" i="15"/>
  <c r="BA66" i="15"/>
  <c r="BA67" i="15"/>
  <c r="BA68" i="15"/>
  <c r="BA69" i="15"/>
  <c r="BA70" i="15"/>
  <c r="BA71" i="15"/>
  <c r="BA72" i="15"/>
  <c r="BA73" i="15"/>
  <c r="BA74" i="15"/>
  <c r="BA75" i="15"/>
  <c r="BA76" i="15"/>
  <c r="BA77" i="15"/>
  <c r="BA78" i="15"/>
  <c r="BA79" i="15"/>
  <c r="BA80" i="15"/>
  <c r="BA81" i="15"/>
  <c r="BA82" i="15"/>
  <c r="AX6" i="15"/>
  <c r="AX7" i="15"/>
  <c r="AX8" i="15"/>
  <c r="AX9" i="15"/>
  <c r="AX10" i="15"/>
  <c r="AX11" i="15"/>
  <c r="AX12" i="15"/>
  <c r="AX13" i="15"/>
  <c r="AX14" i="15"/>
  <c r="AX15" i="15"/>
  <c r="AX16" i="15"/>
  <c r="AX17" i="15"/>
  <c r="AX18" i="15"/>
  <c r="AX19" i="15"/>
  <c r="AX20" i="15"/>
  <c r="AX21" i="15"/>
  <c r="AX22" i="15"/>
  <c r="AX23" i="15"/>
  <c r="AX24" i="15"/>
  <c r="AX25" i="15"/>
  <c r="AX26" i="15"/>
  <c r="AX27" i="15"/>
  <c r="AX28" i="15"/>
  <c r="AX29" i="15"/>
  <c r="AX30" i="15"/>
  <c r="AX31" i="15"/>
  <c r="AX32" i="15"/>
  <c r="AX33" i="15"/>
  <c r="AX34" i="15"/>
  <c r="AX35" i="15"/>
  <c r="AX36" i="15"/>
  <c r="AX37" i="15"/>
  <c r="AX38" i="15"/>
  <c r="AX39" i="15"/>
  <c r="AX40" i="15"/>
  <c r="AX41" i="15"/>
  <c r="AX42" i="15"/>
  <c r="AX43" i="15"/>
  <c r="AX44" i="15"/>
  <c r="AX45" i="15"/>
  <c r="AX46" i="15"/>
  <c r="AX47" i="15"/>
  <c r="AX48" i="15"/>
  <c r="AX49" i="15"/>
  <c r="AX50" i="15"/>
  <c r="AX51" i="15"/>
  <c r="AX52" i="15"/>
  <c r="AX53" i="15"/>
  <c r="AX54" i="15"/>
  <c r="AX55" i="15"/>
  <c r="AX56" i="15"/>
  <c r="AX57" i="15"/>
  <c r="AX58" i="15"/>
  <c r="AX59" i="15"/>
  <c r="AX60" i="15"/>
  <c r="AX61" i="15"/>
  <c r="AX62" i="15"/>
  <c r="AX63" i="15"/>
  <c r="AX64" i="15"/>
  <c r="AX65" i="15"/>
  <c r="AX66" i="15"/>
  <c r="AX67" i="15"/>
  <c r="AX68" i="15"/>
  <c r="AX69" i="15"/>
  <c r="AX70" i="15"/>
  <c r="AX71" i="15"/>
  <c r="AX72" i="15"/>
  <c r="AX73" i="15"/>
  <c r="AX74" i="15"/>
  <c r="AX75" i="15"/>
  <c r="AX76" i="15"/>
  <c r="AX77" i="15"/>
  <c r="AX78" i="15"/>
  <c r="AX79" i="15"/>
  <c r="AX80" i="15"/>
  <c r="AX81" i="15"/>
  <c r="AX82" i="15"/>
  <c r="AU6" i="15"/>
  <c r="AU7" i="15"/>
  <c r="AU8" i="15"/>
  <c r="AU9" i="15"/>
  <c r="AU10" i="15"/>
  <c r="AU11" i="15"/>
  <c r="AU12" i="15"/>
  <c r="AU13" i="15"/>
  <c r="AU14" i="15"/>
  <c r="AU15" i="15"/>
  <c r="AU16" i="15"/>
  <c r="AU17" i="15"/>
  <c r="AU18" i="15"/>
  <c r="AU19" i="15"/>
  <c r="AU20" i="15"/>
  <c r="AU21" i="15"/>
  <c r="AU22" i="15"/>
  <c r="AU23" i="15"/>
  <c r="AU24" i="15"/>
  <c r="AU25" i="15"/>
  <c r="AU26" i="15"/>
  <c r="AU27" i="15"/>
  <c r="AU28" i="15"/>
  <c r="AU29" i="15"/>
  <c r="AU30" i="15"/>
  <c r="AU31" i="15"/>
  <c r="AU32" i="15"/>
  <c r="AU33" i="15"/>
  <c r="AU34" i="15"/>
  <c r="AU35" i="15"/>
  <c r="AU36" i="15"/>
  <c r="AU37" i="15"/>
  <c r="AU38" i="15"/>
  <c r="AU39" i="15"/>
  <c r="AU40" i="15"/>
  <c r="AU41" i="15"/>
  <c r="AU42" i="15"/>
  <c r="AU43" i="15"/>
  <c r="AU44" i="15"/>
  <c r="AU45" i="15"/>
  <c r="AU46" i="15"/>
  <c r="AU47" i="15"/>
  <c r="AU48" i="15"/>
  <c r="AU49" i="15"/>
  <c r="AU50" i="15"/>
  <c r="AU51" i="15"/>
  <c r="AU52" i="15"/>
  <c r="AU53" i="15"/>
  <c r="AU54" i="15"/>
  <c r="AU55" i="15"/>
  <c r="AU56" i="15"/>
  <c r="AU57" i="15"/>
  <c r="AU58" i="15"/>
  <c r="AU59" i="15"/>
  <c r="AU60" i="15"/>
  <c r="AU61" i="15"/>
  <c r="AU62" i="15"/>
  <c r="AU63" i="15"/>
  <c r="AU64" i="15"/>
  <c r="AU65" i="15"/>
  <c r="AU66" i="15"/>
  <c r="AU67" i="15"/>
  <c r="AU68" i="15"/>
  <c r="AU69" i="15"/>
  <c r="AU70" i="15"/>
  <c r="AU71" i="15"/>
  <c r="AU72" i="15"/>
  <c r="AU73" i="15"/>
  <c r="AU74" i="15"/>
  <c r="AU75" i="15"/>
  <c r="AU76" i="15"/>
  <c r="AU77" i="15"/>
  <c r="AU78" i="15"/>
  <c r="AU79" i="15"/>
  <c r="AU80" i="15"/>
  <c r="AU81" i="15"/>
  <c r="AU82" i="15"/>
  <c r="AR6" i="15"/>
  <c r="AR7" i="15"/>
  <c r="AR8" i="15"/>
  <c r="AR9" i="15"/>
  <c r="AR10" i="15"/>
  <c r="AR11" i="15"/>
  <c r="AR12" i="15"/>
  <c r="AR13" i="15"/>
  <c r="AR14" i="15"/>
  <c r="AR15" i="15"/>
  <c r="AR16" i="15"/>
  <c r="AR17" i="15"/>
  <c r="AR18" i="15"/>
  <c r="AR19" i="15"/>
  <c r="AR20" i="15"/>
  <c r="AR21" i="15"/>
  <c r="AR22" i="15"/>
  <c r="AR23" i="15"/>
  <c r="AR24" i="15"/>
  <c r="AR25" i="15"/>
  <c r="AR26" i="15"/>
  <c r="AR27" i="15"/>
  <c r="AR28" i="15"/>
  <c r="AR29" i="15"/>
  <c r="AR30" i="15"/>
  <c r="AR31" i="15"/>
  <c r="AR32" i="15"/>
  <c r="AR33" i="15"/>
  <c r="AR34" i="15"/>
  <c r="AR35" i="15"/>
  <c r="AR36" i="15"/>
  <c r="AR37" i="15"/>
  <c r="AR38" i="15"/>
  <c r="AR39" i="15"/>
  <c r="AR40" i="15"/>
  <c r="AR41" i="15"/>
  <c r="AR42" i="15"/>
  <c r="AR43" i="15"/>
  <c r="AR44" i="15"/>
  <c r="AR45" i="15"/>
  <c r="AR46" i="15"/>
  <c r="AR47" i="15"/>
  <c r="AR48" i="15"/>
  <c r="AR49" i="15"/>
  <c r="AR50" i="15"/>
  <c r="AR51" i="15"/>
  <c r="AR52" i="15"/>
  <c r="AR53" i="15"/>
  <c r="AR54" i="15"/>
  <c r="AR55" i="15"/>
  <c r="AR56" i="15"/>
  <c r="AR57" i="15"/>
  <c r="AR58" i="15"/>
  <c r="AR59" i="15"/>
  <c r="AR60" i="15"/>
  <c r="AR61" i="15"/>
  <c r="AR62" i="15"/>
  <c r="AR63" i="15"/>
  <c r="AR64" i="15"/>
  <c r="AR65" i="15"/>
  <c r="AR66" i="15"/>
  <c r="AR67" i="15"/>
  <c r="AR68" i="15"/>
  <c r="AR69" i="15"/>
  <c r="AR70" i="15"/>
  <c r="AR71" i="15"/>
  <c r="AR72" i="15"/>
  <c r="AR73" i="15"/>
  <c r="AR74" i="15"/>
  <c r="AR75" i="15"/>
  <c r="AR76" i="15"/>
  <c r="AR77" i="15"/>
  <c r="AR78" i="15"/>
  <c r="AR79" i="15"/>
  <c r="AR80" i="15"/>
  <c r="AR81" i="15"/>
  <c r="AR82" i="15"/>
  <c r="AO6" i="15"/>
  <c r="AO7" i="15"/>
  <c r="AO8" i="15"/>
  <c r="AO9" i="15"/>
  <c r="AO10" i="15"/>
  <c r="AO11" i="15"/>
  <c r="AO12" i="15"/>
  <c r="AO13" i="15"/>
  <c r="AO14" i="15"/>
  <c r="AO15" i="15"/>
  <c r="AO16" i="15"/>
  <c r="AO17" i="15"/>
  <c r="AO18" i="15"/>
  <c r="AO19" i="15"/>
  <c r="AO20" i="15"/>
  <c r="AO21" i="15"/>
  <c r="AO22" i="15"/>
  <c r="AO23" i="15"/>
  <c r="AO24" i="15"/>
  <c r="AO25" i="15"/>
  <c r="AO26" i="15"/>
  <c r="AO27" i="15"/>
  <c r="AO28" i="15"/>
  <c r="AO29" i="15"/>
  <c r="AO30" i="15"/>
  <c r="AO31" i="15"/>
  <c r="AO32" i="15"/>
  <c r="AO33" i="15"/>
  <c r="AO34" i="15"/>
  <c r="AO35" i="15"/>
  <c r="AO36" i="15"/>
  <c r="AO37" i="15"/>
  <c r="AO38" i="15"/>
  <c r="AO39" i="15"/>
  <c r="AO40" i="15"/>
  <c r="AO41" i="15"/>
  <c r="AO42" i="15"/>
  <c r="AO43" i="15"/>
  <c r="AO44" i="15"/>
  <c r="AO45" i="15"/>
  <c r="AO46" i="15"/>
  <c r="AO47" i="15"/>
  <c r="AO48" i="15"/>
  <c r="AO49" i="15"/>
  <c r="AO50" i="15"/>
  <c r="AO51" i="15"/>
  <c r="AO52" i="15"/>
  <c r="AO53" i="15"/>
  <c r="AO54" i="15"/>
  <c r="AO55" i="15"/>
  <c r="AO56" i="15"/>
  <c r="AO57" i="15"/>
  <c r="AO58" i="15"/>
  <c r="AO59" i="15"/>
  <c r="AO60" i="15"/>
  <c r="AO61" i="15"/>
  <c r="AO62" i="15"/>
  <c r="AO63" i="15"/>
  <c r="AO64" i="15"/>
  <c r="AO65" i="15"/>
  <c r="AO66" i="15"/>
  <c r="AO67" i="15"/>
  <c r="AO68" i="15"/>
  <c r="AO69" i="15"/>
  <c r="AO70" i="15"/>
  <c r="AO71" i="15"/>
  <c r="AO72" i="15"/>
  <c r="AO73" i="15"/>
  <c r="AO74" i="15"/>
  <c r="AO75" i="15"/>
  <c r="AO76" i="15"/>
  <c r="AO77" i="15"/>
  <c r="AO78" i="15"/>
  <c r="AO79" i="15"/>
  <c r="AO80" i="15"/>
  <c r="AO81" i="15"/>
  <c r="AO82" i="15"/>
  <c r="AL6" i="15"/>
  <c r="AL7" i="15"/>
  <c r="AL8" i="15"/>
  <c r="AL9" i="15"/>
  <c r="AL10" i="15"/>
  <c r="AL11" i="15"/>
  <c r="AL12" i="15"/>
  <c r="AL13" i="15"/>
  <c r="AL14" i="15"/>
  <c r="AL15" i="15"/>
  <c r="AL16" i="15"/>
  <c r="AL17" i="15"/>
  <c r="AL18" i="15"/>
  <c r="AL19" i="15"/>
  <c r="AL20" i="15"/>
  <c r="AL21" i="15"/>
  <c r="AL22" i="15"/>
  <c r="AL23" i="15"/>
  <c r="AL24" i="15"/>
  <c r="AL25" i="15"/>
  <c r="AL26" i="15"/>
  <c r="AL27" i="15"/>
  <c r="AL28" i="15"/>
  <c r="AL29" i="15"/>
  <c r="AL30" i="15"/>
  <c r="AL31" i="15"/>
  <c r="AL32" i="15"/>
  <c r="AL33" i="15"/>
  <c r="AL34" i="15"/>
  <c r="AL35" i="15"/>
  <c r="AL36" i="15"/>
  <c r="AL37" i="15"/>
  <c r="AL38" i="15"/>
  <c r="AL39" i="15"/>
  <c r="AL40" i="15"/>
  <c r="AL41" i="15"/>
  <c r="AL42" i="15"/>
  <c r="AL43" i="15"/>
  <c r="AL44" i="15"/>
  <c r="AL45" i="15"/>
  <c r="AL46" i="15"/>
  <c r="AL47" i="15"/>
  <c r="AL48" i="15"/>
  <c r="AL49" i="15"/>
  <c r="AL50" i="15"/>
  <c r="AL51" i="15"/>
  <c r="AL52" i="15"/>
  <c r="AL53" i="15"/>
  <c r="AL54" i="15"/>
  <c r="AL55" i="15"/>
  <c r="AL56" i="15"/>
  <c r="AL57" i="15"/>
  <c r="AL58" i="15"/>
  <c r="AL59" i="15"/>
  <c r="AL60" i="15"/>
  <c r="AL61" i="15"/>
  <c r="AL62" i="15"/>
  <c r="AL63" i="15"/>
  <c r="AL64" i="15"/>
  <c r="AL65" i="15"/>
  <c r="AL66" i="15"/>
  <c r="AL67" i="15"/>
  <c r="AL68" i="15"/>
  <c r="AL69" i="15"/>
  <c r="AL70" i="15"/>
  <c r="AL71" i="15"/>
  <c r="AL72" i="15"/>
  <c r="AL73" i="15"/>
  <c r="AL74" i="15"/>
  <c r="AL75" i="15"/>
  <c r="AL76" i="15"/>
  <c r="AL77" i="15"/>
  <c r="AL78" i="15"/>
  <c r="AL79" i="15"/>
  <c r="AL80" i="15"/>
  <c r="AL81" i="15"/>
  <c r="AL82" i="15"/>
  <c r="AI6" i="15"/>
  <c r="AI7" i="15"/>
  <c r="AI8" i="15"/>
  <c r="AI9" i="15"/>
  <c r="AI10" i="15"/>
  <c r="AI11" i="15"/>
  <c r="AI12" i="15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I33" i="15"/>
  <c r="AI34" i="15"/>
  <c r="AI35" i="15"/>
  <c r="AI36" i="15"/>
  <c r="AI37" i="15"/>
  <c r="AI38" i="15"/>
  <c r="AI39" i="15"/>
  <c r="AI40" i="15"/>
  <c r="AI41" i="15"/>
  <c r="AI42" i="15"/>
  <c r="AI43" i="15"/>
  <c r="AI44" i="15"/>
  <c r="AI45" i="15"/>
  <c r="AI46" i="15"/>
  <c r="AI47" i="15"/>
  <c r="AI48" i="15"/>
  <c r="AI49" i="15"/>
  <c r="AI50" i="15"/>
  <c r="AI51" i="15"/>
  <c r="AI52" i="15"/>
  <c r="AI53" i="15"/>
  <c r="AI54" i="15"/>
  <c r="AI55" i="15"/>
  <c r="AI56" i="15"/>
  <c r="AI57" i="15"/>
  <c r="AI58" i="15"/>
  <c r="AI59" i="15"/>
  <c r="AI60" i="15"/>
  <c r="AI61" i="15"/>
  <c r="AI62" i="15"/>
  <c r="AI63" i="15"/>
  <c r="AI64" i="15"/>
  <c r="AI65" i="15"/>
  <c r="AI66" i="15"/>
  <c r="AI67" i="15"/>
  <c r="AI68" i="15"/>
  <c r="AI69" i="15"/>
  <c r="AI70" i="15"/>
  <c r="AI71" i="15"/>
  <c r="AI72" i="15"/>
  <c r="AI73" i="15"/>
  <c r="AI74" i="15"/>
  <c r="AI75" i="15"/>
  <c r="AI76" i="15"/>
  <c r="AI77" i="15"/>
  <c r="AI78" i="15"/>
  <c r="AI79" i="15"/>
  <c r="AI80" i="15"/>
  <c r="AI81" i="15"/>
  <c r="AI82" i="15"/>
  <c r="AF6" i="15"/>
  <c r="AF7" i="15"/>
  <c r="AF8" i="15"/>
  <c r="AF9" i="15"/>
  <c r="AF10" i="15"/>
  <c r="AF11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AF25" i="15"/>
  <c r="AF26" i="15"/>
  <c r="AF27" i="15"/>
  <c r="AF28" i="15"/>
  <c r="AF29" i="15"/>
  <c r="AF30" i="15"/>
  <c r="AF31" i="15"/>
  <c r="AF32" i="15"/>
  <c r="AF33" i="15"/>
  <c r="AF34" i="15"/>
  <c r="AF35" i="15"/>
  <c r="AF36" i="15"/>
  <c r="AF37" i="15"/>
  <c r="AF38" i="15"/>
  <c r="AF39" i="15"/>
  <c r="AF40" i="15"/>
  <c r="AF41" i="15"/>
  <c r="AF42" i="15"/>
  <c r="AF43" i="15"/>
  <c r="AF44" i="15"/>
  <c r="AF45" i="15"/>
  <c r="AF46" i="15"/>
  <c r="AF47" i="15"/>
  <c r="AF48" i="15"/>
  <c r="AF49" i="15"/>
  <c r="AF50" i="15"/>
  <c r="AF51" i="15"/>
  <c r="AF52" i="15"/>
  <c r="AF53" i="15"/>
  <c r="AF54" i="15"/>
  <c r="AF55" i="15"/>
  <c r="AF56" i="15"/>
  <c r="AF57" i="15"/>
  <c r="AF58" i="15"/>
  <c r="AF59" i="15"/>
  <c r="AF60" i="15"/>
  <c r="AF61" i="15"/>
  <c r="AF62" i="15"/>
  <c r="AF63" i="15"/>
  <c r="AF64" i="15"/>
  <c r="AF65" i="15"/>
  <c r="AF66" i="15"/>
  <c r="AF67" i="15"/>
  <c r="AF68" i="15"/>
  <c r="AF69" i="15"/>
  <c r="AF70" i="15"/>
  <c r="AF71" i="15"/>
  <c r="AF72" i="15"/>
  <c r="AF73" i="15"/>
  <c r="AF74" i="15"/>
  <c r="AF75" i="15"/>
  <c r="AF76" i="15"/>
  <c r="AF77" i="15"/>
  <c r="AF78" i="15"/>
  <c r="AF79" i="15"/>
  <c r="AF80" i="15"/>
  <c r="AF81" i="15"/>
  <c r="AF82" i="15"/>
  <c r="AC6" i="15"/>
  <c r="AC7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23" i="15"/>
  <c r="AC24" i="15"/>
  <c r="AC25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38" i="15"/>
  <c r="AC39" i="15"/>
  <c r="AC40" i="15"/>
  <c r="AC41" i="15"/>
  <c r="AC42" i="15"/>
  <c r="AC43" i="15"/>
  <c r="AC44" i="15"/>
  <c r="AC45" i="15"/>
  <c r="AC46" i="15"/>
  <c r="AC47" i="15"/>
  <c r="AC48" i="15"/>
  <c r="AC49" i="15"/>
  <c r="AC50" i="15"/>
  <c r="AC51" i="15"/>
  <c r="AC52" i="15"/>
  <c r="AC53" i="15"/>
  <c r="AC54" i="15"/>
  <c r="AC55" i="15"/>
  <c r="AC56" i="15"/>
  <c r="AC57" i="15"/>
  <c r="AC58" i="15"/>
  <c r="AC59" i="15"/>
  <c r="AC60" i="15"/>
  <c r="AC61" i="15"/>
  <c r="AC62" i="15"/>
  <c r="AC63" i="15"/>
  <c r="AC64" i="15"/>
  <c r="AC65" i="15"/>
  <c r="AC66" i="15"/>
  <c r="AC67" i="15"/>
  <c r="AC68" i="15"/>
  <c r="AC69" i="15"/>
  <c r="AC70" i="15"/>
  <c r="AC71" i="15"/>
  <c r="AC72" i="15"/>
  <c r="AC73" i="15"/>
  <c r="AC74" i="15"/>
  <c r="AC75" i="15"/>
  <c r="AC76" i="15"/>
  <c r="AC77" i="15"/>
  <c r="AC78" i="15"/>
  <c r="AC79" i="15"/>
  <c r="AC80" i="15"/>
  <c r="AC81" i="15"/>
  <c r="AC82" i="15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49" i="15"/>
  <c r="Z50" i="15"/>
  <c r="Z51" i="15"/>
  <c r="Z52" i="15"/>
  <c r="Z53" i="15"/>
  <c r="Z54" i="15"/>
  <c r="Z55" i="15"/>
  <c r="Z56" i="15"/>
  <c r="Z57" i="15"/>
  <c r="Z58" i="15"/>
  <c r="Z59" i="15"/>
  <c r="Z60" i="15"/>
  <c r="Z61" i="15"/>
  <c r="Z62" i="15"/>
  <c r="Z63" i="15"/>
  <c r="Z64" i="15"/>
  <c r="Z65" i="15"/>
  <c r="Z66" i="15"/>
  <c r="Z67" i="15"/>
  <c r="Z68" i="15"/>
  <c r="Z69" i="15"/>
  <c r="Z70" i="15"/>
  <c r="Z71" i="15"/>
  <c r="Z72" i="15"/>
  <c r="Z73" i="15"/>
  <c r="Z74" i="15"/>
  <c r="Z75" i="15"/>
  <c r="Z76" i="15"/>
  <c r="Z77" i="15"/>
  <c r="Z78" i="15"/>
  <c r="Z79" i="15"/>
  <c r="Z80" i="15"/>
  <c r="Z81" i="15"/>
  <c r="Z82" i="15"/>
  <c r="W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6" i="15"/>
  <c r="W47" i="15"/>
  <c r="W48" i="15"/>
  <c r="W49" i="15"/>
  <c r="W50" i="15"/>
  <c r="W51" i="15"/>
  <c r="W52" i="15"/>
  <c r="W53" i="15"/>
  <c r="W54" i="15"/>
  <c r="W55" i="15"/>
  <c r="W56" i="15"/>
  <c r="W57" i="15"/>
  <c r="W58" i="15"/>
  <c r="W59" i="15"/>
  <c r="W60" i="15"/>
  <c r="W61" i="15"/>
  <c r="W62" i="15"/>
  <c r="W63" i="15"/>
  <c r="W64" i="15"/>
  <c r="W65" i="15"/>
  <c r="W66" i="15"/>
  <c r="W67" i="15"/>
  <c r="W68" i="15"/>
  <c r="W69" i="15"/>
  <c r="W70" i="15"/>
  <c r="W71" i="15"/>
  <c r="W72" i="15"/>
  <c r="W73" i="15"/>
  <c r="W74" i="15"/>
  <c r="W75" i="15"/>
  <c r="W76" i="15"/>
  <c r="W77" i="15"/>
  <c r="W78" i="15"/>
  <c r="W79" i="15"/>
  <c r="W80" i="15"/>
  <c r="W81" i="15"/>
  <c r="W82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77" i="15"/>
  <c r="T78" i="15"/>
  <c r="T79" i="15"/>
  <c r="T80" i="15"/>
  <c r="T81" i="15"/>
  <c r="T82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N29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AO8" i="14"/>
  <c r="AL8" i="14"/>
  <c r="AI8" i="14"/>
  <c r="AF8" i="14"/>
  <c r="AC8" i="14"/>
  <c r="Z8" i="14"/>
  <c r="W8" i="14"/>
  <c r="T8" i="14"/>
  <c r="Q8" i="14"/>
  <c r="N8" i="14"/>
  <c r="CB7" i="16"/>
  <c r="BY7" i="16"/>
  <c r="BV7" i="16"/>
  <c r="BS7" i="16"/>
  <c r="L182" i="3" s="1"/>
  <c r="X73" i="36" s="1"/>
  <c r="BP7" i="16"/>
  <c r="L181" i="3" s="1"/>
  <c r="X65" i="36" s="1"/>
  <c r="BM7" i="16"/>
  <c r="L180" i="3" s="1"/>
  <c r="X72" i="36" s="1"/>
  <c r="BJ7" i="16"/>
  <c r="L179" i="3" s="1"/>
  <c r="X71" i="36" s="1"/>
  <c r="BG7" i="16"/>
  <c r="L176" i="3" s="1"/>
  <c r="X70" i="36" s="1"/>
  <c r="BD7" i="16"/>
  <c r="L174" i="3" s="1"/>
  <c r="X68" i="36" s="1"/>
  <c r="BA7" i="16"/>
  <c r="L171" i="3" s="1"/>
  <c r="X64" i="36" s="1"/>
  <c r="AX7" i="16"/>
  <c r="L170" i="3" s="1"/>
  <c r="X69" i="36" s="1"/>
  <c r="AU7" i="16"/>
  <c r="L169" i="3" s="1"/>
  <c r="X67" i="36" s="1"/>
  <c r="AR7" i="16"/>
  <c r="L168" i="3" s="1"/>
  <c r="X66" i="36" s="1"/>
  <c r="AO7" i="16"/>
  <c r="L154" i="3" s="1"/>
  <c r="AL7" i="16"/>
  <c r="L145" i="3" s="1"/>
  <c r="AI7" i="16"/>
  <c r="L153" i="3" s="1"/>
  <c r="AF7" i="16"/>
  <c r="L144" i="3" s="1"/>
  <c r="AC7" i="16"/>
  <c r="L152" i="3" s="1"/>
  <c r="Z7" i="16"/>
  <c r="L143" i="3" s="1"/>
  <c r="W7" i="16"/>
  <c r="L151" i="3" s="1"/>
  <c r="N7" i="16"/>
  <c r="L138" i="3" s="1"/>
  <c r="Q7" i="16"/>
  <c r="L150" i="3" s="1"/>
  <c r="T7" i="16"/>
  <c r="L139" i="3" s="1"/>
  <c r="X49" i="36"/>
  <c r="X48" i="36"/>
  <c r="X47" i="36"/>
  <c r="X46" i="36"/>
  <c r="X45" i="36"/>
  <c r="X44" i="36"/>
  <c r="V10" i="37"/>
  <c r="S7" i="10"/>
  <c r="L83" i="3" s="1"/>
  <c r="X32" i="36" s="1"/>
  <c r="Y32" i="36" s="1"/>
  <c r="V7" i="10"/>
  <c r="L84" i="3" s="1"/>
  <c r="Y7" i="10"/>
  <c r="AB7" i="10"/>
  <c r="L85" i="3" s="1"/>
  <c r="AG7" i="10"/>
  <c r="L87" i="3" s="1"/>
  <c r="AH7" i="10"/>
  <c r="AI7" i="10"/>
  <c r="P7" i="10"/>
  <c r="L82" i="3" s="1"/>
  <c r="X34" i="36" s="1"/>
  <c r="Y34" i="36" s="1"/>
  <c r="A6" i="10"/>
  <c r="BD6" i="8"/>
  <c r="BD5" i="8"/>
  <c r="BA6" i="8"/>
  <c r="BA5" i="8"/>
  <c r="AX6" i="8"/>
  <c r="AX5" i="8"/>
  <c r="AX23" i="8" s="1"/>
  <c r="L68" i="3" s="1"/>
  <c r="AU6" i="8"/>
  <c r="AU5" i="8"/>
  <c r="AR6" i="8"/>
  <c r="AR5" i="8"/>
  <c r="AG6" i="8"/>
  <c r="AG5" i="8"/>
  <c r="AG23" i="8" s="1"/>
  <c r="L64" i="3" s="1"/>
  <c r="X28" i="36" s="1"/>
  <c r="Y28" i="36" s="1"/>
  <c r="BD23" i="8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W5" i="7"/>
  <c r="AW9" i="7" s="1"/>
  <c r="L42" i="3" s="1"/>
  <c r="AT5" i="7"/>
  <c r="AT9" i="7" s="1"/>
  <c r="L41" i="3" s="1"/>
  <c r="X19" i="36" s="1"/>
  <c r="Y19" i="36" s="1"/>
  <c r="AG9" i="7"/>
  <c r="L37" i="3" s="1"/>
  <c r="AA5" i="7"/>
  <c r="AA9" i="7" s="1"/>
  <c r="AF9" i="7"/>
  <c r="AF58" i="36" l="1"/>
  <c r="Z90" i="15"/>
  <c r="L187" i="3" s="1"/>
  <c r="X77" i="36" s="1"/>
  <c r="AI90" i="15"/>
  <c r="L190" i="3" s="1"/>
  <c r="AL90" i="15"/>
  <c r="L191" i="3" s="1"/>
  <c r="X79" i="36" s="1"/>
  <c r="AU90" i="15"/>
  <c r="L194" i="3" s="1"/>
  <c r="AX90" i="15"/>
  <c r="L195" i="3" s="1"/>
  <c r="BG90" i="15"/>
  <c r="L198" i="3" s="1"/>
  <c r="X74" i="36" s="1"/>
  <c r="BJ90" i="15"/>
  <c r="L199" i="3" s="1"/>
  <c r="AC90" i="15"/>
  <c r="L188" i="3" s="1"/>
  <c r="X78" i="36" s="1"/>
  <c r="AF90" i="15"/>
  <c r="L189" i="3" s="1"/>
  <c r="AO90" i="15"/>
  <c r="L192" i="3" s="1"/>
  <c r="AR90" i="15"/>
  <c r="L193" i="3" s="1"/>
  <c r="BA90" i="15"/>
  <c r="BD90" i="15"/>
  <c r="L197" i="3" s="1"/>
  <c r="W90" i="15"/>
  <c r="L186" i="3" s="1"/>
  <c r="T90" i="15"/>
  <c r="N90" i="15"/>
  <c r="L183" i="3" s="1"/>
  <c r="BA23" i="8"/>
  <c r="L69" i="3" s="1"/>
  <c r="AU23" i="8"/>
  <c r="L67" i="3" s="1"/>
  <c r="AR23" i="8"/>
  <c r="L66" i="3" s="1"/>
  <c r="AD5" i="7"/>
  <c r="AD9" i="7" s="1"/>
  <c r="L36" i="3" s="1"/>
  <c r="X5" i="7"/>
  <c r="X9" i="7" s="1"/>
  <c r="L35" i="3" s="1"/>
  <c r="U5" i="7"/>
  <c r="U9" i="7" s="1"/>
  <c r="L34" i="3" s="1"/>
  <c r="R5" i="7"/>
  <c r="R9" i="7" s="1"/>
  <c r="L33" i="3" s="1"/>
  <c r="A6" i="7"/>
  <c r="A7" i="7" s="1"/>
  <c r="A8" i="7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I17" i="6"/>
  <c r="AI9" i="6"/>
  <c r="AD9" i="6"/>
  <c r="AD17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5" i="6"/>
  <c r="BG144" i="5"/>
  <c r="L21" i="3" s="1"/>
  <c r="BD144" i="5"/>
  <c r="L14" i="3" s="1"/>
  <c r="BA144" i="5"/>
  <c r="L20" i="3" s="1"/>
  <c r="AN11" i="5"/>
  <c r="AN12" i="5"/>
  <c r="AN13" i="5"/>
  <c r="AN14" i="5"/>
  <c r="AN16" i="5"/>
  <c r="AN17" i="5"/>
  <c r="AN21" i="5"/>
  <c r="AN24" i="5"/>
  <c r="AN25" i="5"/>
  <c r="AN28" i="5"/>
  <c r="AN29" i="5"/>
  <c r="AN31" i="5"/>
  <c r="AN33" i="5"/>
  <c r="AN35" i="5"/>
  <c r="AN38" i="5"/>
  <c r="AN39" i="5"/>
  <c r="AN43" i="5"/>
  <c r="AN45" i="5"/>
  <c r="AN50" i="5"/>
  <c r="AN53" i="5"/>
  <c r="AN65" i="5"/>
  <c r="AN72" i="5"/>
  <c r="AN80" i="5"/>
  <c r="AN86" i="5"/>
  <c r="AN92" i="5"/>
  <c r="AN93" i="5"/>
  <c r="AN94" i="5"/>
  <c r="AN100" i="5"/>
  <c r="AN101" i="5"/>
  <c r="AN104" i="5"/>
  <c r="AN105" i="5"/>
  <c r="AN106" i="5"/>
  <c r="AN107" i="5"/>
  <c r="AN109" i="5"/>
  <c r="AN114" i="5"/>
  <c r="AN118" i="5"/>
  <c r="AN120" i="5"/>
  <c r="AN135" i="5"/>
  <c r="AN138" i="5"/>
  <c r="AN139" i="5"/>
  <c r="AN140" i="5"/>
  <c r="AN9" i="5"/>
  <c r="AC135" i="5"/>
  <c r="AC138" i="5"/>
  <c r="AC139" i="5"/>
  <c r="AC140" i="5"/>
  <c r="AC114" i="5"/>
  <c r="AC118" i="5"/>
  <c r="AC120" i="5"/>
  <c r="AC92" i="5"/>
  <c r="AC93" i="5"/>
  <c r="AC94" i="5"/>
  <c r="AC100" i="5"/>
  <c r="AC101" i="5"/>
  <c r="AC104" i="5"/>
  <c r="AC105" i="5"/>
  <c r="AC106" i="5"/>
  <c r="AC107" i="5"/>
  <c r="AC109" i="5"/>
  <c r="AC72" i="5"/>
  <c r="AC80" i="5"/>
  <c r="AC86" i="5"/>
  <c r="AC65" i="5"/>
  <c r="AC35" i="5"/>
  <c r="AC38" i="5"/>
  <c r="AC39" i="5"/>
  <c r="AC43" i="5"/>
  <c r="AC45" i="5"/>
  <c r="AC50" i="5"/>
  <c r="AC53" i="5"/>
  <c r="AC9" i="5"/>
  <c r="AC11" i="5"/>
  <c r="AC12" i="5"/>
  <c r="AC13" i="5"/>
  <c r="AC14" i="5"/>
  <c r="AC16" i="5"/>
  <c r="AC17" i="5"/>
  <c r="AC21" i="5"/>
  <c r="AC24" i="5"/>
  <c r="AC25" i="5"/>
  <c r="AC28" i="5"/>
  <c r="AC29" i="5"/>
  <c r="AC31" i="5"/>
  <c r="AC33" i="5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X13" i="36" l="1"/>
  <c r="Y13" i="36" s="1"/>
  <c r="X17" i="36"/>
  <c r="Y17" i="36" s="1"/>
  <c r="Y37" i="36"/>
  <c r="AA37" i="36"/>
  <c r="L185" i="3"/>
  <c r="X76" i="36" s="1"/>
  <c r="L196" i="3"/>
  <c r="X75" i="36" s="1"/>
  <c r="AI47" i="6"/>
  <c r="L31" i="3" s="1"/>
  <c r="X16" i="36" s="1"/>
  <c r="Y16" i="36" s="1"/>
  <c r="AD47" i="6"/>
  <c r="L29" i="3" s="1"/>
  <c r="S47" i="6"/>
  <c r="L24" i="3" s="1"/>
  <c r="N47" i="6"/>
  <c r="L23" i="3" s="1"/>
  <c r="AN144" i="5"/>
  <c r="L11" i="3" s="1"/>
  <c r="AC144" i="5"/>
  <c r="L9" i="3" s="1"/>
  <c r="J7" i="29"/>
  <c r="X122" i="5"/>
  <c r="X123" i="5"/>
  <c r="X117" i="5"/>
  <c r="X81" i="5"/>
  <c r="X83" i="5"/>
  <c r="X75" i="5"/>
  <c r="X76" i="5"/>
  <c r="X78" i="5"/>
  <c r="X64" i="5"/>
  <c r="X67" i="5"/>
  <c r="X68" i="5"/>
  <c r="X70" i="5"/>
  <c r="X52" i="5"/>
  <c r="X55" i="5"/>
  <c r="X56" i="5"/>
  <c r="X57" i="5"/>
  <c r="X44" i="5"/>
  <c r="X40" i="5"/>
  <c r="X6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39" i="5"/>
  <c r="U140" i="5"/>
  <c r="U141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60" i="5"/>
  <c r="U61" i="5"/>
  <c r="U62" i="5"/>
  <c r="U63" i="5"/>
  <c r="U64" i="5"/>
  <c r="U65" i="5"/>
  <c r="U66" i="5"/>
  <c r="U67" i="5"/>
  <c r="U68" i="5"/>
  <c r="U69" i="5"/>
  <c r="U70" i="5"/>
  <c r="U71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5" i="5"/>
  <c r="L247" i="3"/>
  <c r="X43" i="36" s="1"/>
  <c r="A6" i="28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U144" i="5" l="1"/>
  <c r="L7" i="3" s="1"/>
  <c r="X144" i="5"/>
  <c r="L8" i="3" s="1"/>
  <c r="Q10" i="31" l="1"/>
  <c r="P10" i="31"/>
  <c r="U10" i="31"/>
  <c r="T10" i="31"/>
  <c r="H10" i="31"/>
  <c r="K259" i="3" s="1"/>
  <c r="I10" i="31"/>
  <c r="M259" i="3" s="1"/>
  <c r="J10" i="31"/>
  <c r="L259" i="3" s="1"/>
  <c r="L261" i="3" s="1"/>
  <c r="G10" i="31"/>
  <c r="P6" i="13" l="1"/>
  <c r="P7" i="13" s="1"/>
  <c r="L135" i="3" s="1"/>
  <c r="M6" i="13"/>
  <c r="M7" i="13" s="1"/>
  <c r="L134" i="3" s="1"/>
  <c r="X50" i="36" s="1"/>
  <c r="R91" i="36" l="1"/>
  <c r="R92" i="36"/>
  <c r="Q91" i="36"/>
  <c r="Q92" i="36"/>
  <c r="J7" i="23" l="1"/>
  <c r="J8" i="23"/>
  <c r="J9" i="23"/>
  <c r="J6" i="23"/>
  <c r="P22" i="37" l="1"/>
  <c r="P17" i="37"/>
  <c r="Q96" i="36"/>
  <c r="Q97" i="36"/>
  <c r="Q100" i="36"/>
  <c r="Q101" i="36"/>
  <c r="R43" i="36"/>
  <c r="Y38" i="36"/>
  <c r="Y39" i="36"/>
  <c r="Y40" i="36"/>
  <c r="Y41" i="36"/>
  <c r="Y42" i="36"/>
  <c r="Y44" i="36"/>
  <c r="Y45" i="36"/>
  <c r="Y46" i="36"/>
  <c r="Y47" i="36"/>
  <c r="Y48" i="36"/>
  <c r="Y49" i="36"/>
  <c r="Y50" i="36"/>
  <c r="Y63" i="36"/>
  <c r="Y66" i="36"/>
  <c r="Y64" i="36"/>
  <c r="Y68" i="36"/>
  <c r="Y67" i="36"/>
  <c r="Y65" i="36"/>
  <c r="Y69" i="36"/>
  <c r="Y70" i="36"/>
  <c r="Y71" i="36"/>
  <c r="Y72" i="36"/>
  <c r="Y73" i="36"/>
  <c r="Y77" i="36"/>
  <c r="Y78" i="36"/>
  <c r="Y75" i="36"/>
  <c r="Y79" i="36"/>
  <c r="Y76" i="36"/>
  <c r="Y74" i="36"/>
  <c r="Y80" i="36"/>
  <c r="Y81" i="36"/>
  <c r="Y82" i="36"/>
  <c r="Y83" i="36"/>
  <c r="Y84" i="36"/>
  <c r="Y85" i="36"/>
  <c r="Y86" i="36"/>
  <c r="Y87" i="36"/>
  <c r="Y88" i="36"/>
  <c r="Y89" i="36"/>
  <c r="Y90" i="36"/>
  <c r="Y93" i="36"/>
  <c r="Y96" i="36"/>
  <c r="Y97" i="36"/>
  <c r="Y100" i="36"/>
  <c r="Y101" i="36"/>
  <c r="V92" i="36" l="1"/>
  <c r="U92" i="36"/>
  <c r="P13" i="37"/>
  <c r="Q51" i="36"/>
  <c r="R51" i="36"/>
  <c r="Q43" i="36"/>
  <c r="P11" i="37"/>
  <c r="M261" i="3"/>
  <c r="N261" i="3"/>
  <c r="O261" i="3"/>
  <c r="P261" i="3"/>
  <c r="K261" i="3"/>
  <c r="N258" i="3"/>
  <c r="P258" i="3"/>
  <c r="N251" i="3"/>
  <c r="AE51" i="36" s="1"/>
  <c r="O251" i="3"/>
  <c r="AB51" i="36" s="1"/>
  <c r="P251" i="3"/>
  <c r="AF51" i="36" s="1"/>
  <c r="M247" i="3"/>
  <c r="N247" i="3"/>
  <c r="O247" i="3"/>
  <c r="P247" i="3"/>
  <c r="Y43" i="36"/>
  <c r="K247" i="3"/>
  <c r="T43" i="36" s="1"/>
  <c r="U96" i="36"/>
  <c r="U97" i="36"/>
  <c r="U100" i="36"/>
  <c r="U101" i="36"/>
  <c r="O255" i="3"/>
  <c r="AB91" i="36" s="1"/>
  <c r="I220" i="23"/>
  <c r="J220" i="23"/>
  <c r="I7" i="16"/>
  <c r="J7" i="16"/>
  <c r="K7" i="16"/>
  <c r="H7" i="16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J90" i="15"/>
  <c r="I90" i="15"/>
  <c r="K255" i="3" s="1"/>
  <c r="M238" i="3"/>
  <c r="I8" i="14"/>
  <c r="J8" i="14"/>
  <c r="K8" i="14"/>
  <c r="H8" i="14"/>
  <c r="J6" i="13"/>
  <c r="J7" i="13" s="1"/>
  <c r="L250" i="3" s="1"/>
  <c r="H7" i="13"/>
  <c r="K250" i="3" s="1"/>
  <c r="I7" i="13"/>
  <c r="M250" i="3" s="1"/>
  <c r="M251" i="3" s="1"/>
  <c r="G7" i="13"/>
  <c r="I7" i="10"/>
  <c r="K243" i="3" s="1"/>
  <c r="J7" i="10"/>
  <c r="M243" i="3" s="1"/>
  <c r="K7" i="10"/>
  <c r="L243" i="3" s="1"/>
  <c r="H7" i="10"/>
  <c r="J6" i="8"/>
  <c r="J5" i="8"/>
  <c r="I23" i="8"/>
  <c r="M242" i="3" s="1"/>
  <c r="H23" i="8"/>
  <c r="K242" i="3" s="1"/>
  <c r="J47" i="6"/>
  <c r="M239" i="3" s="1"/>
  <c r="I9" i="7"/>
  <c r="K240" i="3" s="1"/>
  <c r="H9" i="7"/>
  <c r="J5" i="7"/>
  <c r="J6" i="29"/>
  <c r="J8" i="29"/>
  <c r="J9" i="29"/>
  <c r="J10" i="29"/>
  <c r="J11" i="29"/>
  <c r="J12" i="29"/>
  <c r="J13" i="29"/>
  <c r="J14" i="29"/>
  <c r="J15" i="29"/>
  <c r="J16" i="29"/>
  <c r="J5" i="29"/>
  <c r="I23" i="29"/>
  <c r="N239" i="3" s="1"/>
  <c r="N244" i="3" s="1"/>
  <c r="AE36" i="36" s="1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5" i="6"/>
  <c r="I47" i="6"/>
  <c r="K239" i="3" s="1"/>
  <c r="H47" i="6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5" i="25"/>
  <c r="J31" i="25"/>
  <c r="I31" i="25"/>
  <c r="K251" i="3" l="1"/>
  <c r="T51" i="36" s="1"/>
  <c r="AC43" i="36"/>
  <c r="AD43" i="36" s="1"/>
  <c r="O258" i="3"/>
  <c r="K90" i="15"/>
  <c r="L255" i="3" s="1"/>
  <c r="J23" i="8"/>
  <c r="L242" i="3" s="1"/>
  <c r="J9" i="7"/>
  <c r="M240" i="3" s="1"/>
  <c r="M244" i="3" s="1"/>
  <c r="K5" i="7"/>
  <c r="K9" i="7" s="1"/>
  <c r="L240" i="3" s="1"/>
  <c r="L251" i="3"/>
  <c r="X51" i="36" s="1"/>
  <c r="L252" i="3"/>
  <c r="K252" i="3"/>
  <c r="J23" i="29"/>
  <c r="V13" i="37"/>
  <c r="Q11" i="37"/>
  <c r="R36" i="36"/>
  <c r="Q36" i="36"/>
  <c r="K47" i="6"/>
  <c r="L239" i="3" s="1"/>
  <c r="K31" i="25"/>
  <c r="H31" i="25"/>
  <c r="H8" i="24"/>
  <c r="I8" i="24"/>
  <c r="G8" i="24"/>
  <c r="J6" i="24"/>
  <c r="J7" i="24"/>
  <c r="J5" i="24"/>
  <c r="H7" i="26"/>
  <c r="I7" i="26"/>
  <c r="G7" i="26"/>
  <c r="J6" i="27"/>
  <c r="J7" i="27"/>
  <c r="J8" i="27"/>
  <c r="J9" i="27"/>
  <c r="J10" i="27"/>
  <c r="J11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2" i="27"/>
  <c r="J5" i="27"/>
  <c r="I33" i="27"/>
  <c r="H13" i="27"/>
  <c r="H14" i="27"/>
  <c r="H15" i="27"/>
  <c r="H10" i="27"/>
  <c r="H8" i="27"/>
  <c r="H26" i="27"/>
  <c r="H20" i="27"/>
  <c r="H16" i="27"/>
  <c r="H21" i="27"/>
  <c r="H30" i="27"/>
  <c r="H5" i="27"/>
  <c r="H22" i="27"/>
  <c r="H6" i="27"/>
  <c r="H17" i="27"/>
  <c r="H9" i="27"/>
  <c r="H23" i="27"/>
  <c r="H24" i="27"/>
  <c r="H31" i="27"/>
  <c r="H29" i="27"/>
  <c r="H7" i="27"/>
  <c r="H18" i="27"/>
  <c r="H12" i="27"/>
  <c r="H32" i="27"/>
  <c r="H25" i="27"/>
  <c r="H19" i="27"/>
  <c r="H27" i="27"/>
  <c r="H28" i="27"/>
  <c r="K33" i="27"/>
  <c r="J6" i="28"/>
  <c r="H6" i="28"/>
  <c r="J5" i="28"/>
  <c r="H5" i="28"/>
  <c r="I7" i="28"/>
  <c r="K136" i="5"/>
  <c r="K137" i="5"/>
  <c r="K138" i="5"/>
  <c r="K139" i="5"/>
  <c r="K140" i="5"/>
  <c r="K141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5" i="5"/>
  <c r="H37" i="5"/>
  <c r="H83" i="5"/>
  <c r="H81" i="5"/>
  <c r="H78" i="5"/>
  <c r="H76" i="5"/>
  <c r="H15" i="5"/>
  <c r="H117" i="5"/>
  <c r="H75" i="5"/>
  <c r="H133" i="5"/>
  <c r="H122" i="5"/>
  <c r="H6" i="5"/>
  <c r="H70" i="5"/>
  <c r="H68" i="5"/>
  <c r="H67" i="5"/>
  <c r="H42" i="5"/>
  <c r="H64" i="5"/>
  <c r="H52" i="5"/>
  <c r="H49" i="5"/>
  <c r="H123" i="5"/>
  <c r="H56" i="5"/>
  <c r="H40" i="5"/>
  <c r="H55" i="5"/>
  <c r="H126" i="5"/>
  <c r="H18" i="5"/>
  <c r="H48" i="5"/>
  <c r="H115" i="5"/>
  <c r="H141" i="5"/>
  <c r="H85" i="5"/>
  <c r="H30" i="5"/>
  <c r="H11" i="5"/>
  <c r="H113" i="5"/>
  <c r="H17" i="5"/>
  <c r="H114" i="5"/>
  <c r="H135" i="5"/>
  <c r="H97" i="5"/>
  <c r="H110" i="5"/>
  <c r="H84" i="5"/>
  <c r="H111" i="5"/>
  <c r="H112" i="5"/>
  <c r="H51" i="5"/>
  <c r="H21" i="5"/>
  <c r="H47" i="5"/>
  <c r="H134" i="5"/>
  <c r="H82" i="5"/>
  <c r="H95" i="5"/>
  <c r="H120" i="5"/>
  <c r="H79" i="5"/>
  <c r="H96" i="5"/>
  <c r="H7" i="5"/>
  <c r="H80" i="5"/>
  <c r="H125" i="5"/>
  <c r="H109" i="5"/>
  <c r="H36" i="5"/>
  <c r="H16" i="5"/>
  <c r="H77" i="5"/>
  <c r="H108" i="5"/>
  <c r="H28" i="5"/>
  <c r="H29" i="5"/>
  <c r="H94" i="5"/>
  <c r="H119" i="5"/>
  <c r="H45" i="5"/>
  <c r="H104" i="5"/>
  <c r="H105" i="5"/>
  <c r="H46" i="5"/>
  <c r="H93" i="5"/>
  <c r="H106" i="5"/>
  <c r="H107" i="5"/>
  <c r="H20" i="5"/>
  <c r="H118" i="5"/>
  <c r="H103" i="5"/>
  <c r="H27" i="5"/>
  <c r="H26" i="5"/>
  <c r="H43" i="5"/>
  <c r="H44" i="5"/>
  <c r="H14" i="5"/>
  <c r="H130" i="5"/>
  <c r="H74" i="5"/>
  <c r="H19" i="5"/>
  <c r="H25" i="5"/>
  <c r="H102" i="5"/>
  <c r="H35" i="5"/>
  <c r="H71" i="5"/>
  <c r="H127" i="5"/>
  <c r="H128" i="5"/>
  <c r="H132" i="5"/>
  <c r="H129" i="5"/>
  <c r="H72" i="5"/>
  <c r="H137" i="5"/>
  <c r="H90" i="5"/>
  <c r="H91" i="5"/>
  <c r="H73" i="5"/>
  <c r="H100" i="5"/>
  <c r="H92" i="5"/>
  <c r="H101" i="5"/>
  <c r="H24" i="5"/>
  <c r="H69" i="5"/>
  <c r="H23" i="5"/>
  <c r="H33" i="5"/>
  <c r="H99" i="5"/>
  <c r="H34" i="5"/>
  <c r="H124" i="5"/>
  <c r="H140" i="5"/>
  <c r="H66" i="5"/>
  <c r="H121" i="5"/>
  <c r="H13" i="5"/>
  <c r="H65" i="5"/>
  <c r="H59" i="5"/>
  <c r="H22" i="5"/>
  <c r="H60" i="5"/>
  <c r="H138" i="5"/>
  <c r="H61" i="5"/>
  <c r="H9" i="5"/>
  <c r="H139" i="5"/>
  <c r="H89" i="5"/>
  <c r="H12" i="5"/>
  <c r="H62" i="5"/>
  <c r="H5" i="5"/>
  <c r="H63" i="5"/>
  <c r="H10" i="5"/>
  <c r="H41" i="5"/>
  <c r="H58" i="5"/>
  <c r="H54" i="5"/>
  <c r="H88" i="5"/>
  <c r="H87" i="5"/>
  <c r="I144" i="5"/>
  <c r="K238" i="3" s="1"/>
  <c r="K244" i="3" l="1"/>
  <c r="U36" i="36" s="1"/>
  <c r="X91" i="36"/>
  <c r="AC51" i="36"/>
  <c r="AD51" i="36" s="1"/>
  <c r="J8" i="24"/>
  <c r="Y92" i="36"/>
  <c r="V22" i="37"/>
  <c r="W22" i="37" s="1"/>
  <c r="Z92" i="36"/>
  <c r="O238" i="3"/>
  <c r="O244" i="3" s="1"/>
  <c r="AB36" i="36" s="1"/>
  <c r="P238" i="3"/>
  <c r="P244" i="3" s="1"/>
  <c r="AF36" i="36" s="1"/>
  <c r="L258" i="3"/>
  <c r="T91" i="36"/>
  <c r="K258" i="3"/>
  <c r="K144" i="5"/>
  <c r="L238" i="3" s="1"/>
  <c r="Y51" i="36"/>
  <c r="V17" i="37"/>
  <c r="X17" i="37" s="1"/>
  <c r="Z51" i="36"/>
  <c r="V51" i="36"/>
  <c r="U51" i="36"/>
  <c r="J33" i="27"/>
  <c r="H33" i="27"/>
  <c r="J7" i="28"/>
  <c r="H7" i="28"/>
  <c r="H144" i="5"/>
  <c r="AA47" i="6"/>
  <c r="X12" i="6"/>
  <c r="X8" i="6"/>
  <c r="X9" i="6"/>
  <c r="X14" i="6"/>
  <c r="X16" i="6"/>
  <c r="X17" i="6"/>
  <c r="X6" i="6"/>
  <c r="X21" i="6"/>
  <c r="X22" i="6"/>
  <c r="X23" i="6"/>
  <c r="X10" i="6"/>
  <c r="X15" i="6"/>
  <c r="X7" i="6"/>
  <c r="X5" i="6"/>
  <c r="X20" i="6"/>
  <c r="X11" i="6"/>
  <c r="X13" i="6"/>
  <c r="X18" i="6"/>
  <c r="X19" i="6"/>
  <c r="X13" i="37"/>
  <c r="W13" i="37"/>
  <c r="R17" i="37"/>
  <c r="AU115" i="5"/>
  <c r="AU141" i="5"/>
  <c r="AU85" i="5"/>
  <c r="AU135" i="5"/>
  <c r="AU97" i="5"/>
  <c r="AU110" i="5"/>
  <c r="AU84" i="5"/>
  <c r="AU111" i="5"/>
  <c r="AU112" i="5"/>
  <c r="AU51" i="5"/>
  <c r="AU21" i="5"/>
  <c r="AU47" i="5"/>
  <c r="AU11" i="5"/>
  <c r="AU113" i="5"/>
  <c r="AU17" i="5"/>
  <c r="AU114" i="5"/>
  <c r="AU37" i="5"/>
  <c r="AU30" i="5"/>
  <c r="AU18" i="5"/>
  <c r="AU48" i="5"/>
  <c r="AU134" i="5"/>
  <c r="AU82" i="5"/>
  <c r="AU95" i="5"/>
  <c r="AU120" i="5"/>
  <c r="AU79" i="5"/>
  <c r="AU96" i="5"/>
  <c r="AU7" i="5"/>
  <c r="AU80" i="5"/>
  <c r="AU125" i="5"/>
  <c r="AU109" i="5"/>
  <c r="AU36" i="5"/>
  <c r="AU16" i="5"/>
  <c r="AU77" i="5"/>
  <c r="AU108" i="5"/>
  <c r="AU28" i="5"/>
  <c r="AU29" i="5"/>
  <c r="AU94" i="5"/>
  <c r="AU119" i="5"/>
  <c r="AU45" i="5"/>
  <c r="AU104" i="5"/>
  <c r="AU105" i="5"/>
  <c r="AU46" i="5"/>
  <c r="AU93" i="5"/>
  <c r="AU106" i="5"/>
  <c r="AU107" i="5"/>
  <c r="AU20" i="5"/>
  <c r="AU15" i="5"/>
  <c r="AU118" i="5"/>
  <c r="AU133" i="5"/>
  <c r="AU103" i="5"/>
  <c r="AU27" i="5"/>
  <c r="AU26" i="5"/>
  <c r="AU130" i="5"/>
  <c r="AU74" i="5"/>
  <c r="AU19" i="5"/>
  <c r="AU25" i="5"/>
  <c r="AU102" i="5"/>
  <c r="AU14" i="5"/>
  <c r="AU35" i="5"/>
  <c r="AU71" i="5"/>
  <c r="AU127" i="5"/>
  <c r="AU128" i="5"/>
  <c r="AU132" i="5"/>
  <c r="AU129" i="5"/>
  <c r="AU72" i="5"/>
  <c r="AU137" i="5"/>
  <c r="AU90" i="5"/>
  <c r="AU91" i="5"/>
  <c r="AU73" i="5"/>
  <c r="AU100" i="5"/>
  <c r="AU92" i="5"/>
  <c r="AU101" i="5"/>
  <c r="AU43" i="5"/>
  <c r="AU24" i="5"/>
  <c r="AU69" i="5"/>
  <c r="AU42" i="5"/>
  <c r="AU13" i="5"/>
  <c r="AU33" i="5"/>
  <c r="AU99" i="5"/>
  <c r="AU34" i="5"/>
  <c r="AU124" i="5"/>
  <c r="AU140" i="5"/>
  <c r="AU66" i="5"/>
  <c r="AU121" i="5"/>
  <c r="AU67" i="5"/>
  <c r="AU23" i="5"/>
  <c r="AU65" i="5"/>
  <c r="AU41" i="5"/>
  <c r="AU59" i="5"/>
  <c r="AU22" i="5"/>
  <c r="AU60" i="5"/>
  <c r="AU138" i="5"/>
  <c r="AU61" i="5"/>
  <c r="AU9" i="5"/>
  <c r="AU139" i="5"/>
  <c r="AU89" i="5"/>
  <c r="AU12" i="5"/>
  <c r="AU62" i="5"/>
  <c r="AU5" i="5"/>
  <c r="AU63" i="5"/>
  <c r="AU10" i="5"/>
  <c r="AU58" i="5"/>
  <c r="AU98" i="5"/>
  <c r="AU50" i="5"/>
  <c r="AU32" i="5"/>
  <c r="AU86" i="5"/>
  <c r="AU39" i="5"/>
  <c r="AU8" i="5"/>
  <c r="AU116" i="5"/>
  <c r="AU38" i="5"/>
  <c r="AU131" i="5"/>
  <c r="AU49" i="5"/>
  <c r="AU136" i="5"/>
  <c r="AU31" i="5"/>
  <c r="AX83" i="5"/>
  <c r="AX81" i="5"/>
  <c r="AX78" i="5"/>
  <c r="AX76" i="5"/>
  <c r="AX117" i="5"/>
  <c r="AX75" i="5"/>
  <c r="AX122" i="5"/>
  <c r="AX6" i="5"/>
  <c r="AX44" i="5"/>
  <c r="AX70" i="5"/>
  <c r="AX68" i="5"/>
  <c r="AX67" i="5"/>
  <c r="AX64" i="5"/>
  <c r="AX56" i="5"/>
  <c r="AX40" i="5"/>
  <c r="AX57" i="5"/>
  <c r="AX55" i="5"/>
  <c r="AX52" i="5"/>
  <c r="AX123" i="5"/>
  <c r="V36" i="36" l="1"/>
  <c r="AC36" i="36"/>
  <c r="AD36" i="36" s="1"/>
  <c r="AC91" i="36"/>
  <c r="AD91" i="36" s="1"/>
  <c r="X22" i="37"/>
  <c r="V91" i="36"/>
  <c r="U91" i="36"/>
  <c r="L244" i="3"/>
  <c r="W17" i="37"/>
  <c r="X47" i="6"/>
  <c r="AU144" i="5"/>
  <c r="AX144" i="5"/>
  <c r="R11" i="37"/>
  <c r="R13" i="37"/>
  <c r="R21" i="37"/>
  <c r="R22" i="37"/>
  <c r="Q13" i="37"/>
  <c r="Q17" i="37"/>
  <c r="Q21" i="37"/>
  <c r="Q22" i="37"/>
  <c r="V11" i="37" l="1"/>
  <c r="X11" i="37" s="1"/>
  <c r="Z36" i="36"/>
  <c r="Y36" i="36"/>
  <c r="L25" i="3"/>
  <c r="X15" i="36" s="1"/>
  <c r="Z91" i="36"/>
  <c r="V21" i="37"/>
  <c r="Y91" i="36"/>
  <c r="L13" i="3"/>
  <c r="X12" i="36" s="1"/>
  <c r="L12" i="3"/>
  <c r="V20" i="37"/>
  <c r="V16" i="37"/>
  <c r="V15" i="37"/>
  <c r="V14" i="37"/>
  <c r="X11" i="36" l="1"/>
  <c r="W11" i="37"/>
  <c r="W8" i="37"/>
  <c r="X21" i="37"/>
  <c r="W21" i="37"/>
  <c r="W12" i="37"/>
  <c r="W16" i="37"/>
  <c r="W15" i="37"/>
  <c r="W10" i="37"/>
  <c r="W14" i="37"/>
  <c r="W20" i="37"/>
  <c r="W9" i="37" l="1"/>
  <c r="Y9" i="37"/>
  <c r="Z11" i="36"/>
  <c r="Y11" i="36"/>
  <c r="V7" i="37"/>
  <c r="Z12" i="36"/>
  <c r="Y12" i="36"/>
  <c r="Y15" i="36"/>
  <c r="AA15" i="36"/>
  <c r="Q89" i="36"/>
  <c r="Q88" i="36"/>
  <c r="Q87" i="36"/>
  <c r="Q86" i="36"/>
  <c r="Q85" i="36"/>
  <c r="Q84" i="36"/>
  <c r="Q83" i="36"/>
  <c r="Q82" i="36"/>
  <c r="Q81" i="36"/>
  <c r="Q80" i="36"/>
  <c r="AB73" i="36"/>
  <c r="AE73" i="36"/>
  <c r="AB72" i="36"/>
  <c r="AE72" i="36"/>
  <c r="AB71" i="36"/>
  <c r="AE71" i="36"/>
  <c r="AB70" i="36"/>
  <c r="AE70" i="36"/>
  <c r="AB69" i="36"/>
  <c r="AE69" i="36"/>
  <c r="AB65" i="36"/>
  <c r="AE65" i="36"/>
  <c r="AB67" i="36"/>
  <c r="AE67" i="36"/>
  <c r="AB68" i="36"/>
  <c r="AE68" i="36"/>
  <c r="AB64" i="36"/>
  <c r="AE64" i="36"/>
  <c r="AB66" i="36"/>
  <c r="AE66" i="36"/>
  <c r="AB63" i="36"/>
  <c r="AC63" i="36" s="1"/>
  <c r="AD63" i="36" s="1"/>
  <c r="AE63" i="36"/>
  <c r="Q63" i="36"/>
  <c r="AB62" i="36"/>
  <c r="AE62" i="36"/>
  <c r="AB61" i="36"/>
  <c r="AE61" i="36"/>
  <c r="AE60" i="36"/>
  <c r="AE59" i="36"/>
  <c r="AE58" i="36"/>
  <c r="AF50" i="36"/>
  <c r="AB50" i="36"/>
  <c r="AE50" i="36"/>
  <c r="AF49" i="36"/>
  <c r="AB49" i="36"/>
  <c r="AE49" i="36"/>
  <c r="T49" i="36"/>
  <c r="P49" i="36"/>
  <c r="Q49" i="36" s="1"/>
  <c r="AF48" i="36"/>
  <c r="AB48" i="36"/>
  <c r="AE48" i="36"/>
  <c r="T48" i="36"/>
  <c r="P48" i="36"/>
  <c r="Q48" i="36" s="1"/>
  <c r="AF47" i="36"/>
  <c r="AB47" i="36"/>
  <c r="AE47" i="36"/>
  <c r="T47" i="36"/>
  <c r="P47" i="36"/>
  <c r="Q47" i="36" s="1"/>
  <c r="AF46" i="36"/>
  <c r="AB46" i="36"/>
  <c r="AE46" i="36"/>
  <c r="T46" i="36"/>
  <c r="P46" i="36"/>
  <c r="Q46" i="36" s="1"/>
  <c r="AF45" i="36"/>
  <c r="AB45" i="36"/>
  <c r="AE45" i="36"/>
  <c r="T45" i="36"/>
  <c r="P45" i="36"/>
  <c r="Q45" i="36" s="1"/>
  <c r="AF44" i="36"/>
  <c r="AB44" i="36"/>
  <c r="AE44" i="36"/>
  <c r="T44" i="36"/>
  <c r="P44" i="36"/>
  <c r="Q44" i="36" s="1"/>
  <c r="AF42" i="36"/>
  <c r="AB42" i="36"/>
  <c r="AE42" i="36"/>
  <c r="T42" i="36"/>
  <c r="P42" i="36"/>
  <c r="Q42" i="36" s="1"/>
  <c r="AF41" i="36"/>
  <c r="AB41" i="36"/>
  <c r="AE41" i="36"/>
  <c r="T41" i="36"/>
  <c r="P41" i="36"/>
  <c r="Q41" i="36" s="1"/>
  <c r="AF40" i="36"/>
  <c r="AB40" i="36"/>
  <c r="AE40" i="36"/>
  <c r="T40" i="36"/>
  <c r="P40" i="36"/>
  <c r="Q40" i="36" s="1"/>
  <c r="AF39" i="36"/>
  <c r="AB39" i="36"/>
  <c r="AE39" i="36"/>
  <c r="T39" i="36"/>
  <c r="P39" i="36"/>
  <c r="Q39" i="36" s="1"/>
  <c r="AF38" i="36"/>
  <c r="AB38" i="36"/>
  <c r="AE38" i="36"/>
  <c r="T38" i="36"/>
  <c r="P38" i="36"/>
  <c r="Q38" i="36" s="1"/>
  <c r="D2" i="36"/>
  <c r="X7" i="37" l="1"/>
  <c r="W7" i="37"/>
  <c r="AC38" i="36"/>
  <c r="AD38" i="36" s="1"/>
  <c r="AC42" i="36"/>
  <c r="AD42" i="36" s="1"/>
  <c r="AC47" i="36"/>
  <c r="AD47" i="36" s="1"/>
  <c r="AC39" i="36"/>
  <c r="AD39" i="36" s="1"/>
  <c r="AC44" i="36"/>
  <c r="AD44" i="36" s="1"/>
  <c r="AC48" i="36"/>
  <c r="AD48" i="36" s="1"/>
  <c r="AC40" i="36"/>
  <c r="AD40" i="36" s="1"/>
  <c r="AC45" i="36"/>
  <c r="AD45" i="36" s="1"/>
  <c r="AC49" i="36"/>
  <c r="AD49" i="36" s="1"/>
  <c r="AC41" i="36"/>
  <c r="AD41" i="36" s="1"/>
  <c r="AC46" i="36"/>
  <c r="AD46" i="36" s="1"/>
  <c r="U40" i="36"/>
  <c r="U49" i="36"/>
  <c r="U82" i="36"/>
  <c r="U86" i="36"/>
  <c r="U90" i="36"/>
  <c r="U41" i="36"/>
  <c r="U83" i="36"/>
  <c r="U87" i="36"/>
  <c r="U38" i="36"/>
  <c r="U42" i="36"/>
  <c r="U47" i="36"/>
  <c r="U80" i="36"/>
  <c r="U84" i="36"/>
  <c r="U88" i="36"/>
  <c r="U39" i="36"/>
  <c r="U44" i="36"/>
  <c r="U48" i="36"/>
  <c r="U63" i="36"/>
  <c r="U81" i="36"/>
  <c r="U85" i="36"/>
  <c r="U89" i="36"/>
  <c r="U45" i="36"/>
  <c r="P15" i="37"/>
  <c r="U46" i="36"/>
  <c r="P14" i="37"/>
  <c r="U37" i="36" l="1"/>
  <c r="W37" i="36"/>
  <c r="AD37" i="36"/>
  <c r="Q15" i="37"/>
  <c r="Q14" i="37"/>
  <c r="Q12" i="37"/>
  <c r="Z6" i="32" l="1"/>
  <c r="X6" i="32"/>
  <c r="V6" i="32"/>
  <c r="T6" i="32"/>
  <c r="R6" i="32"/>
  <c r="P6" i="32"/>
  <c r="N6" i="32"/>
  <c r="O224" i="3" s="1"/>
  <c r="AB94" i="36" s="1"/>
  <c r="AB95" i="36" s="1"/>
  <c r="L6" i="32"/>
  <c r="AF10" i="31"/>
  <c r="AE10" i="31"/>
  <c r="K230" i="3" s="1"/>
  <c r="T100" i="36" s="1"/>
  <c r="AD10" i="31"/>
  <c r="AC10" i="31"/>
  <c r="K229" i="3" s="1"/>
  <c r="T99" i="36" s="1"/>
  <c r="AB10" i="31"/>
  <c r="AA10" i="31"/>
  <c r="K228" i="3" s="1"/>
  <c r="T98" i="36" s="1"/>
  <c r="Z10" i="31"/>
  <c r="Y10" i="31"/>
  <c r="K227" i="3" s="1"/>
  <c r="T97" i="36" s="1"/>
  <c r="W10" i="31"/>
  <c r="V10" i="31"/>
  <c r="K226" i="3" s="1"/>
  <c r="T96" i="36" s="1"/>
  <c r="S10" i="31"/>
  <c r="R10" i="31"/>
  <c r="K225" i="3" s="1"/>
  <c r="O10" i="31"/>
  <c r="N10" i="31"/>
  <c r="K224" i="3" s="1"/>
  <c r="T94" i="36" s="1"/>
  <c r="L10" i="31"/>
  <c r="M223" i="3" s="1"/>
  <c r="P93" i="36" s="1"/>
  <c r="K10" i="31"/>
  <c r="K223" i="3" s="1"/>
  <c r="T93" i="36" s="1"/>
  <c r="AR220" i="23"/>
  <c r="O199" i="3" s="1"/>
  <c r="AQ220" i="23"/>
  <c r="AP220" i="23"/>
  <c r="O198" i="3" s="1"/>
  <c r="AB74" i="36" s="1"/>
  <c r="AO220" i="23"/>
  <c r="AN220" i="23"/>
  <c r="O197" i="3" s="1"/>
  <c r="AM220" i="23"/>
  <c r="AL220" i="23"/>
  <c r="O196" i="3" s="1"/>
  <c r="AB75" i="36" s="1"/>
  <c r="AK220" i="23"/>
  <c r="AJ220" i="23"/>
  <c r="O195" i="3" s="1"/>
  <c r="AI220" i="23"/>
  <c r="AH220" i="23"/>
  <c r="O194" i="3" s="1"/>
  <c r="AG220" i="23"/>
  <c r="AF220" i="23"/>
  <c r="O193" i="3" s="1"/>
  <c r="AE220" i="23"/>
  <c r="AD220" i="23"/>
  <c r="O192" i="3" s="1"/>
  <c r="AC220" i="23"/>
  <c r="AB220" i="23"/>
  <c r="O191" i="3" s="1"/>
  <c r="AB79" i="36" s="1"/>
  <c r="AA220" i="23"/>
  <c r="Z220" i="23"/>
  <c r="O190" i="3" s="1"/>
  <c r="Y220" i="23"/>
  <c r="X220" i="23"/>
  <c r="O189" i="3" s="1"/>
  <c r="W220" i="23"/>
  <c r="V220" i="23"/>
  <c r="O188" i="3" s="1"/>
  <c r="AB78" i="36" s="1"/>
  <c r="U220" i="23"/>
  <c r="T220" i="23"/>
  <c r="O187" i="3" s="1"/>
  <c r="AB77" i="36" s="1"/>
  <c r="S220" i="23"/>
  <c r="R220" i="23"/>
  <c r="O186" i="3" s="1"/>
  <c r="Q220" i="23"/>
  <c r="P220" i="23"/>
  <c r="O185" i="3" s="1"/>
  <c r="AB76" i="36" s="1"/>
  <c r="O220" i="23"/>
  <c r="N220" i="23"/>
  <c r="O184" i="3" s="1"/>
  <c r="M220" i="23"/>
  <c r="L220" i="23"/>
  <c r="O183" i="3" s="1"/>
  <c r="K220" i="23"/>
  <c r="CA7" i="16"/>
  <c r="BZ7" i="16"/>
  <c r="BX7" i="16"/>
  <c r="BW7" i="16"/>
  <c r="BU7" i="16"/>
  <c r="BT7" i="16"/>
  <c r="BR7" i="16"/>
  <c r="BQ7" i="16"/>
  <c r="BO7" i="16"/>
  <c r="BN7" i="16"/>
  <c r="BL7" i="16"/>
  <c r="BK7" i="16"/>
  <c r="BI7" i="16"/>
  <c r="BH7" i="16"/>
  <c r="BF7" i="16"/>
  <c r="BE7" i="16"/>
  <c r="BC7" i="16"/>
  <c r="BB7" i="16"/>
  <c r="AZ7" i="16"/>
  <c r="AY7" i="16"/>
  <c r="AW7" i="16"/>
  <c r="AV7" i="16"/>
  <c r="AT7" i="16"/>
  <c r="AS7" i="16"/>
  <c r="AQ7" i="16"/>
  <c r="AP7" i="16"/>
  <c r="AN7" i="16"/>
  <c r="AM7" i="16"/>
  <c r="AK7" i="16"/>
  <c r="AJ7" i="16"/>
  <c r="K145" i="3" s="1"/>
  <c r="AH7" i="16"/>
  <c r="M153" i="3" s="1"/>
  <c r="AG7" i="16"/>
  <c r="AE7" i="16"/>
  <c r="M144" i="3" s="1"/>
  <c r="AD7" i="16"/>
  <c r="K144" i="3" s="1"/>
  <c r="AB7" i="16"/>
  <c r="M152" i="3" s="1"/>
  <c r="AA7" i="16"/>
  <c r="Y7" i="16"/>
  <c r="M143" i="3" s="1"/>
  <c r="X7" i="16"/>
  <c r="K143" i="3" s="1"/>
  <c r="V7" i="16"/>
  <c r="U7" i="16"/>
  <c r="S7" i="16"/>
  <c r="R7" i="16"/>
  <c r="K139" i="3" s="1"/>
  <c r="P7" i="16"/>
  <c r="O7" i="16"/>
  <c r="K150" i="3" s="1"/>
  <c r="M7" i="16"/>
  <c r="L7" i="16"/>
  <c r="K138" i="3" s="1"/>
  <c r="BI90" i="15"/>
  <c r="M199" i="3" s="1"/>
  <c r="BH90" i="15"/>
  <c r="K199" i="3" s="1"/>
  <c r="BF90" i="15"/>
  <c r="BE90" i="15"/>
  <c r="K198" i="3" s="1"/>
  <c r="T74" i="36" s="1"/>
  <c r="BC90" i="15"/>
  <c r="M197" i="3" s="1"/>
  <c r="BB90" i="15"/>
  <c r="K197" i="3" s="1"/>
  <c r="AZ90" i="15"/>
  <c r="AY90" i="15"/>
  <c r="AW90" i="15"/>
  <c r="M195" i="3" s="1"/>
  <c r="AV90" i="15"/>
  <c r="K195" i="3" s="1"/>
  <c r="AT90" i="15"/>
  <c r="M194" i="3" s="1"/>
  <c r="AS90" i="15"/>
  <c r="K194" i="3" s="1"/>
  <c r="AQ90" i="15"/>
  <c r="M193" i="3" s="1"/>
  <c r="AP90" i="15"/>
  <c r="K193" i="3" s="1"/>
  <c r="AN90" i="15"/>
  <c r="M192" i="3" s="1"/>
  <c r="AM90" i="15"/>
  <c r="K192" i="3" s="1"/>
  <c r="AK90" i="15"/>
  <c r="AJ90" i="15"/>
  <c r="AH90" i="15"/>
  <c r="M190" i="3" s="1"/>
  <c r="AG90" i="15"/>
  <c r="K190" i="3" s="1"/>
  <c r="AE90" i="15"/>
  <c r="M189" i="3" s="1"/>
  <c r="AD90" i="15"/>
  <c r="K189" i="3" s="1"/>
  <c r="AB90" i="15"/>
  <c r="AA90" i="15"/>
  <c r="K188" i="3" s="1"/>
  <c r="T78" i="36" s="1"/>
  <c r="Y90" i="15"/>
  <c r="X90" i="15"/>
  <c r="K187" i="3" s="1"/>
  <c r="T77" i="36" s="1"/>
  <c r="V90" i="15"/>
  <c r="M186" i="3" s="1"/>
  <c r="U90" i="15"/>
  <c r="K186" i="3" s="1"/>
  <c r="S90" i="15"/>
  <c r="R90" i="15"/>
  <c r="P90" i="15"/>
  <c r="M184" i="3" s="1"/>
  <c r="O90" i="15"/>
  <c r="K184" i="3" s="1"/>
  <c r="M90" i="15"/>
  <c r="M183" i="3" s="1"/>
  <c r="L90" i="15"/>
  <c r="K183" i="3" s="1"/>
  <c r="AN8" i="14"/>
  <c r="M164" i="3" s="1"/>
  <c r="AM8" i="14"/>
  <c r="K164" i="3" s="1"/>
  <c r="AK8" i="14"/>
  <c r="M159" i="3" s="1"/>
  <c r="AJ8" i="14"/>
  <c r="K159" i="3" s="1"/>
  <c r="AH8" i="14"/>
  <c r="M163" i="3" s="1"/>
  <c r="AG8" i="14"/>
  <c r="K163" i="3" s="1"/>
  <c r="AE8" i="14"/>
  <c r="M158" i="3" s="1"/>
  <c r="AD8" i="14"/>
  <c r="K158" i="3" s="1"/>
  <c r="AB8" i="14"/>
  <c r="AA8" i="14"/>
  <c r="K162" i="3" s="1"/>
  <c r="Y8" i="14"/>
  <c r="X8" i="14"/>
  <c r="K157" i="3" s="1"/>
  <c r="V8" i="14"/>
  <c r="U8" i="14"/>
  <c r="K161" i="3" s="1"/>
  <c r="S8" i="14"/>
  <c r="R8" i="14"/>
  <c r="K156" i="3" s="1"/>
  <c r="P8" i="14"/>
  <c r="O8" i="14"/>
  <c r="K160" i="3" s="1"/>
  <c r="M8" i="14"/>
  <c r="L8" i="14"/>
  <c r="K155" i="3" s="1"/>
  <c r="O7" i="13"/>
  <c r="M135" i="3" s="1"/>
  <c r="N7" i="13"/>
  <c r="L7" i="13"/>
  <c r="M134" i="3" s="1"/>
  <c r="P50" i="36" s="1"/>
  <c r="K7" i="13"/>
  <c r="K89" i="3"/>
  <c r="AF7" i="10"/>
  <c r="M87" i="3" s="1"/>
  <c r="AE7" i="10"/>
  <c r="AD7" i="10"/>
  <c r="AC7" i="10"/>
  <c r="K86" i="3" s="1"/>
  <c r="AA7" i="10"/>
  <c r="M85" i="3" s="1"/>
  <c r="Z7" i="10"/>
  <c r="X7" i="10"/>
  <c r="W7" i="10"/>
  <c r="K88" i="3" s="1"/>
  <c r="U7" i="10"/>
  <c r="M84" i="3" s="1"/>
  <c r="T7" i="10"/>
  <c r="R7" i="10"/>
  <c r="Q7" i="10"/>
  <c r="K83" i="3" s="1"/>
  <c r="O7" i="10"/>
  <c r="M82" i="3" s="1"/>
  <c r="P34" i="36" s="1"/>
  <c r="Q34" i="36" s="1"/>
  <c r="N7" i="10"/>
  <c r="M7" i="10"/>
  <c r="L7" i="10"/>
  <c r="K81" i="3" s="1"/>
  <c r="BC23" i="8"/>
  <c r="M70" i="3" s="1"/>
  <c r="BB23" i="8"/>
  <c r="K70" i="3" s="1"/>
  <c r="AZ23" i="8"/>
  <c r="M69" i="3" s="1"/>
  <c r="AY23" i="8"/>
  <c r="K69" i="3" s="1"/>
  <c r="AW23" i="8"/>
  <c r="M68" i="3" s="1"/>
  <c r="AV23" i="8"/>
  <c r="K68" i="3" s="1"/>
  <c r="AT23" i="8"/>
  <c r="M67" i="3" s="1"/>
  <c r="AS23" i="8"/>
  <c r="K67" i="3" s="1"/>
  <c r="AQ23" i="8"/>
  <c r="M66" i="3" s="1"/>
  <c r="AP23" i="8"/>
  <c r="K66" i="3" s="1"/>
  <c r="AO23" i="8"/>
  <c r="M65" i="3" s="1"/>
  <c r="AN23" i="8"/>
  <c r="K65" i="3" s="1"/>
  <c r="AM23" i="8"/>
  <c r="M72" i="3" s="1"/>
  <c r="AL23" i="8"/>
  <c r="K72" i="3" s="1"/>
  <c r="AK23" i="8"/>
  <c r="M80" i="3" s="1"/>
  <c r="AJ23" i="8"/>
  <c r="K80" i="3" s="1"/>
  <c r="AI23" i="8"/>
  <c r="M79" i="3" s="1"/>
  <c r="AH23" i="8"/>
  <c r="K79" i="3" s="1"/>
  <c r="AF23" i="8"/>
  <c r="M64" i="3" s="1"/>
  <c r="P28" i="36" s="1"/>
  <c r="Q28" i="36" s="1"/>
  <c r="AE23" i="8"/>
  <c r="K64" i="3" s="1"/>
  <c r="AD23" i="8"/>
  <c r="M63" i="3" s="1"/>
  <c r="AC23" i="8"/>
  <c r="K63" i="3" s="1"/>
  <c r="AB23" i="8"/>
  <c r="M78" i="3" s="1"/>
  <c r="AA23" i="8"/>
  <c r="K78" i="3" s="1"/>
  <c r="Z23" i="8"/>
  <c r="M77" i="3" s="1"/>
  <c r="Y23" i="8"/>
  <c r="K77" i="3" s="1"/>
  <c r="X23" i="8"/>
  <c r="M71" i="3" s="1"/>
  <c r="W23" i="8"/>
  <c r="K71" i="3" s="1"/>
  <c r="V23" i="8"/>
  <c r="M76" i="3" s="1"/>
  <c r="U23" i="8"/>
  <c r="K76" i="3" s="1"/>
  <c r="T23" i="8"/>
  <c r="M75" i="3" s="1"/>
  <c r="S23" i="8"/>
  <c r="K75" i="3" s="1"/>
  <c r="R23" i="8"/>
  <c r="M74" i="3" s="1"/>
  <c r="Q23" i="8"/>
  <c r="K74" i="3" s="1"/>
  <c r="P23" i="8"/>
  <c r="M62" i="3" s="1"/>
  <c r="O23" i="8"/>
  <c r="K62" i="3" s="1"/>
  <c r="N23" i="8"/>
  <c r="M73" i="3" s="1"/>
  <c r="P31" i="36" s="1"/>
  <c r="Q31" i="36" s="1"/>
  <c r="M23" i="8"/>
  <c r="K73" i="3" s="1"/>
  <c r="L23" i="8"/>
  <c r="M61" i="3" s="1"/>
  <c r="P29" i="36" s="1"/>
  <c r="Q29" i="36" s="1"/>
  <c r="K23" i="8"/>
  <c r="K61" i="3" s="1"/>
  <c r="BA9" i="7"/>
  <c r="AZ9" i="7"/>
  <c r="AY9" i="7"/>
  <c r="M48" i="3" s="1"/>
  <c r="P21" i="36" s="1"/>
  <c r="Q21" i="36" s="1"/>
  <c r="AX9" i="7"/>
  <c r="AV9" i="7"/>
  <c r="AU9" i="7"/>
  <c r="AS9" i="7"/>
  <c r="M41" i="3" s="1"/>
  <c r="AR9" i="7"/>
  <c r="AQ9" i="7"/>
  <c r="M40" i="3" s="1"/>
  <c r="AP9" i="7"/>
  <c r="AO9" i="7"/>
  <c r="M39" i="3" s="1"/>
  <c r="AN9" i="7"/>
  <c r="K39" i="3" s="1"/>
  <c r="AM9" i="7"/>
  <c r="M47" i="3" s="1"/>
  <c r="AL9" i="7"/>
  <c r="AK9" i="7"/>
  <c r="M38" i="3" s="1"/>
  <c r="AJ9" i="7"/>
  <c r="AI9" i="7"/>
  <c r="M44" i="3" s="1"/>
  <c r="P20" i="36" s="1"/>
  <c r="Q20" i="36" s="1"/>
  <c r="AH9" i="7"/>
  <c r="K44" i="3" s="1"/>
  <c r="M37" i="3"/>
  <c r="AE9" i="7"/>
  <c r="K37" i="3" s="1"/>
  <c r="AC9" i="7"/>
  <c r="AB9" i="7"/>
  <c r="Z9" i="7"/>
  <c r="M46" i="3" s="1"/>
  <c r="P22" i="36" s="1"/>
  <c r="Q22" i="36" s="1"/>
  <c r="Y9" i="7"/>
  <c r="K46" i="3" s="1"/>
  <c r="T22" i="36" s="1"/>
  <c r="W9" i="7"/>
  <c r="M35" i="3" s="1"/>
  <c r="V9" i="7"/>
  <c r="K35" i="3" s="1"/>
  <c r="T9" i="7"/>
  <c r="M34" i="3" s="1"/>
  <c r="S9" i="7"/>
  <c r="K34" i="3" s="1"/>
  <c r="Q9" i="7"/>
  <c r="M33" i="3" s="1"/>
  <c r="P9" i="7"/>
  <c r="O9" i="7"/>
  <c r="M32" i="3" s="1"/>
  <c r="N9" i="7"/>
  <c r="K32" i="3" s="1"/>
  <c r="M9" i="7"/>
  <c r="L9" i="7"/>
  <c r="T23" i="29"/>
  <c r="S23" i="29"/>
  <c r="N25" i="3" s="1"/>
  <c r="R23" i="29"/>
  <c r="Q23" i="29"/>
  <c r="N31" i="3" s="1"/>
  <c r="AE16" i="36" s="1"/>
  <c r="P23" i="29"/>
  <c r="O23" i="29"/>
  <c r="N24" i="3" s="1"/>
  <c r="N23" i="29"/>
  <c r="M23" i="29"/>
  <c r="N29" i="3" s="1"/>
  <c r="L23" i="29"/>
  <c r="K23" i="29"/>
  <c r="N23" i="3" s="1"/>
  <c r="AH47" i="6"/>
  <c r="AG47" i="6"/>
  <c r="K31" i="3" s="1"/>
  <c r="T16" i="36" s="1"/>
  <c r="AF47" i="6"/>
  <c r="M30" i="3" s="1"/>
  <c r="AE47" i="6"/>
  <c r="AC47" i="6"/>
  <c r="AB47" i="6"/>
  <c r="K29" i="3" s="1"/>
  <c r="Z47" i="6"/>
  <c r="M28" i="3" s="1"/>
  <c r="Y47" i="6"/>
  <c r="W47" i="6"/>
  <c r="V47" i="6"/>
  <c r="K25" i="3" s="1"/>
  <c r="U47" i="6"/>
  <c r="M27" i="3" s="1"/>
  <c r="T47" i="6"/>
  <c r="R47" i="6"/>
  <c r="M24" i="3" s="1"/>
  <c r="Q47" i="6"/>
  <c r="K24" i="3" s="1"/>
  <c r="P47" i="6"/>
  <c r="M26" i="3" s="1"/>
  <c r="O47" i="6"/>
  <c r="M47" i="6"/>
  <c r="L47" i="6"/>
  <c r="K23" i="3" s="1"/>
  <c r="U31" i="25"/>
  <c r="T31" i="25"/>
  <c r="S31" i="25"/>
  <c r="R31" i="25"/>
  <c r="Q31" i="25"/>
  <c r="P31" i="25"/>
  <c r="O31" i="25"/>
  <c r="N31" i="25"/>
  <c r="P6" i="3" s="1"/>
  <c r="M31" i="25"/>
  <c r="L31" i="25"/>
  <c r="R8" i="24"/>
  <c r="Q8" i="24"/>
  <c r="P8" i="24"/>
  <c r="O8" i="24"/>
  <c r="N8" i="24"/>
  <c r="M8" i="24"/>
  <c r="L8" i="24"/>
  <c r="K8" i="24"/>
  <c r="K7" i="26"/>
  <c r="J7" i="26"/>
  <c r="R33" i="27"/>
  <c r="Q33" i="27"/>
  <c r="P33" i="27"/>
  <c r="O33" i="27"/>
  <c r="N33" i="27"/>
  <c r="M33" i="27"/>
  <c r="L33" i="27"/>
  <c r="V7" i="28"/>
  <c r="U7" i="28"/>
  <c r="T7" i="28"/>
  <c r="S7" i="28"/>
  <c r="R7" i="28"/>
  <c r="Q7" i="28"/>
  <c r="P7" i="28"/>
  <c r="O7" i="28"/>
  <c r="N7" i="28"/>
  <c r="M7" i="28"/>
  <c r="L7" i="28"/>
  <c r="K7" i="28"/>
  <c r="BJ144" i="5"/>
  <c r="BI144" i="5"/>
  <c r="BH144" i="5"/>
  <c r="M21" i="3" s="1"/>
  <c r="BF144" i="5"/>
  <c r="K21" i="3" s="1"/>
  <c r="BE144" i="5"/>
  <c r="M14" i="3" s="1"/>
  <c r="BC144" i="5"/>
  <c r="K14" i="3" s="1"/>
  <c r="BB144" i="5"/>
  <c r="M20" i="3" s="1"/>
  <c r="AZ144" i="5"/>
  <c r="K20" i="3" s="1"/>
  <c r="AY144" i="5"/>
  <c r="AW144" i="5"/>
  <c r="K13" i="3" s="1"/>
  <c r="AV144" i="5"/>
  <c r="M12" i="3" s="1"/>
  <c r="AT144" i="5"/>
  <c r="K12" i="3" s="1"/>
  <c r="T11" i="36" s="1"/>
  <c r="AS144" i="5"/>
  <c r="AR144" i="5"/>
  <c r="K22" i="3" s="1"/>
  <c r="T14" i="36" s="1"/>
  <c r="AC14" i="36" s="1"/>
  <c r="AQ144" i="5"/>
  <c r="M19" i="3" s="1"/>
  <c r="AP144" i="5"/>
  <c r="K19" i="3" s="1"/>
  <c r="AO144" i="5"/>
  <c r="AM144" i="5"/>
  <c r="K11" i="3" s="1"/>
  <c r="AL144" i="5"/>
  <c r="M4" i="3" s="1"/>
  <c r="P10" i="36" s="1"/>
  <c r="Q10" i="36" s="1"/>
  <c r="AK144" i="5"/>
  <c r="K4" i="3" s="1"/>
  <c r="AJ144" i="5"/>
  <c r="M10" i="3" s="1"/>
  <c r="AI144" i="5"/>
  <c r="AH144" i="5"/>
  <c r="M3" i="3" s="1"/>
  <c r="AG144" i="5"/>
  <c r="K3" i="3" s="1"/>
  <c r="AF144" i="5"/>
  <c r="AE144" i="5"/>
  <c r="K18" i="3" s="1"/>
  <c r="AD144" i="5"/>
  <c r="M9" i="3" s="1"/>
  <c r="AB144" i="5"/>
  <c r="K9" i="3" s="1"/>
  <c r="AA144" i="5"/>
  <c r="M2" i="3" s="1"/>
  <c r="Z144" i="5"/>
  <c r="K2" i="3" s="1"/>
  <c r="Y144" i="5"/>
  <c r="M8" i="3" s="1"/>
  <c r="W144" i="5"/>
  <c r="K8" i="3" s="1"/>
  <c r="V144" i="5"/>
  <c r="M7" i="3" s="1"/>
  <c r="T144" i="5"/>
  <c r="S144" i="5"/>
  <c r="M6" i="3" s="1"/>
  <c r="R144" i="5"/>
  <c r="K6" i="3" s="1"/>
  <c r="Q144" i="5"/>
  <c r="P144" i="5"/>
  <c r="K17" i="3" s="1"/>
  <c r="O144" i="5"/>
  <c r="M16" i="3" s="1"/>
  <c r="N144" i="5"/>
  <c r="K16" i="3" s="1"/>
  <c r="M144" i="5"/>
  <c r="L144" i="5"/>
  <c r="K5" i="3" s="1"/>
  <c r="Q93" i="36"/>
  <c r="K135" i="3"/>
  <c r="K134" i="3"/>
  <c r="M89" i="3"/>
  <c r="K87" i="3"/>
  <c r="M86" i="3"/>
  <c r="K85" i="3"/>
  <c r="M88" i="3"/>
  <c r="K84" i="3"/>
  <c r="M83" i="3"/>
  <c r="P32" i="36" s="1"/>
  <c r="Q32" i="36" s="1"/>
  <c r="K82" i="3"/>
  <c r="M81" i="3"/>
  <c r="M45" i="3"/>
  <c r="K45" i="3"/>
  <c r="K48" i="3"/>
  <c r="M42" i="3"/>
  <c r="K42" i="3"/>
  <c r="K41" i="3"/>
  <c r="K40" i="3"/>
  <c r="K47" i="3"/>
  <c r="K38" i="3"/>
  <c r="M36" i="3"/>
  <c r="K36" i="3"/>
  <c r="K33" i="3"/>
  <c r="M43" i="3"/>
  <c r="K43" i="3"/>
  <c r="M31" i="3"/>
  <c r="P16" i="36" s="1"/>
  <c r="Q16" i="36" s="1"/>
  <c r="K30" i="3"/>
  <c r="M29" i="3"/>
  <c r="K28" i="3"/>
  <c r="M25" i="3"/>
  <c r="P15" i="36" s="1"/>
  <c r="K27" i="3"/>
  <c r="K26" i="3"/>
  <c r="M23" i="3"/>
  <c r="M15" i="3"/>
  <c r="K15" i="3"/>
  <c r="P21" i="3"/>
  <c r="P14" i="3"/>
  <c r="AF13" i="36" s="1"/>
  <c r="P20" i="3"/>
  <c r="P13" i="3"/>
  <c r="AF12" i="36" s="1"/>
  <c r="O13" i="3"/>
  <c r="AB12" i="36" s="1"/>
  <c r="M13" i="3"/>
  <c r="P12" i="36" s="1"/>
  <c r="Q12" i="36" s="1"/>
  <c r="P22" i="3"/>
  <c r="AF14" i="36" s="1"/>
  <c r="M22" i="3"/>
  <c r="P14" i="36" s="1"/>
  <c r="Q14" i="36" s="1"/>
  <c r="O11" i="3"/>
  <c r="M11" i="3"/>
  <c r="K10" i="3"/>
  <c r="M18" i="3"/>
  <c r="O9" i="3"/>
  <c r="P8" i="3"/>
  <c r="K7" i="3"/>
  <c r="P17" i="3"/>
  <c r="M17" i="3"/>
  <c r="P16" i="3"/>
  <c r="P5" i="3"/>
  <c r="M5" i="3"/>
  <c r="T12" i="36" l="1"/>
  <c r="AC12" i="36" s="1"/>
  <c r="AD12" i="36" s="1"/>
  <c r="T13" i="36"/>
  <c r="AC13" i="36" s="1"/>
  <c r="P17" i="36"/>
  <c r="Q17" i="36" s="1"/>
  <c r="P18" i="36"/>
  <c r="Q18" i="36" s="1"/>
  <c r="P30" i="36"/>
  <c r="Q30" i="36" s="1"/>
  <c r="T95" i="36"/>
  <c r="AC95" i="36" s="1"/>
  <c r="AD95" i="36" s="1"/>
  <c r="Q15" i="36"/>
  <c r="S15" i="36"/>
  <c r="P13" i="36"/>
  <c r="Q13" i="36" s="1"/>
  <c r="T15" i="36"/>
  <c r="AC78" i="36"/>
  <c r="AD78" i="36" s="1"/>
  <c r="P33" i="36"/>
  <c r="P10" i="37" s="1"/>
  <c r="Q10" i="37" s="1"/>
  <c r="P11" i="36"/>
  <c r="P7" i="37" s="1"/>
  <c r="T17" i="36"/>
  <c r="U22" i="36"/>
  <c r="AC22" i="36"/>
  <c r="AD22" i="36" s="1"/>
  <c r="T18" i="36"/>
  <c r="T29" i="36"/>
  <c r="T30" i="36"/>
  <c r="T28" i="36"/>
  <c r="T33" i="36"/>
  <c r="T32" i="36"/>
  <c r="M160" i="3"/>
  <c r="M161" i="3"/>
  <c r="M162" i="3"/>
  <c r="L163" i="3"/>
  <c r="P58" i="36"/>
  <c r="L164" i="3"/>
  <c r="X62" i="36" s="1"/>
  <c r="P62" i="36"/>
  <c r="M225" i="3"/>
  <c r="L225" i="3"/>
  <c r="M227" i="3"/>
  <c r="P97" i="36" s="1"/>
  <c r="L227" i="3"/>
  <c r="X97" i="36" s="1"/>
  <c r="M229" i="3"/>
  <c r="P99" i="36" s="1"/>
  <c r="Q99" i="36" s="1"/>
  <c r="L229" i="3"/>
  <c r="X99" i="36" s="1"/>
  <c r="Y99" i="36" s="1"/>
  <c r="T21" i="36"/>
  <c r="T34" i="36"/>
  <c r="U14" i="36"/>
  <c r="AD14" i="36"/>
  <c r="P19" i="36"/>
  <c r="Q19" i="36" s="1"/>
  <c r="T52" i="36"/>
  <c r="T53" i="36"/>
  <c r="AC94" i="36"/>
  <c r="AD94" i="36" s="1"/>
  <c r="AC96" i="36"/>
  <c r="AC98" i="36"/>
  <c r="AD98" i="36" s="1"/>
  <c r="AC100" i="36"/>
  <c r="AC16" i="36"/>
  <c r="AD16" i="36" s="1"/>
  <c r="U16" i="36"/>
  <c r="T20" i="36"/>
  <c r="T31" i="36"/>
  <c r="Q50" i="36"/>
  <c r="P16" i="37"/>
  <c r="Q16" i="37" s="1"/>
  <c r="M155" i="3"/>
  <c r="M156" i="3"/>
  <c r="M157" i="3"/>
  <c r="L158" i="3"/>
  <c r="L159" i="3"/>
  <c r="L224" i="3"/>
  <c r="X94" i="36" s="1"/>
  <c r="M224" i="3"/>
  <c r="P94" i="36" s="1"/>
  <c r="M226" i="3"/>
  <c r="P96" i="36" s="1"/>
  <c r="L226" i="3"/>
  <c r="X96" i="36" s="1"/>
  <c r="L228" i="3"/>
  <c r="X98" i="36" s="1"/>
  <c r="Y98" i="36" s="1"/>
  <c r="M228" i="3"/>
  <c r="P98" i="36" s="1"/>
  <c r="Q98" i="36" s="1"/>
  <c r="M230" i="3"/>
  <c r="P100" i="36" s="1"/>
  <c r="L230" i="3"/>
  <c r="X100" i="36" s="1"/>
  <c r="T19" i="36"/>
  <c r="T10" i="36"/>
  <c r="V11" i="36"/>
  <c r="U11" i="36"/>
  <c r="Q35" i="36"/>
  <c r="T59" i="36"/>
  <c r="T60" i="36"/>
  <c r="T61" i="36"/>
  <c r="T58" i="36"/>
  <c r="T62" i="36"/>
  <c r="AC93" i="36"/>
  <c r="AD93" i="36" s="1"/>
  <c r="AC97" i="36"/>
  <c r="AC99" i="36"/>
  <c r="AD99" i="36" s="1"/>
  <c r="U99" i="36"/>
  <c r="AC74" i="36"/>
  <c r="AD74" i="36" s="1"/>
  <c r="AC77" i="36"/>
  <c r="AD77" i="36" s="1"/>
  <c r="T66" i="36"/>
  <c r="AC66" i="36" s="1"/>
  <c r="AD66" i="36" s="1"/>
  <c r="T69" i="36"/>
  <c r="AC69" i="36" s="1"/>
  <c r="AD69" i="36" s="1"/>
  <c r="T68" i="36"/>
  <c r="AC68" i="36" s="1"/>
  <c r="AD68" i="36" s="1"/>
  <c r="T71" i="36"/>
  <c r="AC71" i="36" s="1"/>
  <c r="AD71" i="36" s="1"/>
  <c r="T65" i="36"/>
  <c r="AC65" i="36" s="1"/>
  <c r="AD65" i="36" s="1"/>
  <c r="M138" i="3"/>
  <c r="M139" i="3"/>
  <c r="M145" i="3"/>
  <c r="M168" i="3"/>
  <c r="P66" i="36" s="1"/>
  <c r="Q66" i="36" s="1"/>
  <c r="M170" i="3"/>
  <c r="P69" i="36" s="1"/>
  <c r="Q69" i="36" s="1"/>
  <c r="M174" i="3"/>
  <c r="P68" i="36" s="1"/>
  <c r="Q68" i="36" s="1"/>
  <c r="M179" i="3"/>
  <c r="P71" i="36" s="1"/>
  <c r="Q71" i="36" s="1"/>
  <c r="M181" i="3"/>
  <c r="P65" i="36" s="1"/>
  <c r="Q65" i="36" s="1"/>
  <c r="T67" i="36"/>
  <c r="AC67" i="36" s="1"/>
  <c r="AD67" i="36" s="1"/>
  <c r="T64" i="36"/>
  <c r="AC64" i="36" s="1"/>
  <c r="AD64" i="36" s="1"/>
  <c r="T70" i="36"/>
  <c r="AC70" i="36" s="1"/>
  <c r="AD70" i="36" s="1"/>
  <c r="T72" i="36"/>
  <c r="AC72" i="36" s="1"/>
  <c r="AD72" i="36" s="1"/>
  <c r="T73" i="36"/>
  <c r="AC73" i="36" s="1"/>
  <c r="AD73" i="36" s="1"/>
  <c r="M185" i="3"/>
  <c r="P76" i="36" s="1"/>
  <c r="Q76" i="36" s="1"/>
  <c r="M150" i="3"/>
  <c r="M151" i="3"/>
  <c r="M154" i="3"/>
  <c r="M169" i="3"/>
  <c r="P67" i="36" s="1"/>
  <c r="Q67" i="36" s="1"/>
  <c r="M171" i="3"/>
  <c r="P64" i="36" s="1"/>
  <c r="Q64" i="36" s="1"/>
  <c r="M176" i="3"/>
  <c r="P70" i="36" s="1"/>
  <c r="Q70" i="36" s="1"/>
  <c r="M180" i="3"/>
  <c r="P72" i="36" s="1"/>
  <c r="Q72" i="36" s="1"/>
  <c r="M182" i="3"/>
  <c r="P73" i="36" s="1"/>
  <c r="Q73" i="36" s="1"/>
  <c r="Q8" i="37"/>
  <c r="M188" i="3"/>
  <c r="P78" i="36" s="1"/>
  <c r="Q78" i="36" s="1"/>
  <c r="M196" i="3"/>
  <c r="P75" i="36" s="1"/>
  <c r="Q75" i="36" s="1"/>
  <c r="M198" i="3"/>
  <c r="P74" i="36" s="1"/>
  <c r="Q74" i="36" s="1"/>
  <c r="M187" i="3"/>
  <c r="P77" i="36" s="1"/>
  <c r="Q77" i="36" s="1"/>
  <c r="M191" i="3"/>
  <c r="P79" i="36" s="1"/>
  <c r="Q79" i="36" s="1"/>
  <c r="K191" i="3"/>
  <c r="K185" i="3"/>
  <c r="T76" i="36" s="1"/>
  <c r="K196" i="3"/>
  <c r="K152" i="3"/>
  <c r="K153" i="3"/>
  <c r="K151" i="3"/>
  <c r="K154" i="3"/>
  <c r="O7" i="3"/>
  <c r="O12" i="3"/>
  <c r="AB11" i="36" s="1"/>
  <c r="O8" i="3"/>
  <c r="Z78" i="36"/>
  <c r="Z50" i="36"/>
  <c r="R50" i="36"/>
  <c r="Z45" i="36"/>
  <c r="V45" i="36"/>
  <c r="R45" i="36"/>
  <c r="Z46" i="36"/>
  <c r="V46" i="36"/>
  <c r="R46" i="36"/>
  <c r="U94" i="36"/>
  <c r="U93" i="36"/>
  <c r="T50" i="36"/>
  <c r="U98" i="36"/>
  <c r="U95" i="36" l="1"/>
  <c r="U13" i="36"/>
  <c r="X58" i="36"/>
  <c r="AC15" i="36"/>
  <c r="U15" i="36"/>
  <c r="Q94" i="36"/>
  <c r="P95" i="36"/>
  <c r="Q95" i="36" s="1"/>
  <c r="Y94" i="36"/>
  <c r="X95" i="36"/>
  <c r="Y95" i="36" s="1"/>
  <c r="R55" i="36"/>
  <c r="AC62" i="36"/>
  <c r="Z55" i="36"/>
  <c r="Q62" i="36"/>
  <c r="AC61" i="36"/>
  <c r="Y62" i="36"/>
  <c r="AC59" i="36"/>
  <c r="R58" i="36"/>
  <c r="AC58" i="36"/>
  <c r="Q18" i="37"/>
  <c r="R7" i="37"/>
  <c r="U10" i="36"/>
  <c r="AC10" i="36"/>
  <c r="AD10" i="36" s="1"/>
  <c r="U19" i="36"/>
  <c r="AC19" i="36"/>
  <c r="AD19" i="36" s="1"/>
  <c r="W15" i="36"/>
  <c r="AD13" i="36"/>
  <c r="AC11" i="36"/>
  <c r="AD11" i="36" s="1"/>
  <c r="L156" i="3"/>
  <c r="X52" i="36" s="1"/>
  <c r="P52" i="36"/>
  <c r="U31" i="36"/>
  <c r="AC31" i="36"/>
  <c r="AD31" i="36" s="1"/>
  <c r="AC53" i="36"/>
  <c r="U34" i="36"/>
  <c r="AC34" i="36"/>
  <c r="AD34" i="36" s="1"/>
  <c r="P19" i="37"/>
  <c r="Q19" i="37" s="1"/>
  <c r="R19" i="37" s="1"/>
  <c r="Q58" i="36"/>
  <c r="L161" i="3"/>
  <c r="X60" i="36" s="1"/>
  <c r="P60" i="36"/>
  <c r="V33" i="36"/>
  <c r="AC33" i="36"/>
  <c r="AD33" i="36" s="1"/>
  <c r="U33" i="36"/>
  <c r="U30" i="36"/>
  <c r="AC30" i="36"/>
  <c r="AD30" i="36" s="1"/>
  <c r="U18" i="36"/>
  <c r="AC18" i="36"/>
  <c r="AD18" i="36" s="1"/>
  <c r="Q33" i="36"/>
  <c r="R33" i="36"/>
  <c r="AC60" i="36"/>
  <c r="R12" i="36"/>
  <c r="AD54" i="36"/>
  <c r="U17" i="36"/>
  <c r="AC17" i="36"/>
  <c r="AD17" i="36" s="1"/>
  <c r="P53" i="36"/>
  <c r="L157" i="3"/>
  <c r="X53" i="36" s="1"/>
  <c r="L155" i="3"/>
  <c r="U35" i="36"/>
  <c r="AC20" i="36"/>
  <c r="AD20" i="36" s="1"/>
  <c r="U20" i="36"/>
  <c r="AC52" i="36"/>
  <c r="U12" i="36"/>
  <c r="V12" i="36"/>
  <c r="U21" i="36"/>
  <c r="AC21" i="36"/>
  <c r="AD21" i="36" s="1"/>
  <c r="P61" i="36"/>
  <c r="L162" i="3"/>
  <c r="X61" i="36" s="1"/>
  <c r="L160" i="3"/>
  <c r="X59" i="36" s="1"/>
  <c r="P59" i="36"/>
  <c r="U32" i="36"/>
  <c r="AC32" i="36"/>
  <c r="AD32" i="36" s="1"/>
  <c r="AC28" i="36"/>
  <c r="AD28" i="36" s="1"/>
  <c r="U28" i="36"/>
  <c r="U29" i="36"/>
  <c r="AC29" i="36"/>
  <c r="AD29" i="36" s="1"/>
  <c r="R11" i="36"/>
  <c r="Q11" i="36"/>
  <c r="AC50" i="36"/>
  <c r="AD50" i="36" s="1"/>
  <c r="AC76" i="36"/>
  <c r="AD76" i="36" s="1"/>
  <c r="R78" i="36"/>
  <c r="P20" i="37"/>
  <c r="Q20" i="37" s="1"/>
  <c r="T79" i="36"/>
  <c r="T75" i="36"/>
  <c r="AC75" i="36" s="1"/>
  <c r="AD75" i="36" s="1"/>
  <c r="W18" i="37"/>
  <c r="V78" i="36"/>
  <c r="U64" i="36"/>
  <c r="U60" i="36"/>
  <c r="U77" i="36"/>
  <c r="U69" i="36"/>
  <c r="U73" i="36"/>
  <c r="U67" i="36"/>
  <c r="U65" i="36"/>
  <c r="U66" i="36"/>
  <c r="U52" i="36"/>
  <c r="U62" i="36"/>
  <c r="U74" i="36"/>
  <c r="U72" i="36"/>
  <c r="U61" i="36"/>
  <c r="U53" i="36"/>
  <c r="U71" i="36"/>
  <c r="U59" i="36"/>
  <c r="U76" i="36"/>
  <c r="U70" i="36"/>
  <c r="U68" i="36"/>
  <c r="X20" i="37"/>
  <c r="X10" i="37"/>
  <c r="R10" i="37"/>
  <c r="U50" i="36"/>
  <c r="V50" i="36"/>
  <c r="V58" i="36"/>
  <c r="U58" i="36"/>
  <c r="Q9" i="37"/>
  <c r="U78" i="36"/>
  <c r="S9" i="37"/>
  <c r="X16" i="37"/>
  <c r="R16" i="37"/>
  <c r="X15" i="37"/>
  <c r="R15" i="37"/>
  <c r="X14" i="37"/>
  <c r="R14" i="37"/>
  <c r="R8" i="37"/>
  <c r="X8" i="37"/>
  <c r="V19" i="37" l="1"/>
  <c r="X19" i="37" s="1"/>
  <c r="Z58" i="36"/>
  <c r="Y58" i="36"/>
  <c r="V55" i="36"/>
  <c r="Y53" i="36"/>
  <c r="AD53" i="36"/>
  <c r="AD62" i="36"/>
  <c r="Y61" i="36"/>
  <c r="Q53" i="36"/>
  <c r="AD60" i="36"/>
  <c r="Q60" i="36"/>
  <c r="AD61" i="36"/>
  <c r="Q61" i="36"/>
  <c r="Y60" i="36"/>
  <c r="Y52" i="36"/>
  <c r="AD59" i="36"/>
  <c r="Q59" i="36"/>
  <c r="Q52" i="36"/>
  <c r="AD52" i="36"/>
  <c r="AD58" i="36"/>
  <c r="R18" i="37"/>
  <c r="Y59" i="36"/>
  <c r="AD15" i="36"/>
  <c r="AD35" i="36"/>
  <c r="AC79" i="36"/>
  <c r="AD79" i="36" s="1"/>
  <c r="R20" i="37"/>
  <c r="U79" i="36"/>
  <c r="U75" i="36"/>
  <c r="X18" i="37"/>
  <c r="Y12" i="37"/>
  <c r="S12" i="37"/>
  <c r="W19" i="37" l="1"/>
</calcChain>
</file>

<file path=xl/comments1.xml><?xml version="1.0" encoding="utf-8"?>
<comments xmlns="http://schemas.openxmlformats.org/spreadsheetml/2006/main">
  <authors>
    <author>Autor</author>
  </authors>
  <commentList>
    <comment ref="P6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Realizované oprávnené výdavky; čerpanie na úrovni SŽoP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J65" authorId="0">
      <text>
        <r>
          <rPr>
            <b/>
            <sz val="9"/>
            <color indexed="81"/>
            <rFont val="Segoe UI"/>
            <family val="2"/>
            <charset val="238"/>
          </rPr>
          <t>Martonová Laura:C030 je ukazovateľ výkonnostného rámca, ale hodnota za 4.2.1 sa nezarátava</t>
        </r>
      </text>
    </comment>
    <comment ref="J74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:C030 je ukazovateľ výkonnostného rámca, ale hodnota za 4.2.1 sa nezarátava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155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charset val="1"/>
          </rPr>
          <t xml:space="preserve">
= skutočný stav (už dosiahnuté minimum)</t>
        </r>
      </text>
    </comment>
    <comment ref="L223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= skutočný stav (už dosiahnuté)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P21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32 889,6667</t>
        </r>
      </text>
    </comment>
  </commentList>
</comments>
</file>

<file path=xl/sharedStrings.xml><?xml version="1.0" encoding="utf-8"?>
<sst xmlns="http://schemas.openxmlformats.org/spreadsheetml/2006/main" count="7767" uniqueCount="2488">
  <si>
    <t>PO</t>
  </si>
  <si>
    <t>Konkrétny cieľ</t>
  </si>
  <si>
    <t>1.2.1</t>
  </si>
  <si>
    <t>1.1.1</t>
  </si>
  <si>
    <t>Kód ukazovateľa</t>
  </si>
  <si>
    <t>1.2.2</t>
  </si>
  <si>
    <t>1.2.3</t>
  </si>
  <si>
    <t>1.3.1</t>
  </si>
  <si>
    <t>1.4.1</t>
  </si>
  <si>
    <t>1.4.2</t>
  </si>
  <si>
    <t>2.1.1</t>
  </si>
  <si>
    <t>2.1.2</t>
  </si>
  <si>
    <t>Čas trvania zásahu pri mimoriadnej udalosti ovplyvnenej zmenou klímy</t>
  </si>
  <si>
    <t>3.1.1</t>
  </si>
  <si>
    <t>4.1.1</t>
  </si>
  <si>
    <t>5.1.1</t>
  </si>
  <si>
    <t>3.1.2</t>
  </si>
  <si>
    <t>3.1.3</t>
  </si>
  <si>
    <t>4.1.2</t>
  </si>
  <si>
    <t>4.2.1</t>
  </si>
  <si>
    <t>4.3.1</t>
  </si>
  <si>
    <t>4.4.1</t>
  </si>
  <si>
    <t>4.5.1</t>
  </si>
  <si>
    <t>5.1.2</t>
  </si>
  <si>
    <t>CO17</t>
  </si>
  <si>
    <t>Zvýšená kapacita recyklácie odpadu</t>
  </si>
  <si>
    <t>O0002</t>
  </si>
  <si>
    <t>Zvýšená kapacita pre triedenie komunálnych odpadov</t>
  </si>
  <si>
    <t>O0003</t>
  </si>
  <si>
    <t>Zvýšená kapacita pre zhodnocovanie odpadov</t>
  </si>
  <si>
    <t>O0004</t>
  </si>
  <si>
    <t>Vybudovaný jednotný environmentálny monitorovací a informačný systém v odpadovom hospodárstve</t>
  </si>
  <si>
    <t>O0178</t>
  </si>
  <si>
    <t>Zvýšený počet obyvateľov so zlepšeným čistením komunálnych odpadových vôd</t>
  </si>
  <si>
    <t>CO18</t>
  </si>
  <si>
    <t>O0006</t>
  </si>
  <si>
    <t>Počet podporených objektov monitorovacej siete povrchových a podzemných vôd</t>
  </si>
  <si>
    <t>O0007</t>
  </si>
  <si>
    <t>O0008</t>
  </si>
  <si>
    <t>Počet opatrení na zabezpečenie spojitosti vodných tokov a odstraňovanie bariér vo vodných tokoch</t>
  </si>
  <si>
    <t>O0009</t>
  </si>
  <si>
    <t>O0176</t>
  </si>
  <si>
    <t>CO23</t>
  </si>
  <si>
    <t>O0010</t>
  </si>
  <si>
    <t>Počet realizovaných prvkov zelenej infraštruktúry</t>
  </si>
  <si>
    <t>O0011</t>
  </si>
  <si>
    <t>Počet novo zaradených monitorovaných lokalít</t>
  </si>
  <si>
    <t>O0012</t>
  </si>
  <si>
    <t>O0015</t>
  </si>
  <si>
    <t>Počet podporených akreditovaných odberných miest NMSKO</t>
  </si>
  <si>
    <t>O0016</t>
  </si>
  <si>
    <t>Počet aplikovaných modulov NEIS podľa požiadaviek na informovanie verejnosti a reportingových povinností</t>
  </si>
  <si>
    <t>O0174</t>
  </si>
  <si>
    <t>Inštalovaný výkon nízkoemisných zariadení nahradzujúcich zastarané spaľovacie zariadenia na výrobu tepla na vykurovanie</t>
  </si>
  <si>
    <t>O0177</t>
  </si>
  <si>
    <t>Počet podporených zariadení stredných a veľkých stacionárnych zdrojov znečisťovania ovzdušia za účelom zníženia emisií</t>
  </si>
  <si>
    <t>CO22</t>
  </si>
  <si>
    <t>O0017</t>
  </si>
  <si>
    <t>Plocha preskúmaných environmentálnych záťaží</t>
  </si>
  <si>
    <t>O0018</t>
  </si>
  <si>
    <t>Plocha monitorovaných environmentálnych záťaží</t>
  </si>
  <si>
    <t>CO20</t>
  </si>
  <si>
    <t>Počet obyvateľov využívajúcich opatrenia protipovodňovej ochrany</t>
  </si>
  <si>
    <t>O0019</t>
  </si>
  <si>
    <t>Počet realizovaných vodozádržných opatrení</t>
  </si>
  <si>
    <t>O0020</t>
  </si>
  <si>
    <t>Počet aktualizovaných alebo novovytvorených plánovacích podkladov manažmentu povodňových rizík (na úrovni SR)</t>
  </si>
  <si>
    <t>O0021</t>
  </si>
  <si>
    <t>Počet novovytvorených metodík pre hodnotenie investičných rizík spojených s nepriaznivými dôsledkami zmeny klímy</t>
  </si>
  <si>
    <t>O0022</t>
  </si>
  <si>
    <t>Počet vytvorených modelov vývoja mimoriadnych udalostí ovplyvnených zmenou klímy</t>
  </si>
  <si>
    <t>O0023</t>
  </si>
  <si>
    <t>Počet systémov včasného varovania</t>
  </si>
  <si>
    <t>O0024</t>
  </si>
  <si>
    <t>Plocha preskúmaného zosuvného územia</t>
  </si>
  <si>
    <t>O0025</t>
  </si>
  <si>
    <t>Plocha hydrogeologicky preskúmaného územia</t>
  </si>
  <si>
    <t>O0026</t>
  </si>
  <si>
    <t>Počet subjektov so zlepšeným vybavením intervenčnými kapacitami.</t>
  </si>
  <si>
    <t>O0027</t>
  </si>
  <si>
    <t>Počet vytvorených špecializovaných záchranných modulov</t>
  </si>
  <si>
    <t>CO01</t>
  </si>
  <si>
    <t>CO30</t>
  </si>
  <si>
    <t>Zvýšená kapacita výroby energie z obnoviteľných zdrojov</t>
  </si>
  <si>
    <t>CO34</t>
  </si>
  <si>
    <t>Odhadované ročné zníženie emisií skleníkových plynov</t>
  </si>
  <si>
    <t>Počet malých zariadení na využívanie OZE</t>
  </si>
  <si>
    <t>O0188</t>
  </si>
  <si>
    <t>Zvýšená kapacita výroby elektriny z obnoviteľných zdrojov</t>
  </si>
  <si>
    <t>O0189</t>
  </si>
  <si>
    <t>Zvýšená kapacita výroby tepla z obnoviteľných zdrojov</t>
  </si>
  <si>
    <t>O0029</t>
  </si>
  <si>
    <t>Počet opatrení energetickej efektívnosti realizovaných v podnikoch</t>
  </si>
  <si>
    <t>O0030</t>
  </si>
  <si>
    <t>Počet energetických auditov</t>
  </si>
  <si>
    <t>O0031</t>
  </si>
  <si>
    <t>Počet zavedených systémov merania a riadenia</t>
  </si>
  <si>
    <t>O0032</t>
  </si>
  <si>
    <t>Počet podnikov s registrovaným EMAS a zavedeným systémom environmentálneho manažérstva</t>
  </si>
  <si>
    <t>O0184</t>
  </si>
  <si>
    <t>Predpokladaná úspora PEZ v podniku podľa energetického auditu</t>
  </si>
  <si>
    <t>O0185</t>
  </si>
  <si>
    <t>Úspora PEZ v podniku</t>
  </si>
  <si>
    <t>CO32</t>
  </si>
  <si>
    <t>Zníženie ročnej spotreby primárnej energie vo verejných budovách  </t>
  </si>
  <si>
    <t>O0180</t>
  </si>
  <si>
    <t>Počet verejných budov na úrovni nízkoenergetickej alebo ultranízkoenergetickej alebo s takmer nulovou potrebou energie</t>
  </si>
  <si>
    <t>O0183</t>
  </si>
  <si>
    <t>Podlahová plocha budov obnovených nad rámec minimálnych požiadaviek</t>
  </si>
  <si>
    <t>O0187</t>
  </si>
  <si>
    <t>Zníženie konečnej spotreby energie vo verejných budovách</t>
  </si>
  <si>
    <t>O0034</t>
  </si>
  <si>
    <t>Počet zavedených systémov kontinuálneho zvyšovania informovanosti</t>
  </si>
  <si>
    <t>O0036</t>
  </si>
  <si>
    <t>Počet zavedených systémov energetického manažérstva</t>
  </si>
  <si>
    <t>O0050</t>
  </si>
  <si>
    <t>Počet registrácií EMAS a zavedených systémov environmentálneho manažérstva</t>
  </si>
  <si>
    <t>O0179</t>
  </si>
  <si>
    <t>Počet regionálnych a lokálnych nízkouhlíkových stratégií</t>
  </si>
  <si>
    <t>O0037</t>
  </si>
  <si>
    <t>Počet systémov centralizovaného zásobovania teplom s vyššou účinnosťou</t>
  </si>
  <si>
    <t>O0038</t>
  </si>
  <si>
    <t>Úspora PEZ v systémoch centralizovaného zásobovania teplom</t>
  </si>
  <si>
    <t>O0039</t>
  </si>
  <si>
    <t>Množstvo tepla vyrobeného vysoko účinnou kombinovanou výrobou založenou na dopyte po využiteľnom teple</t>
  </si>
  <si>
    <t>O0040</t>
  </si>
  <si>
    <t>Zvýšenie inštalovaného výkonu zariadení na výrobu elektriny a tepla vysoko účinnou kombinovanou výrobou založenou na dopyte po využiteľnom teple</t>
  </si>
  <si>
    <t>O0048</t>
  </si>
  <si>
    <t>Počet opatrení pre zníženie administratívnej záťaže</t>
  </si>
  <si>
    <t>O0163</t>
  </si>
  <si>
    <t>Počet zrealizovaných vzdelávacích aktivít</t>
  </si>
  <si>
    <t>O0175</t>
  </si>
  <si>
    <t>O0181</t>
  </si>
  <si>
    <t>Počet zrealizovaných hodnotení, analýz a štúdií</t>
  </si>
  <si>
    <t>O0182</t>
  </si>
  <si>
    <t>P0081</t>
  </si>
  <si>
    <t>Množstvo opätovne použitých odpadov</t>
  </si>
  <si>
    <t>P0082</t>
  </si>
  <si>
    <t>Množstvo recyklovaných nebezpečných odpadov</t>
  </si>
  <si>
    <t>P0083</t>
  </si>
  <si>
    <t>Množstvo recyklovaných nie nebezpečných odpadov</t>
  </si>
  <si>
    <t>P0087</t>
  </si>
  <si>
    <t>Množstvo vytriedeného komunálneho odpadu</t>
  </si>
  <si>
    <t>P0089</t>
  </si>
  <si>
    <t>Množstvo zhodnotených nie nebezpečných odpadov</t>
  </si>
  <si>
    <t>P0271</t>
  </si>
  <si>
    <t>Počet osôb zapojených do informačných aktivít</t>
  </si>
  <si>
    <t>P0402</t>
  </si>
  <si>
    <t>Počet subjektov zapojených do informačných aktivít</t>
  </si>
  <si>
    <t>P0558</t>
  </si>
  <si>
    <t>Počet zariadení na predchádzanie vzniku odpadu</t>
  </si>
  <si>
    <t>P0589</t>
  </si>
  <si>
    <t>Počet zrealizovaných informačných aktivít</t>
  </si>
  <si>
    <t>P0677</t>
  </si>
  <si>
    <t>P0702</t>
  </si>
  <si>
    <t>P0703</t>
  </si>
  <si>
    <t>P0704</t>
  </si>
  <si>
    <t>P0708</t>
  </si>
  <si>
    <t>Zvýšená kapacita zariadení na predchádzanie vzniku odpadov</t>
  </si>
  <si>
    <t>P0041</t>
  </si>
  <si>
    <t>Dĺžka novovybudovaných kanalizačných sietí (bez kanal. prípojok)</t>
  </si>
  <si>
    <t>P0598</t>
  </si>
  <si>
    <t>Počet zrekonštruovaných alebo novovybudovaných ČOV</t>
  </si>
  <si>
    <t>P0714</t>
  </si>
  <si>
    <t>P0042</t>
  </si>
  <si>
    <t>Dĺžka novovybudovaných rozvodov pitnej vody (bez vodovod. prípojok)</t>
  </si>
  <si>
    <t>P0600</t>
  </si>
  <si>
    <t>Počet zrekonštruovaných úpravní povrchových vôd</t>
  </si>
  <si>
    <t>P0712</t>
  </si>
  <si>
    <t>Zvýšený počet obyvateľov so zlepšenou dodávkou pitnej vody</t>
  </si>
  <si>
    <t>P0044</t>
  </si>
  <si>
    <t>Dĺžka spojitého úseku vodného toku po eliminácii bariéry</t>
  </si>
  <si>
    <t>P0139</t>
  </si>
  <si>
    <t>Počet analýz podzemných vôd</t>
  </si>
  <si>
    <t>P0140</t>
  </si>
  <si>
    <t>Počet analýz povrchových vôd</t>
  </si>
  <si>
    <t>P0141</t>
  </si>
  <si>
    <t>Počet analyzovaných vzoriek podzemných vôd</t>
  </si>
  <si>
    <t>P0142</t>
  </si>
  <si>
    <t>Počet analyzovaných vzoriek povrchových vôd</t>
  </si>
  <si>
    <t>P0178</t>
  </si>
  <si>
    <t>Počet koncepčných, analytických a metodických materiálov</t>
  </si>
  <si>
    <t>P0188</t>
  </si>
  <si>
    <t>Počet monitorovaných vodných útvarov podzemných vôd</t>
  </si>
  <si>
    <t>P0189</t>
  </si>
  <si>
    <t>Počet monitorovaných vodných útvarov povrchových vôd</t>
  </si>
  <si>
    <t>P0249</t>
  </si>
  <si>
    <t>P0252</t>
  </si>
  <si>
    <t>Počet optimalizovaných informačných nástrojov</t>
  </si>
  <si>
    <t>P0304</t>
  </si>
  <si>
    <t>Počet podporených objektov monitorovacej siete podzemných vôd</t>
  </si>
  <si>
    <t>P0305</t>
  </si>
  <si>
    <t>Počet podporených objektov monitorovacej siete povrchových vôd</t>
  </si>
  <si>
    <t>P0501</t>
  </si>
  <si>
    <t>Počet vyhodnotených vodných útvarov podzemných vôd</t>
  </si>
  <si>
    <t>P0502</t>
  </si>
  <si>
    <t>Počet vyhodnotených vodných útvarov povrchových vôd</t>
  </si>
  <si>
    <t>P0715</t>
  </si>
  <si>
    <t>Počet vodných útvarov so zabezpečenou spojitosťou toku a habitatov</t>
  </si>
  <si>
    <t>P0112</t>
  </si>
  <si>
    <t>Plocha biotopov podporených s cieľom dosiahnuť lepší stav ich ochrany</t>
  </si>
  <si>
    <t>P0120</t>
  </si>
  <si>
    <t>Plocha s odstránenými inváznymi druhmi rastlín</t>
  </si>
  <si>
    <t>P0159</t>
  </si>
  <si>
    <t>Počet druhov alebo biotopov v neznámom stave, ktorých stav sa pri monitorovaní druhov, alebo biotopov zmenil</t>
  </si>
  <si>
    <t>P0186</t>
  </si>
  <si>
    <t>Počet monitorovaných lokalít, kde došlo k zvýšeniu počtu monitorovaných druhov alebo biotopov</t>
  </si>
  <si>
    <t>P0199</t>
  </si>
  <si>
    <t>P0367</t>
  </si>
  <si>
    <t>P0505</t>
  </si>
  <si>
    <t>Počet vypracovaných dokumentov starostlivosti</t>
  </si>
  <si>
    <t>P0508</t>
  </si>
  <si>
    <t>Počet vypracovaných MÚSES</t>
  </si>
  <si>
    <t>P0510</t>
  </si>
  <si>
    <t>Počet vypracovaných RÚSES</t>
  </si>
  <si>
    <t>P0064</t>
  </si>
  <si>
    <t>P0143</t>
  </si>
  <si>
    <t>P0192</t>
  </si>
  <si>
    <t>Počet nahradených zastaraných spaľovacích zariadení</t>
  </si>
  <si>
    <t>P0198</t>
  </si>
  <si>
    <t>Počet novo vykonaných emisných inventúr a/alebo projekcií emisií</t>
  </si>
  <si>
    <t>P0201</t>
  </si>
  <si>
    <t>Počet novovybudovaných akreditovaných odberných miest NMSKO</t>
  </si>
  <si>
    <t>P0202</t>
  </si>
  <si>
    <t>Počet novovybudovaných staníc NMSKO</t>
  </si>
  <si>
    <t>P0292</t>
  </si>
  <si>
    <t>Počet podporených existujúcich akreditovaných odberných miest NMSKO</t>
  </si>
  <si>
    <t>P0293</t>
  </si>
  <si>
    <t>Počet podporených existujúcich staníc NMSKO</t>
  </si>
  <si>
    <t>P0330</t>
  </si>
  <si>
    <t>Počet podporených zariadení malých stacionárnych zdrojov znečisťovania ovzdušia za účelom zníženia emisií</t>
  </si>
  <si>
    <t>P0331</t>
  </si>
  <si>
    <t>P0503</t>
  </si>
  <si>
    <t>Počet vykonaných modelových výpočtov a/alebo chemických analýz</t>
  </si>
  <si>
    <t>P0562</t>
  </si>
  <si>
    <t>Počet zavedených nových aplikovaných modulov NRZ</t>
  </si>
  <si>
    <t>P0690</t>
  </si>
  <si>
    <t>Zníženie produkcie emisií NH3</t>
  </si>
  <si>
    <t>P0691</t>
  </si>
  <si>
    <t>Zníženie produkcie emisií NOx</t>
  </si>
  <si>
    <t>P0692</t>
  </si>
  <si>
    <t>Zníženie produkcie emisií PM10</t>
  </si>
  <si>
    <t>P0693</t>
  </si>
  <si>
    <t>Zníženie produkcie emisií PM2,5</t>
  </si>
  <si>
    <t>P0694</t>
  </si>
  <si>
    <t>Zníženie produkcie emisií SO2</t>
  </si>
  <si>
    <t>P0695</t>
  </si>
  <si>
    <t>Zníženie produkcie emisií VOC</t>
  </si>
  <si>
    <t>P0032</t>
  </si>
  <si>
    <t>Celkový povrch rekultivovanej pôdy</t>
  </si>
  <si>
    <t>P0114</t>
  </si>
  <si>
    <t>P0119</t>
  </si>
  <si>
    <t>P0185</t>
  </si>
  <si>
    <t>Počet monitorovaných environmentálnych záťaží</t>
  </si>
  <si>
    <t>P0352</t>
  </si>
  <si>
    <t>Počet preskumaných prioritných environmentálnych záťaží</t>
  </si>
  <si>
    <t>P0385</t>
  </si>
  <si>
    <t>Počet sanovaných environmentálnych záťaží</t>
  </si>
  <si>
    <t>P0497</t>
  </si>
  <si>
    <t>Počet vybudovaných zariadení na monitorovanie environmentálnych záťaží</t>
  </si>
  <si>
    <t>P0060</t>
  </si>
  <si>
    <t>Hodnota majetku ochraneného pred povodňami</t>
  </si>
  <si>
    <t>P0121</t>
  </si>
  <si>
    <t>Plocha vytvoreného vodozádržného opatrenia</t>
  </si>
  <si>
    <t>P0137</t>
  </si>
  <si>
    <t>P0204</t>
  </si>
  <si>
    <t>P0239</t>
  </si>
  <si>
    <t>P0368</t>
  </si>
  <si>
    <t>P0027</t>
  </si>
  <si>
    <t>Celková plocha inventarizovaných uzavretých úložísk a opustených úložísk ťažobného odpadu</t>
  </si>
  <si>
    <t>P0031</t>
  </si>
  <si>
    <t>P0169</t>
  </si>
  <si>
    <t>Počet inventarizovaných uzavretých úložísk a opustených úložísk ťažobného odpadu</t>
  </si>
  <si>
    <t>P0371</t>
  </si>
  <si>
    <t>Počet rekultivovaných uzavretých úložísk a opustených úložísk ťažobného odpadu</t>
  </si>
  <si>
    <t>P0116</t>
  </si>
  <si>
    <t>Plocha pokrytia obývaného územia zabezpečeného systémom včasného varovania</t>
  </si>
  <si>
    <t>P0117</t>
  </si>
  <si>
    <t>Plocha pokrytia územia zabezpečeného systémom včasného varovania</t>
  </si>
  <si>
    <t>P0146</t>
  </si>
  <si>
    <t>Počet databáz pre potreby modelovania vývoja mimoriadnych udalostí, monitorovania a vyhodnocovania rizík viazaných na zmenu klímy a jej dôsledkov</t>
  </si>
  <si>
    <t>P0197</t>
  </si>
  <si>
    <t>Počet navrhovaných druhov preventívnych opatrení na elimináciu rizík viazaných na zmenu klímy a jej dôsledkov</t>
  </si>
  <si>
    <t>P0403</t>
  </si>
  <si>
    <t>Počet subjektov zapojených do projektu</t>
  </si>
  <si>
    <t>P0415</t>
  </si>
  <si>
    <t>Počet systémov monitorovania a/alebo vyhodnocovania rizík viazaných na zmenu klímy a jej dôsledkov</t>
  </si>
  <si>
    <t>P0416</t>
  </si>
  <si>
    <t>Počet systémov na prenos údajov medzi lokálnou a/ alebo regionálnou a/ alebo národnou a/ alebo nadnárodnou úrovňou</t>
  </si>
  <si>
    <t>P0417</t>
  </si>
  <si>
    <t>P0418</t>
  </si>
  <si>
    <t>Počet systémov vyhodnocovania rizík viazaných na zmenu klímy a jej dôsledkov</t>
  </si>
  <si>
    <t>P0522</t>
  </si>
  <si>
    <t>P0113</t>
  </si>
  <si>
    <t>P0115</t>
  </si>
  <si>
    <t>Plocha monitorovaných svahových deformácií</t>
  </si>
  <si>
    <t>P0118</t>
  </si>
  <si>
    <t>P0122</t>
  </si>
  <si>
    <t>Plocha zmapovaného územia</t>
  </si>
  <si>
    <t>P0187</t>
  </si>
  <si>
    <t>Počet monitorovaných svahových deformácií</t>
  </si>
  <si>
    <t>P0200</t>
  </si>
  <si>
    <t>Počet novoidentifikovaných, registrovaných a zmapovaných svahových deformácií</t>
  </si>
  <si>
    <t>P0241</t>
  </si>
  <si>
    <t>Počet obyvateľov žijúcich v oblastiach vyznačujúcich sa deficitom pitnej vody</t>
  </si>
  <si>
    <t>P0353</t>
  </si>
  <si>
    <t>Počet preskúmaných svahových deformácií</t>
  </si>
  <si>
    <t>P0386</t>
  </si>
  <si>
    <t>Počet sanovaných svahových deformácií</t>
  </si>
  <si>
    <t>P0498</t>
  </si>
  <si>
    <t>Počet vybudovaných zariadení na monitorovanie svahových deformácií</t>
  </si>
  <si>
    <t>P0035</t>
  </si>
  <si>
    <t>P0135</t>
  </si>
  <si>
    <t>Počet aktivít zameraných na výcvik, vzdelávanie, výmenu informácií a skúseností</t>
  </si>
  <si>
    <t>P0272</t>
  </si>
  <si>
    <t>Počet osôb zapojených do opatrení zameraných na výmenu informácií, skúseností, vzdelávanie a výcvik</t>
  </si>
  <si>
    <t>P0529</t>
  </si>
  <si>
    <t>P0536</t>
  </si>
  <si>
    <t>Počet zahraničných subjektov</t>
  </si>
  <si>
    <t>P0557</t>
  </si>
  <si>
    <t>Počet zariadení na elimináciu rizík súvisiacich so zmenou klímy</t>
  </si>
  <si>
    <t>P0688</t>
  </si>
  <si>
    <t>Zníženie materiálnych škôd posilnením intervenčných kapacít</t>
  </si>
  <si>
    <t>P0065</t>
  </si>
  <si>
    <t>Inštalovaný výkon zariadenia na výrobu  biometánu</t>
  </si>
  <si>
    <t>P0080</t>
  </si>
  <si>
    <t>Množstvo elektrickej energie vyrobenej v zariadení OZE</t>
  </si>
  <si>
    <t>P0084</t>
  </si>
  <si>
    <t>Množstvo tepelnej energie vyrobenej v zariadení OZE</t>
  </si>
  <si>
    <t>P0086</t>
  </si>
  <si>
    <t>Množstvo vyrobeného biometánu (energetický obsah)</t>
  </si>
  <si>
    <t>P0103</t>
  </si>
  <si>
    <t>P0182</t>
  </si>
  <si>
    <t>P0290</t>
  </si>
  <si>
    <t>Počet podnikov, ktorým sa poskytuje podpora</t>
  </si>
  <si>
    <t>P0705</t>
  </si>
  <si>
    <t>P0706</t>
  </si>
  <si>
    <t>P0707</t>
  </si>
  <si>
    <t>P0160</t>
  </si>
  <si>
    <t>P0248</t>
  </si>
  <si>
    <t>P0281</t>
  </si>
  <si>
    <t>P0370</t>
  </si>
  <si>
    <t>Počet registrácií EMAS</t>
  </si>
  <si>
    <t>P0573</t>
  </si>
  <si>
    <t>P0576</t>
  </si>
  <si>
    <t>P0608</t>
  </si>
  <si>
    <t>Počet zavedených systémov environmentálneho manažérstva</t>
  </si>
  <si>
    <t>P0618</t>
  </si>
  <si>
    <t>P0629</t>
  </si>
  <si>
    <t>Spotreba energie v podniku po realizácii opatrení energetickej efektívnosti</t>
  </si>
  <si>
    <t>P0630</t>
  </si>
  <si>
    <t>Spotreba energie v podniku pred realizáciou opatrení energetickej efektívnosti</t>
  </si>
  <si>
    <t>P0657</t>
  </si>
  <si>
    <t>P0250</t>
  </si>
  <si>
    <t>Počet opatrení na zníženie spotreby energie realizovaných vo verejnej budove</t>
  </si>
  <si>
    <t>P0470</t>
  </si>
  <si>
    <t>P0612</t>
  </si>
  <si>
    <t>P0627</t>
  </si>
  <si>
    <t>Spotreba energie v budove po realizácii opatrení energetickej efektívnosti</t>
  </si>
  <si>
    <t>P0628</t>
  </si>
  <si>
    <t>Spotreba energie v budove pred realizáciou opatrení energetickej efektívnosti</t>
  </si>
  <si>
    <t>P0687</t>
  </si>
  <si>
    <t>P0689</t>
  </si>
  <si>
    <t>Zníženie potreby energie vo verejných budovách</t>
  </si>
  <si>
    <t>P0701</t>
  </si>
  <si>
    <t>P0138</t>
  </si>
  <si>
    <t>Počet aktualizovaných koncepcií rozvoja obcí v tepelnej energetike</t>
  </si>
  <si>
    <t>P0150</t>
  </si>
  <si>
    <t>Počet dočasne vytvorených pracovných miest počas doby realizácie projektu za účelom koordinácie prípravy konkrétnych projektov nízkouhlíkových opatrení zo schválených nízkouhlíkových stratégií.</t>
  </si>
  <si>
    <t>P0166</t>
  </si>
  <si>
    <t>Počet informačných materiálov</t>
  </si>
  <si>
    <t>P0218</t>
  </si>
  <si>
    <t>Počet nových funkcionalít monitorovacieho systému</t>
  </si>
  <si>
    <t>P0357</t>
  </si>
  <si>
    <t>Počet pripravených projektov nízkouhlíkových opatrení</t>
  </si>
  <si>
    <t>P0358</t>
  </si>
  <si>
    <t>Počet pripravených projektov realizovaných prostredníctvom poskytnutia energetickej služby</t>
  </si>
  <si>
    <t>P0369</t>
  </si>
  <si>
    <t>P0574</t>
  </si>
  <si>
    <t>Počet zavedených systémov environmentálneho manažérstva</t>
  </si>
  <si>
    <t>P0575</t>
  </si>
  <si>
    <t>P0625</t>
  </si>
  <si>
    <t>Rozšírený monitorovací systém nízkouhlíkových opatrení</t>
  </si>
  <si>
    <t>P0085</t>
  </si>
  <si>
    <t>P0414</t>
  </si>
  <si>
    <t>P0655</t>
  </si>
  <si>
    <t>P0656</t>
  </si>
  <si>
    <t>Úspora PEZ v zariadeniach pre vysoko účinnú kombinovanú výrobu elektriny a tepla</t>
  </si>
  <si>
    <t>P0709</t>
  </si>
  <si>
    <t>P0130</t>
  </si>
  <si>
    <t>Počet administratívnych kapacít financovaných z technickej pomoci</t>
  </si>
  <si>
    <t>P0131</t>
  </si>
  <si>
    <t>Počet administratívnych kapacít vybavených materiálno-technickým vybavením z TP</t>
  </si>
  <si>
    <t>P0588</t>
  </si>
  <si>
    <t>P0594</t>
  </si>
  <si>
    <t>Počet zrealizovaných pracovných ciest</t>
  </si>
  <si>
    <t>P0596</t>
  </si>
  <si>
    <t>Merná jednotka</t>
  </si>
  <si>
    <t>%</t>
  </si>
  <si>
    <t>počet</t>
  </si>
  <si>
    <t>Ukazovateľ výstupu programu</t>
  </si>
  <si>
    <t>Ukazovateľ výstupu projektu</t>
  </si>
  <si>
    <t>t/rok</t>
  </si>
  <si>
    <t>Relevancia k HP</t>
  </si>
  <si>
    <t>UR</t>
  </si>
  <si>
    <t>osoby</t>
  </si>
  <si>
    <t>EO</t>
  </si>
  <si>
    <t>ha</t>
  </si>
  <si>
    <t>MW</t>
  </si>
  <si>
    <t>F0002</t>
  </si>
  <si>
    <t>EUR</t>
  </si>
  <si>
    <t>MWe</t>
  </si>
  <si>
    <t>MWt</t>
  </si>
  <si>
    <t>N/A</t>
  </si>
  <si>
    <t>MWh/rok</t>
  </si>
  <si>
    <t>kWh/rok</t>
  </si>
  <si>
    <t>FTE</t>
  </si>
  <si>
    <t>1</t>
  </si>
  <si>
    <t>Aktivita</t>
  </si>
  <si>
    <t>1.1.1 A</t>
  </si>
  <si>
    <t>1.1.1 C</t>
  </si>
  <si>
    <t>1.2.1 B</t>
  </si>
  <si>
    <t>1.1.1 B</t>
  </si>
  <si>
    <t>2</t>
  </si>
  <si>
    <t>4</t>
  </si>
  <si>
    <t>1.2.3 C</t>
  </si>
  <si>
    <t>1.3.1 C</t>
  </si>
  <si>
    <t>1.4.1 C</t>
  </si>
  <si>
    <t>1.3.1 D</t>
  </si>
  <si>
    <t>4.4.1 D</t>
  </si>
  <si>
    <t>1.4.1 B</t>
  </si>
  <si>
    <t>1.4.2 B</t>
  </si>
  <si>
    <t>2.1.1 F</t>
  </si>
  <si>
    <t>1.2.3 A</t>
  </si>
  <si>
    <t>1.3.1 A</t>
  </si>
  <si>
    <t>1.4.1 A</t>
  </si>
  <si>
    <t>5.1.2 A</t>
  </si>
  <si>
    <t>5.1.2 B</t>
  </si>
  <si>
    <t>5</t>
  </si>
  <si>
    <t>1.1.1 D</t>
  </si>
  <si>
    <t>1.2.1 A</t>
  </si>
  <si>
    <t>1.2.2 A</t>
  </si>
  <si>
    <t>1.2.3 B</t>
  </si>
  <si>
    <t>3</t>
  </si>
  <si>
    <t>3.1.3 A</t>
  </si>
  <si>
    <t>1.3.1 B</t>
  </si>
  <si>
    <t>4.1.1 A</t>
  </si>
  <si>
    <t>4.3.1 A</t>
  </si>
  <si>
    <t>1.4.2 A</t>
  </si>
  <si>
    <t>2.1.1 D</t>
  </si>
  <si>
    <t>2.1.1 B</t>
  </si>
  <si>
    <t>2.1.2 A</t>
  </si>
  <si>
    <t>3.1.1 B</t>
  </si>
  <si>
    <t>2.1.1 A</t>
  </si>
  <si>
    <t>2.1.1 C</t>
  </si>
  <si>
    <t>2.1.1 E</t>
  </si>
  <si>
    <t>3.1.2 A</t>
  </si>
  <si>
    <t>3.1.1 A</t>
  </si>
  <si>
    <t>3.1.2 B</t>
  </si>
  <si>
    <t>3.1.3 B</t>
  </si>
  <si>
    <t>4.2.1 B</t>
  </si>
  <si>
    <t>4.1.1 B</t>
  </si>
  <si>
    <t>4.1.1 C</t>
  </si>
  <si>
    <t>4.1.2 A</t>
  </si>
  <si>
    <t>4.5.1 A</t>
  </si>
  <si>
    <t>4.5.1 B</t>
  </si>
  <si>
    <t>4.2.1 A</t>
  </si>
  <si>
    <t>4.4.1 C</t>
  </si>
  <si>
    <t>4.4.1 A</t>
  </si>
  <si>
    <t>4.4.1 E</t>
  </si>
  <si>
    <t>4.4.1 B</t>
  </si>
  <si>
    <t>5.1.1 A</t>
  </si>
  <si>
    <t>4.4.1 F</t>
  </si>
  <si>
    <t>5.1.1 C</t>
  </si>
  <si>
    <t>5.1.1 D</t>
  </si>
  <si>
    <t>5.1.1 B</t>
  </si>
  <si>
    <t>Kód projektu</t>
  </si>
  <si>
    <t>Výzva</t>
  </si>
  <si>
    <t>Prijímateľ</t>
  </si>
  <si>
    <t>Názov projektu</t>
  </si>
  <si>
    <t>310011A280</t>
  </si>
  <si>
    <t>Stav realizácie projektu</t>
  </si>
  <si>
    <t>Príznak rizika</t>
  </si>
  <si>
    <t>Nie</t>
  </si>
  <si>
    <t>zazmluvnené</t>
  </si>
  <si>
    <t>skutočný stav</t>
  </si>
  <si>
    <t>310011A002</t>
  </si>
  <si>
    <t>310011A003</t>
  </si>
  <si>
    <t>310011A006</t>
  </si>
  <si>
    <t>310011A007</t>
  </si>
  <si>
    <t>310011A008</t>
  </si>
  <si>
    <t>310011A009</t>
  </si>
  <si>
    <t>310011A010</t>
  </si>
  <si>
    <t>310011A011</t>
  </si>
  <si>
    <t>310011A012</t>
  </si>
  <si>
    <t>310011A013</t>
  </si>
  <si>
    <t>310011A014</t>
  </si>
  <si>
    <t>310011A016</t>
  </si>
  <si>
    <t>310011A019</t>
  </si>
  <si>
    <t>310011A023</t>
  </si>
  <si>
    <t>310011A028</t>
  </si>
  <si>
    <t>310011A029</t>
  </si>
  <si>
    <t>310011A030</t>
  </si>
  <si>
    <t>310011A032</t>
  </si>
  <si>
    <t>310011A033</t>
  </si>
  <si>
    <t>310011A034</t>
  </si>
  <si>
    <t>310011A035</t>
  </si>
  <si>
    <t>310011A037</t>
  </si>
  <si>
    <t>310011A040</t>
  </si>
  <si>
    <t>310011A042</t>
  </si>
  <si>
    <t>310011A066</t>
  </si>
  <si>
    <t>310011A067</t>
  </si>
  <si>
    <t>310011A074</t>
  </si>
  <si>
    <t>310011A080</t>
  </si>
  <si>
    <t>310011A084</t>
  </si>
  <si>
    <t>310011A085</t>
  </si>
  <si>
    <t>310011A086</t>
  </si>
  <si>
    <t>310011A089</t>
  </si>
  <si>
    <t>310011A097</t>
  </si>
  <si>
    <t>310011A101</t>
  </si>
  <si>
    <t>310011A107</t>
  </si>
  <si>
    <t>310011A109</t>
  </si>
  <si>
    <t>310011A110</t>
  </si>
  <si>
    <t>310011A111</t>
  </si>
  <si>
    <t>310011A119</t>
  </si>
  <si>
    <t>310011A121</t>
  </si>
  <si>
    <t>310011A126</t>
  </si>
  <si>
    <t>310011A903</t>
  </si>
  <si>
    <t>PraN, UR</t>
  </si>
  <si>
    <t>km</t>
  </si>
  <si>
    <t>Áno</t>
  </si>
  <si>
    <t>Zazmluvnená hodnota v ITMS</t>
  </si>
  <si>
    <t>310011A326</t>
  </si>
  <si>
    <t>310011A366</t>
  </si>
  <si>
    <t>310011A874</t>
  </si>
  <si>
    <t>310011A153</t>
  </si>
  <si>
    <t>310011A155</t>
  </si>
  <si>
    <t>310011A226</t>
  </si>
  <si>
    <t>310011A373</t>
  </si>
  <si>
    <t>kg/rok</t>
  </si>
  <si>
    <t>310011B386</t>
  </si>
  <si>
    <t>310011B426</t>
  </si>
  <si>
    <t>310011B326</t>
  </si>
  <si>
    <t>310011B327</t>
  </si>
  <si>
    <t>310011B328</t>
  </si>
  <si>
    <t>310011B331</t>
  </si>
  <si>
    <t>310011B332</t>
  </si>
  <si>
    <t>310011B334</t>
  </si>
  <si>
    <t>310011B942</t>
  </si>
  <si>
    <t>310011B517</t>
  </si>
  <si>
    <t>310011B473</t>
  </si>
  <si>
    <t>310011B555</t>
  </si>
  <si>
    <t>310011B200</t>
  </si>
  <si>
    <t>310011B372</t>
  </si>
  <si>
    <t>310011B494</t>
  </si>
  <si>
    <t>Obec Pohronská Polhora</t>
  </si>
  <si>
    <t>Obec Svätý Peter</t>
  </si>
  <si>
    <t>-</t>
  </si>
  <si>
    <t>310011A919</t>
  </si>
  <si>
    <t>310011B110</t>
  </si>
  <si>
    <t>310011B185</t>
  </si>
  <si>
    <t>310011B457</t>
  </si>
  <si>
    <t>310011B572</t>
  </si>
  <si>
    <t>310011C158</t>
  </si>
  <si>
    <t>Ministerstvo životného prostredia SR</t>
  </si>
  <si>
    <t>310011B363</t>
  </si>
  <si>
    <t>310011B020</t>
  </si>
  <si>
    <t>310011B031</t>
  </si>
  <si>
    <t>310011B032</t>
  </si>
  <si>
    <t>310011B052</t>
  </si>
  <si>
    <t>310011B064</t>
  </si>
  <si>
    <t>310011B071</t>
  </si>
  <si>
    <t>310011B082</t>
  </si>
  <si>
    <t>310011B097</t>
  </si>
  <si>
    <t>310011B107</t>
  </si>
  <si>
    <t>310011B108</t>
  </si>
  <si>
    <t>310011B127</t>
  </si>
  <si>
    <t>310011B131</t>
  </si>
  <si>
    <t>310011B146</t>
  </si>
  <si>
    <t>310011B149</t>
  </si>
  <si>
    <t>310011B156</t>
  </si>
  <si>
    <t>310011B180</t>
  </si>
  <si>
    <t>310011B183</t>
  </si>
  <si>
    <t>310011B256</t>
  </si>
  <si>
    <t>310011B274</t>
  </si>
  <si>
    <t>310011B284</t>
  </si>
  <si>
    <t>310011B309</t>
  </si>
  <si>
    <t>310011B316</t>
  </si>
  <si>
    <t>310011B371</t>
  </si>
  <si>
    <t>310011B390</t>
  </si>
  <si>
    <t>310011B416</t>
  </si>
  <si>
    <t>310011B449</t>
  </si>
  <si>
    <t>310011B452</t>
  </si>
  <si>
    <t>310011B454</t>
  </si>
  <si>
    <t>310011B455</t>
  </si>
  <si>
    <t>310011B467</t>
  </si>
  <si>
    <t>310011B482</t>
  </si>
  <si>
    <t>310011B483</t>
  </si>
  <si>
    <t>310011B489</t>
  </si>
  <si>
    <t>310011B499</t>
  </si>
  <si>
    <t>310011B503</t>
  </si>
  <si>
    <t>310011B534</t>
  </si>
  <si>
    <t>310011B539</t>
  </si>
  <si>
    <t>310011B540</t>
  </si>
  <si>
    <t>310011B541</t>
  </si>
  <si>
    <t>310011B550</t>
  </si>
  <si>
    <t>310011B554</t>
  </si>
  <si>
    <t>310011B561</t>
  </si>
  <si>
    <t>310011B568</t>
  </si>
  <si>
    <t>310011B575</t>
  </si>
  <si>
    <t>310011B576</t>
  </si>
  <si>
    <t>310011B580</t>
  </si>
  <si>
    <t>310011B581</t>
  </si>
  <si>
    <t>310011B587</t>
  </si>
  <si>
    <t>310011B590</t>
  </si>
  <si>
    <t>310011B608</t>
  </si>
  <si>
    <t>310011B612</t>
  </si>
  <si>
    <t>310011B480</t>
  </si>
  <si>
    <t>PraN</t>
  </si>
  <si>
    <t>310011A918</t>
  </si>
  <si>
    <t>310011B039</t>
  </si>
  <si>
    <t>310011B079</t>
  </si>
  <si>
    <t>310011B145</t>
  </si>
  <si>
    <t>310011B151</t>
  </si>
  <si>
    <t>310011B179</t>
  </si>
  <si>
    <t>310011B237</t>
  </si>
  <si>
    <t>310011B276</t>
  </si>
  <si>
    <t>310011B285</t>
  </si>
  <si>
    <t>310011B358</t>
  </si>
  <si>
    <t>310011B430</t>
  </si>
  <si>
    <t>310011B431</t>
  </si>
  <si>
    <t>310011B443</t>
  </si>
  <si>
    <t>310011B444</t>
  </si>
  <si>
    <t>310011B450</t>
  </si>
  <si>
    <t>310011B451</t>
  </si>
  <si>
    <t>310011B478</t>
  </si>
  <si>
    <t>310011B518</t>
  </si>
  <si>
    <t>310011B547</t>
  </si>
  <si>
    <t>310011B598</t>
  </si>
  <si>
    <t>310011B601</t>
  </si>
  <si>
    <t>310011B560</t>
  </si>
  <si>
    <t>310011B565</t>
  </si>
  <si>
    <t>310011B579</t>
  </si>
  <si>
    <t>310011B588</t>
  </si>
  <si>
    <t>310011B589</t>
  </si>
  <si>
    <t>310011B148</t>
  </si>
  <si>
    <t>310011B255</t>
  </si>
  <si>
    <t>310011B447</t>
  </si>
  <si>
    <t>310011B510</t>
  </si>
  <si>
    <t>310011B549</t>
  </si>
  <si>
    <t>310011B557</t>
  </si>
  <si>
    <t>310011B562</t>
  </si>
  <si>
    <t>310011B564</t>
  </si>
  <si>
    <t>310011A925</t>
  </si>
  <si>
    <t>310011B068</t>
  </si>
  <si>
    <t>310011B135</t>
  </si>
  <si>
    <t>310011B409</t>
  </si>
  <si>
    <t>310011B433</t>
  </si>
  <si>
    <t>310011B441</t>
  </si>
  <si>
    <t>310011B485</t>
  </si>
  <si>
    <t>310011B496</t>
  </si>
  <si>
    <t>310011B515</t>
  </si>
  <si>
    <t>310011B543</t>
  </si>
  <si>
    <t>310011B551</t>
  </si>
  <si>
    <t>310011B578</t>
  </si>
  <si>
    <t>310011B584</t>
  </si>
  <si>
    <t>310011B597</t>
  </si>
  <si>
    <t>310011B466</t>
  </si>
  <si>
    <t>310011B586</t>
  </si>
  <si>
    <t>310011C041</t>
  </si>
  <si>
    <t>310011C064</t>
  </si>
  <si>
    <t>310011B533</t>
  </si>
  <si>
    <t>310011A990</t>
  </si>
  <si>
    <t>310011A847</t>
  </si>
  <si>
    <t>310011B569</t>
  </si>
  <si>
    <t>310011B462</t>
  </si>
  <si>
    <t>310011B429</t>
  </si>
  <si>
    <t>310011A943</t>
  </si>
  <si>
    <t>310011A909</t>
  </si>
  <si>
    <t>310011B526</t>
  </si>
  <si>
    <t>310011B599</t>
  </si>
  <si>
    <t>310011C076</t>
  </si>
  <si>
    <t>310011B448</t>
  </si>
  <si>
    <t>310011B919</t>
  </si>
  <si>
    <t>Ukončenie realizácie aktivít</t>
  </si>
  <si>
    <t>310011A950</t>
  </si>
  <si>
    <t>310011B014</t>
  </si>
  <si>
    <t>310011B080</t>
  </si>
  <si>
    <t>310011B121</t>
  </si>
  <si>
    <t>310011B142</t>
  </si>
  <si>
    <t>310011B177</t>
  </si>
  <si>
    <t>310011B199</t>
  </si>
  <si>
    <t>310011B419</t>
  </si>
  <si>
    <t>310011B502</t>
  </si>
  <si>
    <t>310011B614</t>
  </si>
  <si>
    <t>310011C895</t>
  </si>
  <si>
    <t>310011C955</t>
  </si>
  <si>
    <t>310011C958</t>
  </si>
  <si>
    <t>310011C989</t>
  </si>
  <si>
    <t>310011C992</t>
  </si>
  <si>
    <t>P0201, P0292</t>
  </si>
  <si>
    <t>P0304, P0305</t>
  </si>
  <si>
    <t>P0501, P0502</t>
  </si>
  <si>
    <t>P0141, P0142</t>
  </si>
  <si>
    <t>310011C797</t>
  </si>
  <si>
    <t>Počet verejných budov na úrovni nízkoenergetickej alebo ultranízkoenergetickej alebo s takmer nulovou potrebou energie</t>
  </si>
  <si>
    <t>Zníženie ročnej spotreby primárnej energie vo verejných budovách</t>
  </si>
  <si>
    <t>Predpokladaná úspora PEZ v podniku podľa energetického auditu</t>
  </si>
  <si>
    <t>Úspora PEZ v podniku</t>
  </si>
  <si>
    <t>Kód ŽoNFP</t>
  </si>
  <si>
    <t>Žiadateľ</t>
  </si>
  <si>
    <t>Názov ŽoNFP</t>
  </si>
  <si>
    <t>Stav ŽoNFP</t>
  </si>
  <si>
    <t>schválená hodnota</t>
  </si>
  <si>
    <t>310041A266</t>
  </si>
  <si>
    <t>310041A696</t>
  </si>
  <si>
    <t>310041A202</t>
  </si>
  <si>
    <t>310041A672</t>
  </si>
  <si>
    <t>310041A217</t>
  </si>
  <si>
    <t>310041A284</t>
  </si>
  <si>
    <t>310041A159</t>
  </si>
  <si>
    <t>310041A349</t>
  </si>
  <si>
    <t>310041A714</t>
  </si>
  <si>
    <t>310041A327</t>
  </si>
  <si>
    <t>310041A410</t>
  </si>
  <si>
    <t>310041A663</t>
  </si>
  <si>
    <t>310041A518</t>
  </si>
  <si>
    <t>310041A557</t>
  </si>
  <si>
    <t>310041A191</t>
  </si>
  <si>
    <t>310041A207</t>
  </si>
  <si>
    <t>310041A724</t>
  </si>
  <si>
    <t>310041A667</t>
  </si>
  <si>
    <t>310041A644</t>
  </si>
  <si>
    <t>310041A187</t>
  </si>
  <si>
    <t>310041A077</t>
  </si>
  <si>
    <t>310041A380</t>
  </si>
  <si>
    <t>310041A542</t>
  </si>
  <si>
    <t>310041B304</t>
  </si>
  <si>
    <t>310041A179</t>
  </si>
  <si>
    <t>310041A199</t>
  </si>
  <si>
    <t>310041A279</t>
  </si>
  <si>
    <t>310041A588</t>
  </si>
  <si>
    <t>310041A219</t>
  </si>
  <si>
    <t>310041A194</t>
  </si>
  <si>
    <t>310041A163</t>
  </si>
  <si>
    <t>310041A616</t>
  </si>
  <si>
    <t>310041A165</t>
  </si>
  <si>
    <t>310041A220</t>
  </si>
  <si>
    <t>310041A161</t>
  </si>
  <si>
    <t>310041A214</t>
  </si>
  <si>
    <t>310041A422</t>
  </si>
  <si>
    <t>310041A201</t>
  </si>
  <si>
    <t>310041A213</t>
  </si>
  <si>
    <t>310041A769</t>
  </si>
  <si>
    <t>310041A189</t>
  </si>
  <si>
    <t>310041A204</t>
  </si>
  <si>
    <t>310041A215</t>
  </si>
  <si>
    <t>310041A237</t>
  </si>
  <si>
    <t>310041A255</t>
  </si>
  <si>
    <t>310041A650</t>
  </si>
  <si>
    <t>310041A398</t>
  </si>
  <si>
    <t>310041A453</t>
  </si>
  <si>
    <t>310041A178</t>
  </si>
  <si>
    <t>310041A157</t>
  </si>
  <si>
    <t>310041A192</t>
  </si>
  <si>
    <t>310041B413</t>
  </si>
  <si>
    <t>310041A154</t>
  </si>
  <si>
    <t>310041A261</t>
  </si>
  <si>
    <t>310041A658</t>
  </si>
  <si>
    <t>310041A245</t>
  </si>
  <si>
    <t>310041A170</t>
  </si>
  <si>
    <t>310041A669</t>
  </si>
  <si>
    <t>310041A700</t>
  </si>
  <si>
    <t>310041A141</t>
  </si>
  <si>
    <t>310041A205</t>
  </si>
  <si>
    <t>310041A676</t>
  </si>
  <si>
    <t>310041A282</t>
  </si>
  <si>
    <t>310041A203</t>
  </si>
  <si>
    <t>310041A538</t>
  </si>
  <si>
    <t>310041A210</t>
  </si>
  <si>
    <t>310041A248</t>
  </si>
  <si>
    <t>310041A263</t>
  </si>
  <si>
    <t>310041A174</t>
  </si>
  <si>
    <t>310041A551</t>
  </si>
  <si>
    <t>310041A411</t>
  </si>
  <si>
    <t>310041A566</t>
  </si>
  <si>
    <t>310041A593</t>
  </si>
  <si>
    <t>310041A196</t>
  </si>
  <si>
    <t>310041A697</t>
  </si>
  <si>
    <t>310041A218</t>
  </si>
  <si>
    <t>310041A190</t>
  </si>
  <si>
    <t>310041A661</t>
  </si>
  <si>
    <t>310041A169</t>
  </si>
  <si>
    <t>310041A185</t>
  </si>
  <si>
    <t>310041A254</t>
  </si>
  <si>
    <t>310041A325</t>
  </si>
  <si>
    <t>310041A200</t>
  </si>
  <si>
    <t>310041A246</t>
  </si>
  <si>
    <t>310041A188</t>
  </si>
  <si>
    <t>310041A558</t>
  </si>
  <si>
    <t>310041A281</t>
  </si>
  <si>
    <t>310041A243</t>
  </si>
  <si>
    <t>OPKZP-PO4-SC431-2015-6 - 6. VÝZVA NA PREDKLADANIE ŽIADOSTÍ O NENÁVRATNÝ FINANČNÝ PRÍSPEVOK zameraná na zníženie energetickej náročnosti verejných budov</t>
  </si>
  <si>
    <t>Obec Bystré</t>
  </si>
  <si>
    <t>Zníženie energetickej náročnosti verejnej budovy - Budova obecného úradu obce Bystré</t>
  </si>
  <si>
    <t>Obec Kručov</t>
  </si>
  <si>
    <t>Znižovanie energetickej náročnosti OcÚ Kručov</t>
  </si>
  <si>
    <t>Mesto Veľký Krtíš</t>
  </si>
  <si>
    <t>Obnova budovy Mestského úradu Veľký Krtíš</t>
  </si>
  <si>
    <t>Obec Vyšná Šebastová</t>
  </si>
  <si>
    <t>Materská škola Vyšná Šebastová - zníženie energetickej náročnosti objektu</t>
  </si>
  <si>
    <t>Mesto Žilina</t>
  </si>
  <si>
    <t>Zníženie energetickej náročnosti budovy MsÚ v Žiline</t>
  </si>
  <si>
    <t>Obec Dunajský Klátov</t>
  </si>
  <si>
    <t>Zlepšenie energetickej hospodárnosti- rekonštrukcia obecného úradu - Dunajský Klátov</t>
  </si>
  <si>
    <t>Mesto Košice</t>
  </si>
  <si>
    <t>Zníženie energetickej náročnosti administratívnej budovy Správa mestskej zelene, Rastislavova 79,  Košice</t>
  </si>
  <si>
    <t>Mesto Medzilaborce</t>
  </si>
  <si>
    <t>Zateplenie Kultúrneho domu</t>
  </si>
  <si>
    <t>Obec Gerlachov</t>
  </si>
  <si>
    <t>Zníženie energetickej náročnosti kultúrno-správnej budovy v Gerlachove</t>
  </si>
  <si>
    <t>Mesto Brezová pod Bradlom</t>
  </si>
  <si>
    <t>Zníženie spotreby energie pri prevádzke verejnej budovy v meste Brezová pod Bradlom – budova Centra voľného času – Pavilón 1 a Pavilón 2</t>
  </si>
  <si>
    <t>Obec Imeľ</t>
  </si>
  <si>
    <t>Zníženie energetickej náročnosti budovy Materskej školy</t>
  </si>
  <si>
    <t>Obec Vyšný Žipov</t>
  </si>
  <si>
    <t>Rekonštrukcia Kultúrno-správnej budovy v obci Vyšný Žipov</t>
  </si>
  <si>
    <t>Obec Šuňava</t>
  </si>
  <si>
    <t>Zvýšenie energetickej účinnosti objektu AB obce Šuňava</t>
  </si>
  <si>
    <t>Obec Ohrady</t>
  </si>
  <si>
    <t>Rekonštrukcia objektu – materskej školy Ohrady</t>
  </si>
  <si>
    <t>Obec Marcelová</t>
  </si>
  <si>
    <t>Zníženie energetickej náročnosti budovy obecného úradu v Marcelovej</t>
  </si>
  <si>
    <t>Hvezdáreň a planetárium v Prešove</t>
  </si>
  <si>
    <t>Obnova budovy a zníženie jej energetickej náročnosti - Hvezdáreň a planetárium Prešov</t>
  </si>
  <si>
    <t>Obec Jarabina</t>
  </si>
  <si>
    <t>Opatrenia na zníženie spotreby energie pri prevádzke Materskej školy Jarabina</t>
  </si>
  <si>
    <t>Baška</t>
  </si>
  <si>
    <t>Zníženie spotreby energie pri prevádzke budovy Obecného úradu v Baške</t>
  </si>
  <si>
    <t>Obec Čáry</t>
  </si>
  <si>
    <t>Zníženie energetickej náročnosti verejnej budovy č. 284 - Čáry</t>
  </si>
  <si>
    <t>Obec Beluša</t>
  </si>
  <si>
    <t>Obnova Materskej školy - Beluša</t>
  </si>
  <si>
    <t>Slovenská inovačná a energetická agentúra</t>
  </si>
  <si>
    <t>Zelená domácnostiam</t>
  </si>
  <si>
    <t>Obec Bošany</t>
  </si>
  <si>
    <t>Materská škola - zvýšenie energetickej účinnosti verejnej budovy</t>
  </si>
  <si>
    <t>Obec Banské</t>
  </si>
  <si>
    <t>ZNÍŽENIE ENERGETICKEJ NÁROČNOSTI BUDOVY MŠ V BANSKOM</t>
  </si>
  <si>
    <t>Spojená škola</t>
  </si>
  <si>
    <t>Zníženie energetickej náročnosti budovy Spojenej školy v Spišskej Novej Vsi</t>
  </si>
  <si>
    <t>Obec Kameničná</t>
  </si>
  <si>
    <t>Zníženie energetickej náročnosti objektu škôlky v Kameničnej</t>
  </si>
  <si>
    <t>Školský internát</t>
  </si>
  <si>
    <t>Školský internát Poprad – zníženie energetickej náročnosti (riešenie havarijného stavu)</t>
  </si>
  <si>
    <t>SZRB Asset Management, a.s.</t>
  </si>
  <si>
    <t>Podpora výroby a distribúcie energie z obnoviteľných zdrojov</t>
  </si>
  <si>
    <t>Obec Zemianska Olča</t>
  </si>
  <si>
    <t>ZNÍŽENIE ENERGETICKEJ NÁROČNOSTI BUDOVY MATERSKEJ ŠKOLY</t>
  </si>
  <si>
    <t>Mesto Krásno nad Kysucou</t>
  </si>
  <si>
    <t>Zníženie energetickej náročnosti budovy Materskej školy v Krásne nad Kysucou</t>
  </si>
  <si>
    <t>Mesto Skalica</t>
  </si>
  <si>
    <t>Zvýšenie energetickej účinnosti budovy Mestského úradu v Skalici</t>
  </si>
  <si>
    <t>Obec Rakúsy</t>
  </si>
  <si>
    <t>Zateplenie obecnej budovy v športovom areáli</t>
  </si>
  <si>
    <t>Obec Tôň</t>
  </si>
  <si>
    <t>Rekonštrukcia obecného úradu v obci Tôň</t>
  </si>
  <si>
    <t>Mesto Trenčianske Teplice</t>
  </si>
  <si>
    <t>Obnova Mestského úradu</t>
  </si>
  <si>
    <t>Mesto Kysucké Nové Mesto</t>
  </si>
  <si>
    <t>Obnova komplexu Materskej školy 9. mája 1292 v Kysuckom Novom Meste</t>
  </si>
  <si>
    <t>Mesto Čadca</t>
  </si>
  <si>
    <t>Zníženie energetickej náročnosti budovy Mestského domu v Čadci</t>
  </si>
  <si>
    <t>Obec Cífer</t>
  </si>
  <si>
    <t>Zateplenie a obnova Kultúrneho domu s obecným úradom a rekonštrukcia UK v obci Cífer</t>
  </si>
  <si>
    <t>Mesto Spišská Stará Ves</t>
  </si>
  <si>
    <t>Opatrenia na zníženie energetickej náročnosti mestského úradu Spišská Stará Ves</t>
  </si>
  <si>
    <t>Žilinská univerzita v Žiline</t>
  </si>
  <si>
    <t>Zníženie energetickej náročnosti budovy NS Žilinskej univerzity</t>
  </si>
  <si>
    <t>Obec Víťaz</t>
  </si>
  <si>
    <t>Zníženie energetickej náročnosti budovy obecného úradu v obci Víťaz</t>
  </si>
  <si>
    <t>Obec Dobrohošť</t>
  </si>
  <si>
    <t>Zníženie spotreby energie budovy Obecného úradu Dobrohošť</t>
  </si>
  <si>
    <t>Obec Ladce</t>
  </si>
  <si>
    <t>Modernizácia a energetická optimalizácia kultúrneho domu Ladce</t>
  </si>
  <si>
    <t>Materská škola, Matice slovenskej 740/7, Stropkov</t>
  </si>
  <si>
    <t>Stropkov – Materská škola, Matice slovenskej 740/7</t>
  </si>
  <si>
    <t>Obec Lúč na Ostrove</t>
  </si>
  <si>
    <t>Zníženie energetickej náročnosti materskej školy</t>
  </si>
  <si>
    <t>Obec Vrbová nad Váhom</t>
  </si>
  <si>
    <t>Zateplenie materskej školy - Vrbová nad Váhom</t>
  </si>
  <si>
    <t>Obec Nová Dedina</t>
  </si>
  <si>
    <t>Obecný úrad Nová Dedina - stavebné úpravy</t>
  </si>
  <si>
    <t>Mesto Sereď</t>
  </si>
  <si>
    <t>Zníženie energetickej náročnosti Materskej školy Komenského "A" v Seredi</t>
  </si>
  <si>
    <t>Obec Podhoroď</t>
  </si>
  <si>
    <t>Zmena palivovej základne a zlepšenie tepelno-technických vlastností OcÚ Podhoroď</t>
  </si>
  <si>
    <t>Obec Kaluža</t>
  </si>
  <si>
    <t>Zvyšovanie energetickej účinnosti existujúcej budovy kultúrneho domu v Kaluži vrátane zatepľovania</t>
  </si>
  <si>
    <t>Spojená škola, SNP 16, Sabinov s organizačnými zložkami Stredná odborná škola, SNP 16, Sabinov a Obchodná akadémia, SNP 16, Sabinov</t>
  </si>
  <si>
    <t>Obnova budovy školských dielní SOŠ spojenej s OA, SNP 16, Sabinov – zníženie energetickej náročnosti</t>
  </si>
  <si>
    <t>Mesto Svidník</t>
  </si>
  <si>
    <t>Svidník - MŠ na Ul. generála Svobodu – zateplenie</t>
  </si>
  <si>
    <t>Mesto Považská Bystrica</t>
  </si>
  <si>
    <t>Zníženie energetickej náročnosti budovy  MsÚ Považská Bystrica</t>
  </si>
  <si>
    <t>Spojená škola internátna, SNP 1653/152, Považská Bystrica</t>
  </si>
  <si>
    <t>Zníženie energetickej náročnosti verejných budov – Spojená škola internátna v Považskej Bystrici</t>
  </si>
  <si>
    <t>Mesto Liptovský Mikuláš</t>
  </si>
  <si>
    <t>Zníženie energetickej náročnosti budovy mestského úradu Liptovský Mikuláš</t>
  </si>
  <si>
    <t>Mesto Bardejov</t>
  </si>
  <si>
    <t>Zníženie energetických nákladov na prevádzku mestského podniku BAPOS v Bardejove</t>
  </si>
  <si>
    <t>Mesto Sečovce</t>
  </si>
  <si>
    <t>Zníženie energetickej náročnosti budovy materskej školy Obchodná 26, Sečovce</t>
  </si>
  <si>
    <t>Obec Medzibrodie nad Oravou</t>
  </si>
  <si>
    <t>Zníženie energetickej náročnosti verejných budov- budovy materskej školy a obecného úradu</t>
  </si>
  <si>
    <t>Mesto Vráble</t>
  </si>
  <si>
    <t>Zníženie spotreby energie pri prevádzke budovy MsÚ vo Vrábľoch</t>
  </si>
  <si>
    <t>Obec Klasov</t>
  </si>
  <si>
    <t>Rekonštrukcia viacúčelovej administratívnej budovy za účelom zníženia energetickej náročnosti</t>
  </si>
  <si>
    <t>Obec Vyšný Hrušov</t>
  </si>
  <si>
    <t>Znižovanie energetickej náročnosti OcÚ Vyšný Hrušov</t>
  </si>
  <si>
    <t>obec Buková</t>
  </si>
  <si>
    <t>Obnova budovy obecného úradu Buková</t>
  </si>
  <si>
    <t>Mesto Nemšová</t>
  </si>
  <si>
    <t>ZNÍŽENIE ENERGETICKEJ NÁROČNOSTI OBJEKTU MŠ NA TRENČIANSKEJ ULICI, NEMŠOVÁ</t>
  </si>
  <si>
    <t>Obec  Poloma</t>
  </si>
  <si>
    <t>Zmena spôsobu vykurovania budovy obecného úradu Poloma</t>
  </si>
  <si>
    <t>Podpora energetickej efektívnosti, inteligentného riadenia energie a využívania energie z obnoviteľných zdrojov vo verejných infraštruktúrach, vrátane verejných budov</t>
  </si>
  <si>
    <t>Zníženie energetickej náročnosti budovy Univerzitnej knižnice Žilinskej univerzity</t>
  </si>
  <si>
    <t>Mesto Prešov</t>
  </si>
  <si>
    <t>MŠ Volgogradská 48, Prešov – zníženie energetickej náročnosti objektu</t>
  </si>
  <si>
    <t>Stredná priemyselná škola</t>
  </si>
  <si>
    <t>Obnova Školského internátu s jedálňou, SPŠ Komenského 5, Bardejov - zníženie energetickej náročnosti</t>
  </si>
  <si>
    <t>Obec Pribylina</t>
  </si>
  <si>
    <t>Znižovanie energetickej náročnosti pri prevádzke MŠ J. Lajčiaka</t>
  </si>
  <si>
    <t>Obec Plaveč</t>
  </si>
  <si>
    <t>Zateplenie obecného úradu v obci Plaveč</t>
  </si>
  <si>
    <t>Mesto Vranov nad Topľou</t>
  </si>
  <si>
    <t>Rekonštrukcia Materskej školy Sídlisko 1. Mája Vranov nad Topľou</t>
  </si>
  <si>
    <t>Obec Hájske</t>
  </si>
  <si>
    <t>MŠ a OcÚ Hájske, zníženie energetickej náročnosti</t>
  </si>
  <si>
    <t>Obec Drienovská Nová Ves</t>
  </si>
  <si>
    <t>Rekonštrukcia verejnej budovy v obci Drienovská Nová Ves za účelom zníženia energetickej náročnosti</t>
  </si>
  <si>
    <t>Mesto Bytča</t>
  </si>
  <si>
    <t>Zníženie energetickej náročnosti MŠ Hurbanova 247/5, Bytča</t>
  </si>
  <si>
    <t>Obec Vinohrady nad Váhom</t>
  </si>
  <si>
    <t>Zníženie energetickej náročnosti budovy Materskej školy Vinohrady nad Váhom</t>
  </si>
  <si>
    <t>Obec Hranovnica</t>
  </si>
  <si>
    <t>Zníženie energetickej náročnosti budovy obecného úradu v obci Hranovnica</t>
  </si>
  <si>
    <t>Obec Výčapy-Opatovce</t>
  </si>
  <si>
    <t>Zníženie energetickej náročnosti budovy obecného úradu Výčapy - Opatovce</t>
  </si>
  <si>
    <t>Mesto Gabčíkovo</t>
  </si>
  <si>
    <t>Obnova budovy Obecného úradu – zníženie energetickej náročnosti objektu</t>
  </si>
  <si>
    <t>Obec Kamenná Poruba</t>
  </si>
  <si>
    <t>Zníženie energetickej náročnosti budovy OU - Kamenná Poruba, ul. Hlavná, sup. č. 136/159</t>
  </si>
  <si>
    <t>Obec Chotín</t>
  </si>
  <si>
    <t>Obnova obecného úradu Chotín</t>
  </si>
  <si>
    <t>obec Krakovany</t>
  </si>
  <si>
    <t>Zníženie energetickej náročnosti materskej školy v Krakovanoch</t>
  </si>
  <si>
    <t>Obec Lednické Rovne</t>
  </si>
  <si>
    <t>Zníženie energetickej náročnosti budovy Materskej školy Lednické Rovne</t>
  </si>
  <si>
    <t>Obec Lakšárska Nová Ves</t>
  </si>
  <si>
    <t>Zlepšenie energetickej hospodárnosti budovy materskej školy v Lakšárskej Novej Vsi</t>
  </si>
  <si>
    <t>Obec Mužla</t>
  </si>
  <si>
    <t>Zateplenie Obecného úradu a výmena vykurovacieho systému Mužla</t>
  </si>
  <si>
    <t>Gymnázium</t>
  </si>
  <si>
    <t>Vranov nad Topľou, Gymnázium, ul. Dr. Cyrila Daxnera 88 – zníženie energetickej náročnosti</t>
  </si>
  <si>
    <t>Obec Selice</t>
  </si>
  <si>
    <t>Zníženie energetickej náročnosti verejných budov - Obecný úrad Selice</t>
  </si>
  <si>
    <t>Brvnište</t>
  </si>
  <si>
    <t>Zníženie energetickej náročnosti verejných budov- Materská škola v obci Brvnište</t>
  </si>
  <si>
    <t>Obec Borský Mikuláš</t>
  </si>
  <si>
    <t>Zníženie energetickej náročnosti budovy obecného úradu Borský Mikuláš</t>
  </si>
  <si>
    <t>Podpora energetickej efektívnosti a využívania energie z obnoviteľných zdrojov v podnikoch</t>
  </si>
  <si>
    <t>Mesto Nové Zámky</t>
  </si>
  <si>
    <t>Zateplenie objektu MSÚ Nové Zámky</t>
  </si>
  <si>
    <t>Začiatok realizácie aktivít</t>
  </si>
  <si>
    <t>Mesto Veľké Kapušany</t>
  </si>
  <si>
    <t>Obec Važec</t>
  </si>
  <si>
    <t>Ministerstvo vnútra SR</t>
  </si>
  <si>
    <t>Obec Diviacka Nová Ves</t>
  </si>
  <si>
    <t>Ústav na výkon trestu odňatia slobody</t>
  </si>
  <si>
    <t>obec Trenčianska Turná</t>
  </si>
  <si>
    <t>Obec Pohranice</t>
  </si>
  <si>
    <t>Mesto Šahy</t>
  </si>
  <si>
    <t>Obec Bobrov</t>
  </si>
  <si>
    <t>Mesto Turany</t>
  </si>
  <si>
    <t>Mesto Banská Bystrica</t>
  </si>
  <si>
    <t>Obec Kvetoslavov</t>
  </si>
  <si>
    <t>Mesto Gbely</t>
  </si>
  <si>
    <t>Obec Turčianske Jaseno</t>
  </si>
  <si>
    <t>Obec Poruba</t>
  </si>
  <si>
    <t>Obec Dubovica</t>
  </si>
  <si>
    <t>Obec Bátorove Kosihy</t>
  </si>
  <si>
    <t>Obec Vyšná Olšava</t>
  </si>
  <si>
    <t>Obec Záriečie</t>
  </si>
  <si>
    <t>Obec Nové Sady</t>
  </si>
  <si>
    <t>Obec Hronský Beňadik</t>
  </si>
  <si>
    <t>Obec Opatovská Nová Ves</t>
  </si>
  <si>
    <t>Mesto SABINOV</t>
  </si>
  <si>
    <t>Obec Hendrichovce</t>
  </si>
  <si>
    <t>Mesto Spišské Podhradie</t>
  </si>
  <si>
    <t>Obec Nesvady</t>
  </si>
  <si>
    <t>Obec Nižný Hrušov</t>
  </si>
  <si>
    <t>Obec Lesíček</t>
  </si>
  <si>
    <t>Obec Malý Lipník</t>
  </si>
  <si>
    <t>Obec Kozárovce</t>
  </si>
  <si>
    <t>Prešovská univerzita v Prešove</t>
  </si>
  <si>
    <t>Obec Žaškov</t>
  </si>
  <si>
    <t>Obec Staškov</t>
  </si>
  <si>
    <t>Mesto Šaľa</t>
  </si>
  <si>
    <t>Mesto Modrý Kameň</t>
  </si>
  <si>
    <t>Prešovský samosprávny kraj</t>
  </si>
  <si>
    <t>Obec Kolbovce</t>
  </si>
  <si>
    <t>Žilinský samosprávny kraj</t>
  </si>
  <si>
    <t>Obec Oščadnica</t>
  </si>
  <si>
    <t>Obec Vinodol</t>
  </si>
  <si>
    <t>obec Stráňavy</t>
  </si>
  <si>
    <t>Obec Tekovské Lužany</t>
  </si>
  <si>
    <t>Mesto Partizánske</t>
  </si>
  <si>
    <t>Obec Petrovany</t>
  </si>
  <si>
    <t>Mesto Kolárovo</t>
  </si>
  <si>
    <t>Obec Čavoj</t>
  </si>
  <si>
    <t>Obec Kotešová</t>
  </si>
  <si>
    <t>Obec Baka</t>
  </si>
  <si>
    <t>Mesto Levice</t>
  </si>
  <si>
    <t>Mesto Trenčín</t>
  </si>
  <si>
    <t>Technická univerzita vo Zvolene</t>
  </si>
  <si>
    <t>Obec Čebovce</t>
  </si>
  <si>
    <t>Mesto Moldava nad Bodvou</t>
  </si>
  <si>
    <t>Trenčiansky samosprávny kraj</t>
  </si>
  <si>
    <t>Obec Trenčianske Stankovce</t>
  </si>
  <si>
    <t>Obec Rybník</t>
  </si>
  <si>
    <t>Mesto Dolný Kubín</t>
  </si>
  <si>
    <t>Obec Drienov</t>
  </si>
  <si>
    <t>Obec Pliešovce</t>
  </si>
  <si>
    <t>Mesto Sobrance</t>
  </si>
  <si>
    <t>Obec Ražňany</t>
  </si>
  <si>
    <t>Obec Dvory nad Žitavou</t>
  </si>
  <si>
    <t>Mesto Snina</t>
  </si>
  <si>
    <t>Obec Veľký Blh</t>
  </si>
  <si>
    <t>Mesto Levoča</t>
  </si>
  <si>
    <t>Obec Breza</t>
  </si>
  <si>
    <t>Mesto Veľký Meder</t>
  </si>
  <si>
    <t>Obec Tomášovce</t>
  </si>
  <si>
    <t>Obec Búč</t>
  </si>
  <si>
    <t>Obec Cigeľ</t>
  </si>
  <si>
    <t>Obec Podolie</t>
  </si>
  <si>
    <t>Obec Trakovice</t>
  </si>
  <si>
    <t>Rozhlas a televízia Slovenska</t>
  </si>
  <si>
    <t>Mesto Želiezovce</t>
  </si>
  <si>
    <t>Obec Brusnica</t>
  </si>
  <si>
    <t>Mesto Hnúšťa</t>
  </si>
  <si>
    <t>Obec Vlachovo</t>
  </si>
  <si>
    <t>Obec Žemberovce</t>
  </si>
  <si>
    <t>Obec Liešťany</t>
  </si>
  <si>
    <t>Obec Skalité</t>
  </si>
  <si>
    <t>Obec Lesenice</t>
  </si>
  <si>
    <t>Obec Vlachy</t>
  </si>
  <si>
    <t>Mesto Svit</t>
  </si>
  <si>
    <t>Obec Kružlová</t>
  </si>
  <si>
    <t>Obec Gemerská Hôrka</t>
  </si>
  <si>
    <t>Obec Nižný Slavkov</t>
  </si>
  <si>
    <t>Obec Muráň</t>
  </si>
  <si>
    <t>Mesto Žarnovica</t>
  </si>
  <si>
    <t>Spojená škola internátna, M.R.Štefánika 140, 093 41 Vranov nad Topľou</t>
  </si>
  <si>
    <t>Rekonštrukcia MŠ P.O. Hviezdoslavova , Veľké Kapušany</t>
  </si>
  <si>
    <t>Zvýšenie energetickej efektívnosti budovy obecného úradu Važec</t>
  </si>
  <si>
    <t>Zníženie energetickej náročnosti verejných budov – Zádielska č.1, Košice</t>
  </si>
  <si>
    <t>Zníženie energetickej náročnosti objektu Obecného úradu a kultúrneho domu v obci Diviacka Nová Ves</t>
  </si>
  <si>
    <t>Komplexná obnova administratívnej budovy s ubytovňou Santovka</t>
  </si>
  <si>
    <t>Zníženie energetickej náročnosti verejných budov –  Jesenského č.36, Trenčín</t>
  </si>
  <si>
    <t>Zníženie energetickej náročnosti verejných budov – Hlavná 358, Jasov</t>
  </si>
  <si>
    <t>Zníženie energetickej náročnosti verejných budov –  Vajanského č.2, Trnava</t>
  </si>
  <si>
    <t>Obecný úrad a kultúrny dom v obci Trenčianska Turná - zvýšenie energetickej účinnosti objektu</t>
  </si>
  <si>
    <t>Zníženie energetickej náročnosti škôlky v obci Pohranice</t>
  </si>
  <si>
    <t>Zníženie energetickej náročnosti verejných budov – Belanská štvrť 20, Liptovský Hrádok</t>
  </si>
  <si>
    <t>Zníženie energetickej náročnosti verejných budov – Banská 1401, Turčianske Teplice</t>
  </si>
  <si>
    <t>Zníženie energetickej náročnosti budovy MŠ - Óvoda, Nám. M. R. Štefánika 14, Šahy</t>
  </si>
  <si>
    <t>Zníženie energetickej náročnosti verejných budov – Pažitie 7, Myjava</t>
  </si>
  <si>
    <t>Komplexné zníženie spotreby energie pri prevádzke Obecného úradu v Bobrove</t>
  </si>
  <si>
    <t>Obnova a zníženie energetickej náročnosti Mestského úradu v Turanoch</t>
  </si>
  <si>
    <t>Zvyšovanie energetickej efektívnosti MŠ Tatranská 63, Banská Bystrica</t>
  </si>
  <si>
    <t>MŠ Kvetoslavov – Modernizácia budovy materskej školy</t>
  </si>
  <si>
    <t>Zníženie energetickej náročnosti verejných budov –  SNP 32, Šaľa</t>
  </si>
  <si>
    <t>Mestský úrad Gbely – zníženie spotreby energie v objekte</t>
  </si>
  <si>
    <t>Materská škola Turčianske Jaseno, zníženie energetickej náročnosti stavby</t>
  </si>
  <si>
    <t>Zníženie energetickej náročnosti verejných budov – Športová 2, Stropkov</t>
  </si>
  <si>
    <t>Obnova Obecného úradu Poruba</t>
  </si>
  <si>
    <t>Obnova materskej školy, Dubovica  zvýšenie energetickej účinnosti budov</t>
  </si>
  <si>
    <t>Zníženie energetickej náročnosti verejných budov - Kultúrneho domu v Bátorových Kosihách</t>
  </si>
  <si>
    <t>Znižovanie energetickej náročnosti OcÚ Vyšná Olšava</t>
  </si>
  <si>
    <t>Zníženie energetickej náročnosti verejných budov – administratívna budova v obci Záriečie</t>
  </si>
  <si>
    <t>Zníženie energetickej náročnosti budovy NR Žilinskej univerzity v Žiline</t>
  </si>
  <si>
    <t>Obecný úrad Nové Sady - zníženie energetickej náročnosti</t>
  </si>
  <si>
    <t>Zníženie energetickej náročnosti objektu kultúrneho domu v obci Hronský Beňadik</t>
  </si>
  <si>
    <t>Zníženie energetickej náročnosti verejných budov –  Rožňavská 30, Moldava nad Bodvou</t>
  </si>
  <si>
    <t>Zlepšenie tepelnotechnických vlastností budovy MŠ v Opatovskej Novej Vsi</t>
  </si>
  <si>
    <t>Rekonštrukcia Mestského kultúrneho strediska v Sabinove</t>
  </si>
  <si>
    <t>Zníženie energetickej náročnosti kaštieľa v obci Hendrichovce</t>
  </si>
  <si>
    <t>Rekonštrukcia budovy Mestského úradu na Mariánskom námestí 37 v Spišskom Podhradí</t>
  </si>
  <si>
    <t>Materská škola Nesvady súp. č.995 - sanácia, oprava a technická modernizácia budovy materskej školy</t>
  </si>
  <si>
    <t>Zníženie primárnej energetickej náročnosti v objektoch OcÚ N. Hrušov</t>
  </si>
  <si>
    <t>Zníženie energetickej náročnosti budovy obecného úradu Lesíček</t>
  </si>
  <si>
    <t>Zníženie energetickej náročnosti verejných budov – Obrancov mieru 12, Dolný Kubín</t>
  </si>
  <si>
    <t>Zníženie energetickej náročnosti verejných budov – Podjavorinskej 2576, Čadca</t>
  </si>
  <si>
    <t>Zabezpečenie energetickej hospodárnosti budovy obecného úradu v obci Malý Lipník</t>
  </si>
  <si>
    <t>Zateplenie, výmena okien a vykurovanie v objekte obecného úradu v Kozárovciach</t>
  </si>
  <si>
    <t>Zníženie energetickej náročnosti verejných budov – Petöfiho 2, Šahy</t>
  </si>
  <si>
    <t>Zníženie energetickej náročnosti Študentského domova Prešovskej univerzity v Prešove</t>
  </si>
  <si>
    <t>Zvýšenie energetickej efektívnosti kultúrneho domu</t>
  </si>
  <si>
    <t>Zníženie energetickej náročnosti administratívnej budovy s.č. 90 v obci Staškov</t>
  </si>
  <si>
    <t>Zníženie energetickej náročnosti budovy MsÚ Šaľa</t>
  </si>
  <si>
    <t>Zníženie energetickej náročnosti budovy kultúrneho domu v Modrom Kameni</t>
  </si>
  <si>
    <t>STAKČÍN – Areál SÚC PSK, ul. SNP č. 640/81 – zníženie energetickej náročnosti</t>
  </si>
  <si>
    <t>Znižovanie energetickej náročnosti OcÚ Kolbovce</t>
  </si>
  <si>
    <t>Zníženie energetickej náročnosti verejných budov – Pri kaštieli 41, Holíč</t>
  </si>
  <si>
    <t>Zníženie energetickej náročnosti verejných budov – Družstevná 27, Dvory nad Žitavou</t>
  </si>
  <si>
    <t>Medzilaborce – Areál SÚC PSK, Ševčenkova č. 939/16</t>
  </si>
  <si>
    <t>Spojená škola, Rosinská, Žilina - stavebné úpravy, zvýšenie EHB</t>
  </si>
  <si>
    <t>Zvýšenie energetickej efektívnosti pre budovu Obecného úradu v Oščadnici</t>
  </si>
  <si>
    <t>Obnova budovy Materskej školy v obci Vinodol</t>
  </si>
  <si>
    <t>Zníženie energetickej náročnosti verejných budov –  Konkolyho 5, Hurbanovo</t>
  </si>
  <si>
    <t>Stavebné úpravy objektu Obecného úradu v Stráňavách - zníženie energetickej náročnosti</t>
  </si>
  <si>
    <t>Zníženie energetickej náročnosti verejných budov – Hostinského 2, Rimavská Sobota</t>
  </si>
  <si>
    <t>Zlepšenie tepelnotechnických vlastností a modernizácia materskej školy v Tekovských Lužanoch</t>
  </si>
  <si>
    <t>Zlepšenie energetickej hospodárnosti MŠ Malinovského</t>
  </si>
  <si>
    <t>Zníženie energetickej náročnosti budovy obecného úradu v obci Petrovany</t>
  </si>
  <si>
    <t>Rekonštrukcia budovy Mestského úradu Kolárovo</t>
  </si>
  <si>
    <t>Zníženie energetickej náročnosti verejných budov – Tichá 419, Trhovište</t>
  </si>
  <si>
    <t>Zníženie energetickej náročnosti objektu  OÚ Čavoj</t>
  </si>
  <si>
    <t>Zníženie energetickej náročnosti budovy obecného úradu v Kotešovej</t>
  </si>
  <si>
    <t>Rekonštrukcia budovy obecného úradu v Bake za účelu zníženia energetickej náročnosti</t>
  </si>
  <si>
    <t>Zníženie energetickej náročnosti verejných budov –  Hostinského č.4, Rimavská Sobota</t>
  </si>
  <si>
    <t>Rekonštrukcia a modernizácia materskej školy na ulici P. O. Hviezdoslava 20 v Leviciach</t>
  </si>
  <si>
    <t>Zníženie energetickej náročnosti verejných budov – Okružná 441, Strážske</t>
  </si>
  <si>
    <t>Obnova materskej školy Opatovská 654/39 Trenčín 911 01- Kubrá</t>
  </si>
  <si>
    <t>Zníženie energetickej náročnosti verejných budov – Slovenská 39, Gelnica</t>
  </si>
  <si>
    <t>Rekonštrukcia  MŠ L.N. Tolstého , Veľké  Kapušany</t>
  </si>
  <si>
    <t>Zníženie energetickej náročnosti budovy NG Žilinskej univerzity v Žiline</t>
  </si>
  <si>
    <t>Zníženie energetickej náročnosti verejných budov – Hlavná 2282, Kráľovský Chlmec</t>
  </si>
  <si>
    <t>Zníženie energetickej náročnosti budovy  TU vo Zvolene - objekt Bariny</t>
  </si>
  <si>
    <t>Rekonštrukcia budovy obecného úradu Čebovce</t>
  </si>
  <si>
    <t>Zníženie energetickej náročnosti verejných budov – Užhorodská 5, Michalovce</t>
  </si>
  <si>
    <t>Zvyšovanie energetickej efektívnosti MŠ Na Lúčkach 2, Banská Bystrica</t>
  </si>
  <si>
    <t>Zníženie energetickej náročnosti MŠ IV - Moldava nad Bodvou</t>
  </si>
  <si>
    <t>Komplexné riešenie školského areálu Trenčín-Zámostie - 1. etapa</t>
  </si>
  <si>
    <t>Komplexná obnova administratívnej budovy Banská Bystrica–Kráľová</t>
  </si>
  <si>
    <t>Materská škola Trenčianske Stankovce - Zvýšenie energetickej účinnosti budovy</t>
  </si>
  <si>
    <t>Zníženie energetickej náročnosti objektu obecného úradu a kultúrneho domu v obci Rybník</t>
  </si>
  <si>
    <t>Zníženie energetickej náročnosti budovy Mestského úradu Dolný Kubín</t>
  </si>
  <si>
    <t>Obnova obecného úradu Drienov - zníženie energetickej náročnosti budovy</t>
  </si>
  <si>
    <t>Zníženie energetickej náročnosti budovy Obecného úradu Pliešovce</t>
  </si>
  <si>
    <t>Zníženie energetickej náročnosti verejných budov –  Predmestská 1613, Žilina</t>
  </si>
  <si>
    <t>Komplexné zníženie energetickej náročnosti budovy OcÚ v Pohronskej Polhore</t>
  </si>
  <si>
    <t>Sobrance – Materská škola - Zníženie energetickej náročnosti objektov</t>
  </si>
  <si>
    <t>Zníženie energetickej náročnosti hospodárskeho pavilónu MŠ v obci Ražňany</t>
  </si>
  <si>
    <t>Zníženie energetickej náročnosti verejných budov –  Slovenská 11, Markušovce</t>
  </si>
  <si>
    <t>Zvýšenie energetickej hospodárnosti budovy Obecného úradu v obci Dvory nad Žitavou</t>
  </si>
  <si>
    <t>Zníženie energetickej náročnosti MŠ Kukučínova - Snina</t>
  </si>
  <si>
    <t>Zníženie energetickej náročnosti verejných budov –  Trenčianska cesta 46, Bánovce nad Bebravou</t>
  </si>
  <si>
    <t>Obnova obalových konštrukcií materskej školy v obci Veľký Blh – zníženie energetickej náročnosti</t>
  </si>
  <si>
    <t>MŠ Bernolákova 19, Prešov – zníženie energetickej náročnosti objektu</t>
  </si>
  <si>
    <t>Zníženie energetickej náročnosti verejných budov –  Rastislavova 344, Lužianky</t>
  </si>
  <si>
    <t>Komplexné zníženie spotreby energie pri prevádzke materskej školy v Breze</t>
  </si>
  <si>
    <t>Rekonštrukcia mestského úradu - zlepšenie tepelnotechnických vlastností</t>
  </si>
  <si>
    <t>Zníženie energetickej náročnosti verejných budov –  Komenského č.52, Košice</t>
  </si>
  <si>
    <t>Zvýšenie energetickej hospodárnosti budovy Obecného úradu Tomášovce – zmena stavby pred jej dokončením</t>
  </si>
  <si>
    <t>Rekonštrukcia obecného úradu v obci Búč</t>
  </si>
  <si>
    <t>Zníženie energetickej náročnosti verejných budov –  Bysterecká 2067, Dolný Kubín</t>
  </si>
  <si>
    <t>Zvýšenie energetickej účinnosti budovy - Obecný úrad a Kultúrny dom</t>
  </si>
  <si>
    <t>Zníženie energetickej náročnosti budovy obecného úradu s kultúrnym domov</t>
  </si>
  <si>
    <t>Zníženie energetickej náročnosti verejných budov – Štefánika č.89, Turzovka</t>
  </si>
  <si>
    <t>Rekonštrukcia MŠ Trakovice</t>
  </si>
  <si>
    <t>RTVS Košice – obnova administratívnej budovy za účelom zlepšenia jej energetickej efektívnosti</t>
  </si>
  <si>
    <t>Zníženie spotreby energie pri prevádzke Mestského úradu</t>
  </si>
  <si>
    <t>Zníženie energetickej náročnosti verejných budov – M.R.Štefánika 180, Trebišov</t>
  </si>
  <si>
    <t>Zníženie energetickej náročnosti verejných budov –  Palárikova 25, Čadca</t>
  </si>
  <si>
    <t>Znižovanie energetickej náročnosti OcÚ Brusnica</t>
  </si>
  <si>
    <t>Spojená škola, Hattalova 471, Nižná - stavebné úpravy, zvýšenie EHB</t>
  </si>
  <si>
    <t>Zníženie energetickej náročnosti verejných budov –  Pelhřimovská č. 2054, Dolný Kubín</t>
  </si>
  <si>
    <t>Zníženie energetickej náročnosti verejných budov – Námestie slobody 14, Krompachy</t>
  </si>
  <si>
    <t>Zvyšovanie energetickej účinnosti existujúcej verejnej budovy, Materská škola, Klokočova, Hnúšťa</t>
  </si>
  <si>
    <t>Zníženie energetickej náročnosti budovy obecného úradu vo Vlachove</t>
  </si>
  <si>
    <t>Zlepšenie energetickej hospodárnosti objektu obecného úradu v Žemberovciach</t>
  </si>
  <si>
    <t>Zvýšenie energetickej účinnosti objektu materskej školy v Liešťanoch</t>
  </si>
  <si>
    <t>Zníženie energetickej náročnosti budovy Materská škola č.s. 632</t>
  </si>
  <si>
    <t>Rekonštrukcia a zateplenie budovy škôlky</t>
  </si>
  <si>
    <t>Obnova administratívnej budovy areálu SÚCPSK 789, Bardejov</t>
  </si>
  <si>
    <t>Zníženie energetickej náročnosti verejných budov – Brezová 842, Pavlovce nad Uhom</t>
  </si>
  <si>
    <t>Zníženie energetickej náročnosti verejných budov – Okružná 18, Banská Bystrica</t>
  </si>
  <si>
    <t>Komplexná obnova objektu č. 48 - Sociálno-prevádzková budova</t>
  </si>
  <si>
    <t>Zníženie energetickej náročnosti objektu materskej školy</t>
  </si>
  <si>
    <t>Zateplenie budovy MsÚ vo Svite - Zníženie energetickej náročnosti</t>
  </si>
  <si>
    <t>Zníženie energetickej náročnosti verejných budov – Liptovská Osada 550</t>
  </si>
  <si>
    <t>Znižovanie energetickej náročnosti OcÚ Kružlová</t>
  </si>
  <si>
    <t>Obnova obalových konštrukcií Kultúrneho domu v obci Gemerská Hôrka - zníženie energetickej náročnosti</t>
  </si>
  <si>
    <t>Zmena spôsobu vykurovania budovy Nižný Slavkov</t>
  </si>
  <si>
    <t>Oprava Kultúrneho domu v obci Muráň</t>
  </si>
  <si>
    <t>Zníženie energetickej náročnosti verejných budov – Tuhárske námestie 12, Lučenec</t>
  </si>
  <si>
    <t>Zníženie energetickej náročnosti verejných budov – Vrbická 1993, Liptovský Mikuláš</t>
  </si>
  <si>
    <t>Zníženie energetickej náročnosti budovy Materskej školy Žarnovica, ul. Jilemnického 660/2</t>
  </si>
  <si>
    <t>Zníženie energetickej náročnosti verejných budov – Úzka 3, Želiezovce</t>
  </si>
  <si>
    <t>Zníženie energetickej náročnosti budovy - Spojená škola internátna</t>
  </si>
  <si>
    <t>Zníženie energetickej náročnosti budovy mestského úradu v Krásne nad Kysucou</t>
  </si>
  <si>
    <t>NFP310040A171</t>
  </si>
  <si>
    <t>NFP310040A186</t>
  </si>
  <si>
    <t>NFP310040A241</t>
  </si>
  <si>
    <t>NFP310040A256</t>
  </si>
  <si>
    <t>NFP310040A270</t>
  </si>
  <si>
    <t>NFP310040A287</t>
  </si>
  <si>
    <t>NFP310040A289</t>
  </si>
  <si>
    <t>NFP310040A290</t>
  </si>
  <si>
    <t>NFP310040A291</t>
  </si>
  <si>
    <t>NFP310040A293</t>
  </si>
  <si>
    <t>NFP310040A294</t>
  </si>
  <si>
    <t>NFP310040A295</t>
  </si>
  <si>
    <t>NFP310040A296</t>
  </si>
  <si>
    <t>NFP310040A297</t>
  </si>
  <si>
    <t>NFP310040A298</t>
  </si>
  <si>
    <t>NFP310040A299</t>
  </si>
  <si>
    <t>NFP310040A300</t>
  </si>
  <si>
    <t>NFP310040A301</t>
  </si>
  <si>
    <t>NFP310040A302</t>
  </si>
  <si>
    <t>NFP310040A303</t>
  </si>
  <si>
    <t>NFP310040A304</t>
  </si>
  <si>
    <t>NFP310040A305</t>
  </si>
  <si>
    <t>NFP310040A306</t>
  </si>
  <si>
    <t>NFP310040A307</t>
  </si>
  <si>
    <t>NFP310040A308</t>
  </si>
  <si>
    <t>NFP310040A309</t>
  </si>
  <si>
    <t>NFP310040A311</t>
  </si>
  <si>
    <t>NFP310040A312</t>
  </si>
  <si>
    <t>NFP310040A313</t>
  </si>
  <si>
    <t>NFP310040A314</t>
  </si>
  <si>
    <t>NFP310040A315</t>
  </si>
  <si>
    <t>NFP310040A316</t>
  </si>
  <si>
    <t>NFP310040A317</t>
  </si>
  <si>
    <t>NFP310040A318</t>
  </si>
  <si>
    <t>NFP310040A319</t>
  </si>
  <si>
    <t>NFP310040A320</t>
  </si>
  <si>
    <t>NFP310040A321</t>
  </si>
  <si>
    <t>NFP310040A322</t>
  </si>
  <si>
    <t>NFP310040A353</t>
  </si>
  <si>
    <t>NFP310040A356</t>
  </si>
  <si>
    <t>NFP310040A371</t>
  </si>
  <si>
    <t>NFP310040A372</t>
  </si>
  <si>
    <t>NFP310040A390</t>
  </si>
  <si>
    <t>NFP310040A393</t>
  </si>
  <si>
    <t>NFP310040A396</t>
  </si>
  <si>
    <t>NFP310040A399</t>
  </si>
  <si>
    <t>NFP310040A401</t>
  </si>
  <si>
    <t>NFP310040A402</t>
  </si>
  <si>
    <t>NFP310040A403</t>
  </si>
  <si>
    <t>NFP310040A405</t>
  </si>
  <si>
    <t>NFP310040A406</t>
  </si>
  <si>
    <t>NFP310040A418</t>
  </si>
  <si>
    <t>NFP310040A427</t>
  </si>
  <si>
    <t>NFP310040A434</t>
  </si>
  <si>
    <t>NFP310040A442</t>
  </si>
  <si>
    <t>NFP310040A444</t>
  </si>
  <si>
    <t>NFP310040A445</t>
  </si>
  <si>
    <t>NFP310040A448</t>
  </si>
  <si>
    <t>NFP310040A449</t>
  </si>
  <si>
    <t>NFP310040A452</t>
  </si>
  <si>
    <t>NFP310040A457</t>
  </si>
  <si>
    <t>NFP310040A460</t>
  </si>
  <si>
    <t>NFP310040A461</t>
  </si>
  <si>
    <t>NFP310040A462</t>
  </si>
  <si>
    <t>NFP310040A471</t>
  </si>
  <si>
    <t>NFP310040A472</t>
  </si>
  <si>
    <t>NFP310040A475</t>
  </si>
  <si>
    <t>NFP310040A476</t>
  </si>
  <si>
    <t>NFP310040A483</t>
  </si>
  <si>
    <t>NFP310040A487</t>
  </si>
  <si>
    <t>NFP310040A489</t>
  </si>
  <si>
    <t>NFP310040A501</t>
  </si>
  <si>
    <t>NFP310040A502</t>
  </si>
  <si>
    <t>NFP310040A506</t>
  </si>
  <si>
    <t>NFP310040A507</t>
  </si>
  <si>
    <t>NFP310040A508</t>
  </si>
  <si>
    <t>NFP310040A510</t>
  </si>
  <si>
    <t>NFP310040A513</t>
  </si>
  <si>
    <t>NFP310040A523</t>
  </si>
  <si>
    <t>NFP310040A525</t>
  </si>
  <si>
    <t>NFP310040A526</t>
  </si>
  <si>
    <t>NFP310040A528</t>
  </si>
  <si>
    <t>NFP310040A529</t>
  </si>
  <si>
    <t>NFP310040A535</t>
  </si>
  <si>
    <t>NFP310040A536</t>
  </si>
  <si>
    <t>NFP310040A537</t>
  </si>
  <si>
    <t>NFP310040A539</t>
  </si>
  <si>
    <t>NFP310040A540</t>
  </si>
  <si>
    <t>NFP310040A541</t>
  </si>
  <si>
    <t>NFP310040A543</t>
  </si>
  <si>
    <t>NFP310040A546</t>
  </si>
  <si>
    <t>NFP310040A549</t>
  </si>
  <si>
    <t>NFP310040A550</t>
  </si>
  <si>
    <t>NFP310040A553</t>
  </si>
  <si>
    <t>NFP310040A554</t>
  </si>
  <si>
    <t>NFP310040A556</t>
  </si>
  <si>
    <t>NFP310040A562</t>
  </si>
  <si>
    <t>NFP310040A563</t>
  </si>
  <si>
    <t>NFP310040A564</t>
  </si>
  <si>
    <t>NFP310040A567</t>
  </si>
  <si>
    <t>NFP310040A572</t>
  </si>
  <si>
    <t>NFP310040A575</t>
  </si>
  <si>
    <t>NFP310040A576</t>
  </si>
  <si>
    <t>NFP310040A579</t>
  </si>
  <si>
    <t>NFP310040A580</t>
  </si>
  <si>
    <t>NFP310040A584</t>
  </si>
  <si>
    <t>NFP310040A587</t>
  </si>
  <si>
    <t>NFP310040A591</t>
  </si>
  <si>
    <t>NFP310040A599</t>
  </si>
  <si>
    <t>NFP310040A600</t>
  </si>
  <si>
    <t>NFP310040A602</t>
  </si>
  <si>
    <t>NFP310040A603</t>
  </si>
  <si>
    <t>NFP310040A606</t>
  </si>
  <si>
    <t>NFP310040A607</t>
  </si>
  <si>
    <t>NFP310040A609</t>
  </si>
  <si>
    <t>NFP310040A610</t>
  </si>
  <si>
    <t>NFP310040A611</t>
  </si>
  <si>
    <t>NFP310040A612</t>
  </si>
  <si>
    <t>NFP310040A614</t>
  </si>
  <si>
    <t>NFP310040A624</t>
  </si>
  <si>
    <t>NFP310040A626</t>
  </si>
  <si>
    <t>NFP310040A627</t>
  </si>
  <si>
    <t>NFP310040A628</t>
  </si>
  <si>
    <t>NFP310040A630</t>
  </si>
  <si>
    <t>NFP310040A632</t>
  </si>
  <si>
    <t>NFP310040A633</t>
  </si>
  <si>
    <t>NFP310040A634</t>
  </si>
  <si>
    <t>NFP310040A639</t>
  </si>
  <si>
    <t>NFP310040A645</t>
  </si>
  <si>
    <t>NFP310040A649</t>
  </si>
  <si>
    <t>NFP310040A653</t>
  </si>
  <si>
    <t>NFP310040A656</t>
  </si>
  <si>
    <t>NFP310040A660</t>
  </si>
  <si>
    <t>NFP310040A662</t>
  </si>
  <si>
    <t>NFP310040A670</t>
  </si>
  <si>
    <t>NFP310040A671</t>
  </si>
  <si>
    <t>NFP310040A673</t>
  </si>
  <si>
    <t>NFP310040A674</t>
  </si>
  <si>
    <t>NFP310040A675</t>
  </si>
  <si>
    <t>NFP310040A680</t>
  </si>
  <si>
    <t>NFP310040A684</t>
  </si>
  <si>
    <t>NFP310040A685</t>
  </si>
  <si>
    <t>NFP310040A689</t>
  </si>
  <si>
    <t>NFP310040A690</t>
  </si>
  <si>
    <t>NFP310040A694</t>
  </si>
  <si>
    <t>NFP310040A705</t>
  </si>
  <si>
    <t>NFP310040A707</t>
  </si>
  <si>
    <t>NFP310040A709</t>
  </si>
  <si>
    <t>NFP310040A710</t>
  </si>
  <si>
    <t>NFP310040A712</t>
  </si>
  <si>
    <t>NFP310040A717</t>
  </si>
  <si>
    <t>NFP310040A718</t>
  </si>
  <si>
    <t>NFP310040A719</t>
  </si>
  <si>
    <t>NFP310040A723</t>
  </si>
  <si>
    <t>NFP310040A728</t>
  </si>
  <si>
    <t>NFP310040A731</t>
  </si>
  <si>
    <t>NFP310040A734</t>
  </si>
  <si>
    <t>NFP310040A742</t>
  </si>
  <si>
    <t>NFP310040A744</t>
  </si>
  <si>
    <t>NFP310040A747</t>
  </si>
  <si>
    <t>NFP310040A765</t>
  </si>
  <si>
    <t>NFP310040A766</t>
  </si>
  <si>
    <t>NFP310040A768</t>
  </si>
  <si>
    <t>NFP310040A771</t>
  </si>
  <si>
    <t>NFP310040A773</t>
  </si>
  <si>
    <t>NFP310040A775</t>
  </si>
  <si>
    <t>NFP310040A776</t>
  </si>
  <si>
    <t>NFP310040A784</t>
  </si>
  <si>
    <t>NFP310040A785</t>
  </si>
  <si>
    <t>NFP310040A822</t>
  </si>
  <si>
    <t>NFP310040A972</t>
  </si>
  <si>
    <t>NFP310040A975</t>
  </si>
  <si>
    <t>NFP310040A979</t>
  </si>
  <si>
    <t>NFP310040A980</t>
  </si>
  <si>
    <t>NFP310040A983</t>
  </si>
  <si>
    <t>NFP310040A984</t>
  </si>
  <si>
    <t>NFP310040A985</t>
  </si>
  <si>
    <t>NFP310040A986</t>
  </si>
  <si>
    <t>NFP310040A987</t>
  </si>
  <si>
    <t>NFP310040B074</t>
  </si>
  <si>
    <t>NFP310040B088</t>
  </si>
  <si>
    <t>NFP310040B091</t>
  </si>
  <si>
    <t>NFP310040B347</t>
  </si>
  <si>
    <t>NFP310040B382</t>
  </si>
  <si>
    <t>NFP310040B387</t>
  </si>
  <si>
    <t>NFP310040B403</t>
  </si>
  <si>
    <t>NFP310040B406</t>
  </si>
  <si>
    <t>NFP310040B407</t>
  </si>
  <si>
    <t>NFP310040B421</t>
  </si>
  <si>
    <t>NFP310040B796</t>
  </si>
  <si>
    <t>NFP310040C033</t>
  </si>
  <si>
    <t>NFP310040C075</t>
  </si>
  <si>
    <t>NFP310040C082</t>
  </si>
  <si>
    <t>NFP310040C085</t>
  </si>
  <si>
    <t>NFP310040C086</t>
  </si>
  <si>
    <t>NFP310040C100</t>
  </si>
  <si>
    <t>NFP310040C105</t>
  </si>
  <si>
    <t>NFP310040C109</t>
  </si>
  <si>
    <t>NFP310040C111</t>
  </si>
  <si>
    <t>NFP310040C112</t>
  </si>
  <si>
    <t>NFP310040C123</t>
  </si>
  <si>
    <t>NFP310040C127</t>
  </si>
  <si>
    <t>NFP310040C155</t>
  </si>
  <si>
    <t>NFP310040C165</t>
  </si>
  <si>
    <t>NFP310040C171</t>
  </si>
  <si>
    <t>NFP310040C211</t>
  </si>
  <si>
    <t>NFP310040C338</t>
  </si>
  <si>
    <t>NFP310040C365</t>
  </si>
  <si>
    <t>NFP310040C448</t>
  </si>
  <si>
    <t>NFP310040C472</t>
  </si>
  <si>
    <t>NFP310040C473</t>
  </si>
  <si>
    <t>NFP310040C489</t>
  </si>
  <si>
    <t>NFP310040C865</t>
  </si>
  <si>
    <t>NFP310040C973</t>
  </si>
  <si>
    <t>Obec Bardoňovo</t>
  </si>
  <si>
    <t>Obec Oravské Veselé</t>
  </si>
  <si>
    <t>Obec Hermanovce nad Topľou</t>
  </si>
  <si>
    <t>Obec Číž</t>
  </si>
  <si>
    <t>Obec Varhaňovce</t>
  </si>
  <si>
    <t>Mesto Hriňová</t>
  </si>
  <si>
    <t>Stredná odborná škola, Ul. sv. Michala 36, Levice</t>
  </si>
  <si>
    <t>Obec Demandice</t>
  </si>
  <si>
    <t>Obec Dulovce</t>
  </si>
  <si>
    <t>Mesto Komárno</t>
  </si>
  <si>
    <t>Obec Pribeta</t>
  </si>
  <si>
    <t>Obec Ráztočno</t>
  </si>
  <si>
    <t>Obec Pružina</t>
  </si>
  <si>
    <t>Mesto Zvolen</t>
  </si>
  <si>
    <t>Gymnázium Ľudovíta Jaroslava Šuleka Komárno</t>
  </si>
  <si>
    <t>Obec Klin</t>
  </si>
  <si>
    <t>Obec Nová Lesná</t>
  </si>
  <si>
    <t>Obec Tisinec</t>
  </si>
  <si>
    <t>Obec Biely Kostol</t>
  </si>
  <si>
    <t>Mesto Strážske</t>
  </si>
  <si>
    <t>Obec Jelka</t>
  </si>
  <si>
    <t>MESTO  BOJNICE</t>
  </si>
  <si>
    <t>Obec Čečejovce</t>
  </si>
  <si>
    <t>Obec Hliník nad Hronom</t>
  </si>
  <si>
    <t>Mesto Ružomberok</t>
  </si>
  <si>
    <t>Obec Koprivnica</t>
  </si>
  <si>
    <t>Obec Dúbrava</t>
  </si>
  <si>
    <t>Obec Letanovce</t>
  </si>
  <si>
    <t>Obec Oslany</t>
  </si>
  <si>
    <t>Obec Tomášikovo</t>
  </si>
  <si>
    <t>MESTO RIMAVSKÁ SOBOTA</t>
  </si>
  <si>
    <t>Obec Chrenovec-Brusno</t>
  </si>
  <si>
    <t>Obec Kláštor pod Znievom</t>
  </si>
  <si>
    <t>Obec Slovenské Pravno</t>
  </si>
  <si>
    <t>Obec Šamudovce</t>
  </si>
  <si>
    <t>Obec Čaka</t>
  </si>
  <si>
    <t>COMORRA SERVIS</t>
  </si>
  <si>
    <t>Úrad priemyselného vlastníctva SR</t>
  </si>
  <si>
    <t>Obec Orechová Potôň</t>
  </si>
  <si>
    <t>Mesto Bánovce nad Bebravou</t>
  </si>
  <si>
    <t>obec Raková</t>
  </si>
  <si>
    <t>Obec Veľká Paka</t>
  </si>
  <si>
    <t>Obec Ružiná</t>
  </si>
  <si>
    <t>Obec Opatovce nad Nitrou</t>
  </si>
  <si>
    <t>Obec Kuzmice</t>
  </si>
  <si>
    <t>Regionálny úrad verejného zdravotníctva so sídlom v Banskej Bystrici</t>
  </si>
  <si>
    <t>Mesto Myjava</t>
  </si>
  <si>
    <t>Materská škola, Bradáčova 773/30, 90701 Myjava</t>
  </si>
  <si>
    <t>Obec Rohovce</t>
  </si>
  <si>
    <t>Univerzita Mateja Bela v Banskej Bystrici</t>
  </si>
  <si>
    <t>Zníženie spotreby energie pri prevádzke MŠ v obci Bardoňovo</t>
  </si>
  <si>
    <t>Zníženie energetickej náročnosti viacúčelovej budovy v obci Oravské Veselé</t>
  </si>
  <si>
    <t>ZNÍŽENIE  ENERGETCKEJ  NÁROČNOSTI  OBECNEJ  BUDOVY  s.č. 195</t>
  </si>
  <si>
    <t>Zníženie energetickej náročnosti verejných budov –  Hlubockého 13, Stará Turá</t>
  </si>
  <si>
    <t>Zníženie energetickej náročnosti verejných budov – Nitrianska 13, Šurany</t>
  </si>
  <si>
    <t>Zníženie energetických nákladov na prevádzku Mestského úradu v Bardejove - dvorný trakt</t>
  </si>
  <si>
    <t>Obnova obalových konštrukcií obecného úradu v obci Číž - zníženie energetickej náročnosti</t>
  </si>
  <si>
    <t>Zníženie energetickej náročnosti budovy obecného úradu v obci Varhaňovce</t>
  </si>
  <si>
    <t>Zlepšenie energetickej efektívnosti budovy  MsÚ Hriňová</t>
  </si>
  <si>
    <t>Zníženie energetickej náročnosti budovy Fakulty bezpečnostného inžinierstva, blok B  Žilinskej univerzity v Žiline</t>
  </si>
  <si>
    <t>Zníženie energetickej náročnosti dielní SOŠ Levice</t>
  </si>
  <si>
    <t>Zníženie energetickej náročnosti budovy MŠ v obci Demandice</t>
  </si>
  <si>
    <t>Zlepšenie energetickej hospodárnosti Obecného úradu Dulovce - obec Dulovce</t>
  </si>
  <si>
    <t>Zníženie energetickej náročnosti školy Obchodná akadémia Prievidza</t>
  </si>
  <si>
    <t>Rekonštrukcia budovy Mestskej polície  Komárno -Zníženie energetickej náročnosti</t>
  </si>
  <si>
    <t>Rekonštrukcia budovy Mestského úradu Komárno-zníženie energetickej náročnosti</t>
  </si>
  <si>
    <t>Zníženie energetickej náročnosti budovy OcÚ Pribeta</t>
  </si>
  <si>
    <t>MŠ Levoča, G. Haina 36 – zníženie energetickej náročnosti verejných budov</t>
  </si>
  <si>
    <t>Obnova Materskej školy, Šafárikova11, Trenčín</t>
  </si>
  <si>
    <t>Zníženie energetickej náročnosti verejnej budovy obce Ráztočno</t>
  </si>
  <si>
    <t>Zníženie energetickej náročnosti budovy Obecného úradu v Pružine</t>
  </si>
  <si>
    <t>Zníženie energetickej náročnosti budov: Materská škola Hrnčiarska a Materská škola Fullu vo Zvolene</t>
  </si>
  <si>
    <t>ZNÍŽENIE ENERGETICKEJ NÁROČNOSTI OBJEKTU KULTÚRNEHO DOMU V NEMŠOVEJ</t>
  </si>
  <si>
    <t>Modernizácia budovy – výmena okien, dverí, rekonštrukcia a zateplenie fasády budovy so zameraním na zníženie energetickej náročnosti</t>
  </si>
  <si>
    <t>Zvýšenie energetickej efektívnosti materskej školy v obci Klin</t>
  </si>
  <si>
    <t>Zateplenie budovy obecného úradu Nová Lesná</t>
  </si>
  <si>
    <t>Znižovanie energetickej náročnosti budovy OcÚ Tisinec</t>
  </si>
  <si>
    <t>Stavebné úpravy a rekonštrukcia - Zníženie energetickej náročnosti administratívnej budovy Pionierské námestie č. 5474/17</t>
  </si>
  <si>
    <t>Zvyšovanie energetickej účinnosti objektu Mestského úradu v Strážskom, stavebné úpravy a zateplenie objektu</t>
  </si>
  <si>
    <t>Komplexné zníženie energetickej náročnosti objektu materskej školy v Jelke</t>
  </si>
  <si>
    <t>Zníženie energetickej náročnosti objektu Mestský úrad v Bojniciach</t>
  </si>
  <si>
    <t>Zníženie energetickej náročnosti verejných budov v obci Čečejovce</t>
  </si>
  <si>
    <t>Zvýšenie energetickej náročnosti budovy obecného úradu Hliník nad Hronom</t>
  </si>
  <si>
    <t>Zníženie energetickej náročnosti budovy materskej školy na ulici Hrabovská cesta 2 v Ružomberku</t>
  </si>
  <si>
    <t>ZNÍŽENIE ENERGETICKEJ NÁROČNOSTI BUDOVY MŠ V KOPRIVNICI</t>
  </si>
  <si>
    <t>Teplotechnické úpravy objektového súboru p.č. 113/2, 112 – Dúbrava 54</t>
  </si>
  <si>
    <t>Rekonštrukcia objektu Obecného úradu Letanovce</t>
  </si>
  <si>
    <t>Zníženie energetickej náročnosti objektu verejnej budovy obce Oslany</t>
  </si>
  <si>
    <t>Zvýšenie energetickej hospodárnosti budovy obecného úradu - Tomášikovo</t>
  </si>
  <si>
    <t>Zníženie energetickej náročnosti budov MsÚ Rimavská Sobota</t>
  </si>
  <si>
    <t>Zníženie energetickej náročnosti OÚ Chrenovec-Brusno</t>
  </si>
  <si>
    <t>Obnova budovy Obecného úradu</t>
  </si>
  <si>
    <t>Svidník - MŠ na Ul. 8. mája - zateplenie</t>
  </si>
  <si>
    <t>Obnova budovy materskej školy</t>
  </si>
  <si>
    <t>Rekonštrukcia obecného úradu s kultúrnym domom Šamudovce za účelom zvýšenia energetickej účinnosti</t>
  </si>
  <si>
    <t>Znižovanie energetickej náročnosti budovy obecného úradu v Čake</t>
  </si>
  <si>
    <t>Rekonštrukcia a zateplenie autobusovej stanice s bezbariérovým prístupom</t>
  </si>
  <si>
    <t>Znižovanie energetickej náročnosti MŠ Radvanská 28, Banská Bystrica</t>
  </si>
  <si>
    <t>Zníženie energetickej náročnosti verejných budov –  D. Poľského č. 1371, Kysucké Nové Mesto</t>
  </si>
  <si>
    <t>Zníženie energetickej náročnosti verejných budov – Okružná č. 19, Banská Bystrica</t>
  </si>
  <si>
    <t>Zníženie energetickej náročnosti verejných budov –  Záhradnícka č.6, Komárno</t>
  </si>
  <si>
    <t>Zníženie energetickej náročnosti administratívnej budovy obecného úradu Svätý Peter</t>
  </si>
  <si>
    <t>Zníženie energetickej náročnosti budovy Úradu priemyselného vlastníctva SR</t>
  </si>
  <si>
    <t>Obnova Obecného úradu</t>
  </si>
  <si>
    <t>Zníženie energetickej náročnosti verejných budov –  Janka Kráľa č.1, Rožňava</t>
  </si>
  <si>
    <t>Zníženie energetickej náročnosti MŠ 9.mája Bánovce nad Bebravou</t>
  </si>
  <si>
    <t>Zníženie energetickej náročnosti verejných budov – Kalvárska 2, Nitra</t>
  </si>
  <si>
    <t>Zníženie energetickej náročnosti verejných budov – sv.Michala 35, Levice</t>
  </si>
  <si>
    <t>Zníženie energetickej náročnosti budovy internátu SO 01 Blok A,B Žilinskej univerzity v Žiline</t>
  </si>
  <si>
    <t>Zníženie energetickej náročnosti budovy internátu SO 02 Blok C,D Žilinskej univerzity v Žiline</t>
  </si>
  <si>
    <t>Zníženie energetickej náročnosti verejných budov – Starohájska č.3, Trnava</t>
  </si>
  <si>
    <t>Zníženie energetickej náročnosti verejných budov –  Partizánska cesta 106, Banská Bystrica</t>
  </si>
  <si>
    <t>Zníženie energetickej náročnosti verejných budov v obci Raková - Materská škola Korcháň č. 1070.</t>
  </si>
  <si>
    <t>Zníženie energetickej náročnosti Administratívnej budovy miestnych spolkov a združení</t>
  </si>
  <si>
    <t>Rekonštrukcia a zvýšenie energetickej hospodárnosti budovy materskej školy v obci Ružiná</t>
  </si>
  <si>
    <t>Zníženie energetickej náročnosti Obecného úradu v obci Opatovce nad Nitrou</t>
  </si>
  <si>
    <t>Zníženie energetickej náročnosti verejných budov - Obecný úrad a Kultúrny dom Kuzmice</t>
  </si>
  <si>
    <t>Realizácia opatrení na úsporu energií budovy A, B, C, RUVZ Banská Bystrica</t>
  </si>
  <si>
    <t>Zníženie energetickej náročnosti administratívnej budovy s.č.797, Spišské Podhradie</t>
  </si>
  <si>
    <t>Zníženie energetickej náročnosti účelového zariadenia Športovej haly Prešovskej univerzity</t>
  </si>
  <si>
    <t>Zníženie energetickej náročnosti budovy Mestského úradu v Myjave</t>
  </si>
  <si>
    <t>Zníženie energetickej náročnosti budov MŠ v Myjave</t>
  </si>
  <si>
    <t>Zníženie energetickej náročnosti budovy Obecného úradu v obci Rohovce</t>
  </si>
  <si>
    <t>Zvýšenie energetickej efektívnosti budovy Právnickej fakulty UMB, Komenského 20, 974 01 Banská Bystrica</t>
  </si>
  <si>
    <t>Zvýšenie energetickej efektívnosti budovy Filozofickej fakulty UMB, Tajovského 57, 974 01 Banská Bystrica</t>
  </si>
  <si>
    <t>Zmluva uzavretá</t>
  </si>
  <si>
    <t>Schválená</t>
  </si>
  <si>
    <t>Stĺpec1</t>
  </si>
  <si>
    <t>Stĺpec2</t>
  </si>
  <si>
    <t>Stĺpec3</t>
  </si>
  <si>
    <t>Stĺpec4</t>
  </si>
  <si>
    <t>Stĺpec5</t>
  </si>
  <si>
    <t>Stĺpec6</t>
  </si>
  <si>
    <t>Stĺpec7</t>
  </si>
  <si>
    <t>Stĺpec8</t>
  </si>
  <si>
    <t>Stĺpec9</t>
  </si>
  <si>
    <t>Stĺpec10</t>
  </si>
  <si>
    <t>Stĺpec11</t>
  </si>
  <si>
    <t>Stĺpec12</t>
  </si>
  <si>
    <t>Stĺpec13</t>
  </si>
  <si>
    <t>Stĺpec14</t>
  </si>
  <si>
    <t>Stĺpec15</t>
  </si>
  <si>
    <t>Stĺpec16</t>
  </si>
  <si>
    <t>Stĺpec17</t>
  </si>
  <si>
    <t>Stĺpec18</t>
  </si>
  <si>
    <t>Stĺpec19</t>
  </si>
  <si>
    <t>Stĺpec20</t>
  </si>
  <si>
    <t>Stĺpec21</t>
  </si>
  <si>
    <t>Stĺpec22</t>
  </si>
  <si>
    <t>Stĺpec23</t>
  </si>
  <si>
    <t>Stĺpec24</t>
  </si>
  <si>
    <t>Stĺpec25</t>
  </si>
  <si>
    <t>Stĺpec26</t>
  </si>
  <si>
    <t>Stĺpec27</t>
  </si>
  <si>
    <t>Stĺpec28</t>
  </si>
  <si>
    <t>Stĺpec29</t>
  </si>
  <si>
    <t>Stĺpec30</t>
  </si>
  <si>
    <t>Stĺpec31</t>
  </si>
  <si>
    <t>Stĺpec32</t>
  </si>
  <si>
    <t>Stĺpec33</t>
  </si>
  <si>
    <t>Stĺpec34</t>
  </si>
  <si>
    <t>Stĺpec35</t>
  </si>
  <si>
    <t>Stĺpec36</t>
  </si>
  <si>
    <t>Stĺpec37</t>
  </si>
  <si>
    <t>Stĺpec38</t>
  </si>
  <si>
    <t>Stĺpec39</t>
  </si>
  <si>
    <t>Stĺpec40</t>
  </si>
  <si>
    <t>Stĺpec41</t>
  </si>
  <si>
    <t>Stĺpec42</t>
  </si>
  <si>
    <t>Stĺpec43</t>
  </si>
  <si>
    <t>Stĺpec44</t>
  </si>
  <si>
    <t>Stĺpec45</t>
  </si>
  <si>
    <t>Stĺpec46</t>
  </si>
  <si>
    <t>Stĺpec47</t>
  </si>
  <si>
    <t>Stĺpec48</t>
  </si>
  <si>
    <t>Stĺpec49</t>
  </si>
  <si>
    <t>Stĺpec50</t>
  </si>
  <si>
    <t>Stĺpec51</t>
  </si>
  <si>
    <t>Stĺpec52</t>
  </si>
  <si>
    <t>Stĺpec53</t>
  </si>
  <si>
    <t>310031A027</t>
  </si>
  <si>
    <t>OPKZP-PO3-SC313-2015-2</t>
  </si>
  <si>
    <t>Horská záchranná služba</t>
  </si>
  <si>
    <t>Operatívny záchranný modul</t>
  </si>
  <si>
    <t>310031A113</t>
  </si>
  <si>
    <t>Budovanie modulu leteckého hasenia požiarov s využitím helikoptér</t>
  </si>
  <si>
    <t>žiadaná hodnota</t>
  </si>
  <si>
    <t>NFP310010F117</t>
  </si>
  <si>
    <t>OPKZP-PO1-SC111-2016-15</t>
  </si>
  <si>
    <t>ECOFIL, spol. s r.o.</t>
  </si>
  <si>
    <t>Intenzifikácia procesu regenerácie minerálnych olejov pre ich opätovné použitie</t>
  </si>
  <si>
    <t>doručená</t>
  </si>
  <si>
    <t xml:space="preserve"> 5/2018</t>
  </si>
  <si>
    <t>NFP310010F127</t>
  </si>
  <si>
    <t>DOPABAL s.r.o.</t>
  </si>
  <si>
    <t>Zariadenie na recykláciu nebezpečných odpadov</t>
  </si>
  <si>
    <t>NFP310010F154</t>
  </si>
  <si>
    <t>Filter Technik Slovakia, s.r.o.</t>
  </si>
  <si>
    <t>Filtračné a analyzačné technológie pre opätovné použitie odpadových olejov</t>
  </si>
  <si>
    <t xml:space="preserve"> 8/2018</t>
  </si>
  <si>
    <t>NFP310010D534</t>
  </si>
  <si>
    <t>OPKZP-PO1-SC111-2016-16</t>
  </si>
  <si>
    <t>ZEDKO, s.r.o.</t>
  </si>
  <si>
    <t>Zvýšenie miery recyklácie elektroodpadu v spoločnosti ZEDKO, s.r.o.</t>
  </si>
  <si>
    <t xml:space="preserve"> 4/2018</t>
  </si>
  <si>
    <t>NFP310010D549</t>
  </si>
  <si>
    <t>BOMAT s.r.o.</t>
  </si>
  <si>
    <t>Zvýšenie množstva zberu a miery zhodnocovania nie nebezpečných elektroodpadov</t>
  </si>
  <si>
    <t>NFP310010D589</t>
  </si>
  <si>
    <t>AGRO CS Slovakia, a.s.</t>
  </si>
  <si>
    <t>Zhodnocovanie biologicky rozložiteľného odpadu vo výrobe spoločnosti AGRO CS Slovakia, a.s.</t>
  </si>
  <si>
    <t>NFP310010D670</t>
  </si>
  <si>
    <t>EkoPellets Slovakia, s.r.o.</t>
  </si>
  <si>
    <t>Modernizácia výrobnej linky - obstaranie technológie na efektívnejšie zhodnotenie odpadu – drevnej piliny.</t>
  </si>
  <si>
    <t>NFP310010F158</t>
  </si>
  <si>
    <t>CS, s.r.o.</t>
  </si>
  <si>
    <t>Recyklačné stredisko pre asfaltové a betónové zmesi</t>
  </si>
  <si>
    <t>NFP310010F270</t>
  </si>
  <si>
    <t>BUKÓZA INVEST spol. s r. o.</t>
  </si>
  <si>
    <t>Recyklácia zberového papiera za účelom výroby papiera (testlineru)</t>
  </si>
  <si>
    <t>NFP310010F366</t>
  </si>
  <si>
    <t>MA-PE, s.r.o.</t>
  </si>
  <si>
    <t>Nákup veľkokapacitnej štiepkovacej technológie</t>
  </si>
  <si>
    <t>NFP310010F382</t>
  </si>
  <si>
    <t>H + EKO, spol. s r.o., Košice</t>
  </si>
  <si>
    <t>Inovácia výrobných zariadení a procesov na recykláciu a zhodnocovanie odpadov v spoločnosti H + EKO, spol. s r.o., Košice</t>
  </si>
  <si>
    <t>NFP310010F434</t>
  </si>
  <si>
    <t>HANES, s.r.o.</t>
  </si>
  <si>
    <t>Materiálové zhodnocovanie nie nebezpečných odpadov v spoločnosti HANES, s.r.o.</t>
  </si>
  <si>
    <t>NFP310010F456</t>
  </si>
  <si>
    <t>BIOPALIVO, a.s.</t>
  </si>
  <si>
    <t>Materiálové a energetické zhodnocovanie dreveného odpadu na drevnú štiepku, ktorá sa dá použiť ako palivo</t>
  </si>
  <si>
    <t xml:space="preserve"> 2/2019</t>
  </si>
  <si>
    <t>NFP310010F474</t>
  </si>
  <si>
    <t>Hinkom s.r.o.</t>
  </si>
  <si>
    <t>Vybudovanie zariadenia na mechanicko - biologickú úpravu zmesového komunálneho odpadu</t>
  </si>
  <si>
    <t>NFP310010F485</t>
  </si>
  <si>
    <t>Ján Maruna</t>
  </si>
  <si>
    <t>Nákup technológie na zhodnocovanie BRO</t>
  </si>
  <si>
    <t>NFP310010F488</t>
  </si>
  <si>
    <t>ODPAD A RECYKLÁCIA KOŠICE, s.r.o.</t>
  </si>
  <si>
    <t>Stredisko na zhodnocovanie odpadov Košice- Juh</t>
  </si>
  <si>
    <t xml:space="preserve">100 000,0000
</t>
  </si>
  <si>
    <t>NFP310010F530</t>
  </si>
  <si>
    <t>GBS group, s.r.o.</t>
  </si>
  <si>
    <t>Recyklácia odpadov a následná výroba tuhých druhotných palív</t>
  </si>
  <si>
    <t>NFP310010F531</t>
  </si>
  <si>
    <t>ALFA Slovakia, s.r.o.</t>
  </si>
  <si>
    <t>Nákup technológií zameraných na dosiahnutie vysokej úrovne recyklácie odpadov z plastov</t>
  </si>
  <si>
    <t>NFP310010F537</t>
  </si>
  <si>
    <t>BRUTTO, s.r.o.</t>
  </si>
  <si>
    <t>Vybudovanie prevádzky na recykláciu zmesových plastových odpadov</t>
  </si>
  <si>
    <t>NFP310010F581</t>
  </si>
  <si>
    <t>WP DUBNICA s.r.o.</t>
  </si>
  <si>
    <t>Stredisko nízkoteplotnej recyklácie nie nebezpečných odpadov</t>
  </si>
  <si>
    <t>NFP310010F650</t>
  </si>
  <si>
    <t>EKOFORM spol. s r.o.</t>
  </si>
  <si>
    <t>Zhodnocovanie inertného odpadu</t>
  </si>
  <si>
    <t>NFP310010F653</t>
  </si>
  <si>
    <t>MK-WOODTRANS s.r.o.</t>
  </si>
  <si>
    <t>Zhodnocovanie nie nebezpečných odpadov spoločnosťou MK-WOODTRANS s.r.o.</t>
  </si>
  <si>
    <t xml:space="preserve"> 6/2019</t>
  </si>
  <si>
    <t>NFP310010F656</t>
  </si>
  <si>
    <t>BIO energie s.r.o.</t>
  </si>
  <si>
    <t>Kompostáreň Veľké Lovce - BIO energie s.r.o.</t>
  </si>
  <si>
    <t>NFP310010F672</t>
  </si>
  <si>
    <t>EU - INVESTMENT, s.r.o.</t>
  </si>
  <si>
    <t>Vybudovanie prevádzky na materiálové zhodnocovanie zmesových plastových odpadov na palivo</t>
  </si>
  <si>
    <t>NFP310010F687</t>
  </si>
  <si>
    <t>ELEKTRO RECYCLING, s.r.o.</t>
  </si>
  <si>
    <t>Zvýšenie efektivity procesov spracovania odpadov pre opätovné použitie</t>
  </si>
  <si>
    <t>NFP310010F691</t>
  </si>
  <si>
    <t>PAKAVOZ s.r.o.</t>
  </si>
  <si>
    <t>Kompostovanie biologicky rozložiteľného kuchynského a reštauračného odpadu v Banskej Štiavnici</t>
  </si>
  <si>
    <t>NFP310010F698</t>
  </si>
  <si>
    <t>EDUARD K. s.r.o.</t>
  </si>
  <si>
    <t>Zhodnocovanie biologicky rozložiteľného odpadu spoločnosťou EDUARD K. s.r.o.</t>
  </si>
  <si>
    <t>NFP310010F700</t>
  </si>
  <si>
    <t>I§P Company Limited sro</t>
  </si>
  <si>
    <t>Zberný dvor - prípravy na opätovné použitie a zhodnocovanie odpadov v obci Veľký Grob</t>
  </si>
  <si>
    <t xml:space="preserve"> 11/2017</t>
  </si>
  <si>
    <t>NFP310010F724</t>
  </si>
  <si>
    <t>PRODREV CONSULTING,s.r.o.</t>
  </si>
  <si>
    <t>Nákup technológií na zhodnocovanie nie nebezpečného odpadu na palivá.</t>
  </si>
  <si>
    <t>NFP310010D635</t>
  </si>
  <si>
    <t>OPKZP-PO1-SC111-2016-12</t>
  </si>
  <si>
    <t>Vybudovanie a zavedenie jednotného enviromentálneho monitorovacieho a informačného systému v odpadovom hospodárstve.</t>
  </si>
  <si>
    <t>NFP310010B490</t>
  </si>
  <si>
    <t>OPKZP-PO1-SC111-2016-11</t>
  </si>
  <si>
    <t>Technické služby, mestský podnik Banská Štiavnica</t>
  </si>
  <si>
    <t>Zhodnocovanie bioodpadu a stavebného odpadu v Banskej Štiavnici</t>
  </si>
  <si>
    <t>schválená</t>
  </si>
  <si>
    <t>NFP310010B593</t>
  </si>
  <si>
    <t>Obec Kendice</t>
  </si>
  <si>
    <t>Obecná kompostáreň pre obec Kendice</t>
  </si>
  <si>
    <t>NFP310010B602</t>
  </si>
  <si>
    <t>Obec Malé Lednice</t>
  </si>
  <si>
    <t>Zhodnocovanie biologicky rozložiteľného komunálneho odpadu v obci Malé Lednice</t>
  </si>
  <si>
    <t>NFP310010B748</t>
  </si>
  <si>
    <t>obec Motešice</t>
  </si>
  <si>
    <t>Zhodnocovanie biologicky rozložiteľného komunálneho odpadu v obci Motešice</t>
  </si>
  <si>
    <t>NFP310010B868</t>
  </si>
  <si>
    <t>Obec Klčov</t>
  </si>
  <si>
    <t>Zhodnocovanie biologicky rozložiteľného komunálneho odpadu v obci Klčov</t>
  </si>
  <si>
    <t>NFP310010B885</t>
  </si>
  <si>
    <t>OBEC ŇAGOV</t>
  </si>
  <si>
    <t>Zhodnocovanie biologicky rozložiteľného komunálneho odpadu v obci Ňagov</t>
  </si>
  <si>
    <t>NFP310010B952</t>
  </si>
  <si>
    <t>Obec Vinné</t>
  </si>
  <si>
    <t>Zberný dvor Vinné - výstavba zariadenia pre zhodnocovanie BRO</t>
  </si>
  <si>
    <t>NFP310010B967</t>
  </si>
  <si>
    <t>VEPOS, spol. s r.o.</t>
  </si>
  <si>
    <t>Rozšírenie zberu BRO pre mesto Vráble</t>
  </si>
  <si>
    <t>NFP310010C096</t>
  </si>
  <si>
    <t>Zhodnotenie biologicky rozložiteľného odpadu v obci Oslany, Oslany, p.č. 1419/2</t>
  </si>
  <si>
    <t>NFP310010C124</t>
  </si>
  <si>
    <t>Mesto Tisovec</t>
  </si>
  <si>
    <t>Mestská kompostáreň Rudov dvor</t>
  </si>
  <si>
    <t>NFP310010C128</t>
  </si>
  <si>
    <t>Obec Dolné Saliby</t>
  </si>
  <si>
    <t>Kompostáreň pre zhodnocovanie biologicky rozložiteľného komunálneho odpadu v obci Dolné Saliby</t>
  </si>
  <si>
    <t>NFP310010C146</t>
  </si>
  <si>
    <t>Obec Jastrabie nad Topľou</t>
  </si>
  <si>
    <t>Kompostáreň na zhodnocovanie biologicky rozložiteľného odpadu v obci Jastrabie nad Topľou</t>
  </si>
  <si>
    <t>NFP310010C156</t>
  </si>
  <si>
    <t>Technické služby, príspevková organizácia mesta</t>
  </si>
  <si>
    <t>Vybudovanie zberného dvora v meste Bojnice</t>
  </si>
  <si>
    <t>NFP310010C166</t>
  </si>
  <si>
    <t>Združenie obcí Kľakovskej doliny</t>
  </si>
  <si>
    <t>Zhodnocovanie biologicky rozložiteľného komunálneho odpadu v Kľakovskej doline</t>
  </si>
  <si>
    <t>NFP310010C168</t>
  </si>
  <si>
    <t>TSM Dubnica nad Váhom, s.r.o.</t>
  </si>
  <si>
    <t>Zberný dvor, Dubnica nad Váhom</t>
  </si>
  <si>
    <t>NFP310010C169</t>
  </si>
  <si>
    <t>Podnik služieb Opatovce nad Nitrou, s.r.o.</t>
  </si>
  <si>
    <t>Vybudovanie zberného dvora v obci Opatovce nad Nitrou</t>
  </si>
  <si>
    <t>NFP310010C174</t>
  </si>
  <si>
    <t>Mestský podnik služieb Turzovka</t>
  </si>
  <si>
    <t>Podpora triedeného zberu KO, Turzovka</t>
  </si>
  <si>
    <t>NFP310010C176</t>
  </si>
  <si>
    <t>Obec Cerovo</t>
  </si>
  <si>
    <t>Kompostáreň - Bioodpad</t>
  </si>
  <si>
    <t>NFP310010C191</t>
  </si>
  <si>
    <t>Mesto Prievidza</t>
  </si>
  <si>
    <t>Zhodnocovanie biologicky rozložiteľného odpadu v Prievidzi</t>
  </si>
  <si>
    <t>NFP310010C193</t>
  </si>
  <si>
    <t>Mesto Piešťany</t>
  </si>
  <si>
    <t>Vybudovanie kompostárne v meste Piešťany</t>
  </si>
  <si>
    <t>NFP310010C195</t>
  </si>
  <si>
    <t>Obec Brehy</t>
  </si>
  <si>
    <t>Zhodnocovanie biologicky rozložiteľného komunálneho odpadu v obci Brehy</t>
  </si>
  <si>
    <t>NFP310010C199</t>
  </si>
  <si>
    <t>Obec Kálnica</t>
  </si>
  <si>
    <t>Zhodnocovanie biologicky rozložiteľného komunálneho odpadu v obci Kálnica</t>
  </si>
  <si>
    <t>NFP310010C204</t>
  </si>
  <si>
    <t>Kompostáreň na zhodnocovanie biologicky rozložiteľného odpadu v obci Bajany</t>
  </si>
  <si>
    <t xml:space="preserve"> 8/2017</t>
  </si>
  <si>
    <t>NFP310010C209</t>
  </si>
  <si>
    <t>Technické služby Obce Bošany s.r.o.</t>
  </si>
  <si>
    <t>Vybudovanie zberného dvora a rozšírenie triedeného zberu odpadu v Bošanoch</t>
  </si>
  <si>
    <t>NFP310010C210</t>
  </si>
  <si>
    <t>Mesto Topoľčany</t>
  </si>
  <si>
    <t>Rozšírenie a intenzifikácia prevádzky kompostárne bioodpadov mesta Topoľčany</t>
  </si>
  <si>
    <t>NFP310010C213</t>
  </si>
  <si>
    <t>Mesto Hanušovce nad Topľou</t>
  </si>
  <si>
    <t>Kompostáreň na zhodnocovanie biologicky rozložiteľného odpadu v meste Hanušovce nad Topľou</t>
  </si>
  <si>
    <t>NFP310010C215</t>
  </si>
  <si>
    <t>Obec Lužianky</t>
  </si>
  <si>
    <t>Zhodnocovanie biologicky rozložiteľného komunálneho odpadu obce Lužianky</t>
  </si>
  <si>
    <t>NFP310010C228</t>
  </si>
  <si>
    <t>Odvoz a likvidácia odpadu Bratislava, akciová spoločnosť</t>
  </si>
  <si>
    <t>Zber a zhodnotenie BRO mesta Bratislava - I.etapa</t>
  </si>
  <si>
    <t>NFP310010B498</t>
  </si>
  <si>
    <t>OPKZP-PO1-SC111-2016-10</t>
  </si>
  <si>
    <t>Obec Rimavská Seč</t>
  </si>
  <si>
    <t>Zbierajme spolu do dvora v Rimavskej Seči</t>
  </si>
  <si>
    <t>NFP310010B514</t>
  </si>
  <si>
    <t>Obec Zavar</t>
  </si>
  <si>
    <t>Zberný dvor Zavar</t>
  </si>
  <si>
    <t>NFP310010A021</t>
  </si>
  <si>
    <t>OPKZP-PO1-SC121/122-2015</t>
  </si>
  <si>
    <t>Obec Chtelnica</t>
  </si>
  <si>
    <t>Dobudovanie kanalizácie splaškových vôd v obci Chtelnica</t>
  </si>
  <si>
    <t>v zásobníku projektov</t>
  </si>
  <si>
    <t>NFP310010A036</t>
  </si>
  <si>
    <t>Obec Drahovce</t>
  </si>
  <si>
    <t>Drahovce - Obecná splašková kanalizácia</t>
  </si>
  <si>
    <t>NFP310010A038</t>
  </si>
  <si>
    <t>Obec Vrakúň</t>
  </si>
  <si>
    <t>Kanalizácia Vrakúň</t>
  </si>
  <si>
    <t>NFP310010A046</t>
  </si>
  <si>
    <t>Stredoslovenská vodárenská spoločnosť, a.s.</t>
  </si>
  <si>
    <t>Aglomerácia Lehota pod Vtáčnikom - kanalizácia a ČOV</t>
  </si>
  <si>
    <t>NFP310010A063</t>
  </si>
  <si>
    <t>Želiezovce - dobudovanie kanalizačnej siete</t>
  </si>
  <si>
    <t>NFP310010A065</t>
  </si>
  <si>
    <t>Združenie obcí Kanalizácia Vrbové - Krakovany</t>
  </si>
  <si>
    <t>Dobudovanie kanalizácie Združenia obcí Kanalizácia Vrbové - Krakovany</t>
  </si>
  <si>
    <t>NFP310010A076</t>
  </si>
  <si>
    <t>Združenie obcí aglomerácia Rajecké Teplice</t>
  </si>
  <si>
    <t>Aglomerácia Rajecké Teplice – rozšírenie splaškovej kanalizácie</t>
  </si>
  <si>
    <t>NFP310010A083</t>
  </si>
  <si>
    <t>Betlanovce</t>
  </si>
  <si>
    <t>ČOV a kanalizácia Betlanovce</t>
  </si>
  <si>
    <t>NFP310010A087</t>
  </si>
  <si>
    <t>Obec Tvrdošovce</t>
  </si>
  <si>
    <t>Región Nové Zámky – odvedenie a čistenie odpadových vôd časť Tvrdošovce</t>
  </si>
  <si>
    <t>NFP310010A093</t>
  </si>
  <si>
    <t>Obec Pata</t>
  </si>
  <si>
    <t>Pata - verejná kanalizácia, rozšírenie kanalizácie</t>
  </si>
  <si>
    <t>NFP310010A098</t>
  </si>
  <si>
    <t>obec Seňa</t>
  </si>
  <si>
    <t>Seňa Kanalizácia a ČOV a Vodovod - Seňa, Kechnec, Milhosť</t>
  </si>
  <si>
    <t>NFP310010A100</t>
  </si>
  <si>
    <t>Obec Lehôtka pod Brehmi</t>
  </si>
  <si>
    <t>Čistiareň odpadových vôd Lehôtka pod Brehmi</t>
  </si>
  <si>
    <t>NFP310010A102</t>
  </si>
  <si>
    <t>Dobudovanie kanalizácie v meste Hnúšťa</t>
  </si>
  <si>
    <t>NFP310010A105</t>
  </si>
  <si>
    <t>Oravská vodárenská spoločnosť, a.s.</t>
  </si>
  <si>
    <t>Odkanalizovanie obcí dolnej Oravy - Žaškov, Párnica, Oravská Poruba, Veličná</t>
  </si>
  <si>
    <t>NFP310010A125</t>
  </si>
  <si>
    <t>Obec Bánov</t>
  </si>
  <si>
    <t>Bánov - rozšírenie kanalizácie II., III., IV. Etapa</t>
  </si>
  <si>
    <t>NFP310010A147</t>
  </si>
  <si>
    <t>Považská vodárenská spoločnosť, a.s.</t>
  </si>
  <si>
    <t>Pruské - kanalizácia a ČOV</t>
  </si>
  <si>
    <t>NFP310010A166</t>
  </si>
  <si>
    <t>Aglomerácia Chrenovec - Brusno - kanalizácia</t>
  </si>
  <si>
    <t>NFP310010A465</t>
  </si>
  <si>
    <t>Združenie obcí kanalizácia Vydrany - Veľké Blahovo</t>
  </si>
  <si>
    <t>Kanalizácia Vydrany - Veľké Blahovo</t>
  </si>
  <si>
    <t>Špecifický cieľ</t>
  </si>
  <si>
    <t>Schválené ŽoNFP</t>
  </si>
  <si>
    <t>Doručené ŽoNFP</t>
  </si>
  <si>
    <t>zmluva uzavretá</t>
  </si>
  <si>
    <t>t ekviv. CO2</t>
  </si>
  <si>
    <t>m2</t>
  </si>
  <si>
    <t>Kg/rok</t>
  </si>
  <si>
    <t>podniky</t>
  </si>
  <si>
    <t>Počet administratívnych kapacít financovaných z technickej pomoci</t>
  </si>
  <si>
    <t>Počet účastníkov zrealizovaných pracovných ciest</t>
  </si>
  <si>
    <t>Počet zrealizovaných hodnotení, analýz a štúdií</t>
  </si>
  <si>
    <t>P0851</t>
  </si>
  <si>
    <t>310051A420</t>
  </si>
  <si>
    <t>OPKZP-PO5-SC511/512-2016-TP3 - Vyzvanie na technickú pomoc – SAŽP</t>
  </si>
  <si>
    <t>Slovenská agentúra životného prostredia</t>
  </si>
  <si>
    <t>OP KŽP - MZDY I.</t>
  </si>
  <si>
    <t>310051A423</t>
  </si>
  <si>
    <t>OPKZP-PO5-SC511/512-2016-TP1 - Vyzvanie na technickú pomoc – SIEA</t>
  </si>
  <si>
    <t>Financovanie hrubých miezd, odmien a odvodov zamestnávateľa za oprávnených zamestnancov SIEA a financovanie odmien za práce vykonávané na základe dohody o prácach vykonávaných mimo pracovného pomeru</t>
  </si>
  <si>
    <t>310051A441</t>
  </si>
  <si>
    <t>OPKZP-PO5-SC511/512-2016-TP4 - Vyzvanie na technickú pomoc – MŽP SR</t>
  </si>
  <si>
    <t>Financovanie mzdových výdavkov vrátane odmien a odvodov zamestnávateľa za zamestnancov MŽP SR a odmien zamestnancov mimo pracovného pomeru podieľajúcich sa na implementácii OP KŽP – rok 2015 a 2016</t>
  </si>
  <si>
    <t>310051A447</t>
  </si>
  <si>
    <t>OP KŽP - MTZ a externé služby I.</t>
  </si>
  <si>
    <t>310051A751</t>
  </si>
  <si>
    <t>OPKZP-PO5-SC511/512-2016-TP2 - Vyzvanie na technickú pomoc – MV SR</t>
  </si>
  <si>
    <t>Financovanie miezd MV SR ako SO pre OP KŽP za obdobie 2014-2016</t>
  </si>
  <si>
    <t>NFP310050D505</t>
  </si>
  <si>
    <t>Financovanie hrubých miezd, odmien a odvodov zamestnávateľa za oprávnených zamestnancov SIEA a financovanie odmien za práce vykonávané na základe dohody o prácach vykonávaných mimo pracovného pomeru - 2017</t>
  </si>
  <si>
    <t>po doplnení k odbornému hodnoteniu</t>
  </si>
  <si>
    <t>NA</t>
  </si>
  <si>
    <t>VYSVETLIVKY K FARBE ZÁLOŽIEK:</t>
  </si>
  <si>
    <t>Stav merateľných ukazovateľov za všetkých 5 prioritných osí OP KŽP k 28.02.2017</t>
  </si>
  <si>
    <t>Stav merateľných ukazovateľov za prioritné osi 1 a 2 k 28.02.2017</t>
  </si>
  <si>
    <t>Stav merateľných ukazovateľov za prioritnú os 3 k 28.02.2017</t>
  </si>
  <si>
    <t>Stav merateľných ukazovateľov za prioritnú os 4 k 28.02.2017</t>
  </si>
  <si>
    <t>Stav merateľných ukazovateľov za prioritnú os 5 k 28.02.2017</t>
  </si>
  <si>
    <t>Investičná priorita</t>
  </si>
  <si>
    <t>ŠC 5 Zlepšenie stavu ochrany druhov a biotopov a posilnenie biodiverzity najmä v rámci sústavy Natura 2000</t>
  </si>
  <si>
    <t>ŠC 6 Zníženie znečisťovania ovzdušia a zlepšenie jeho kvality</t>
  </si>
  <si>
    <t>ŠC 7 Zabezpečenie sanácie environmentálnych záťaží v mestskom prostredí, ako aj v opustených priemyselných lokalitách (vrátane oblastí, ktoré prechádzajú zmenou)</t>
  </si>
  <si>
    <t>ŠC 1 Zníženie rizika povodní a negatívnych dôsledkov zmeny klímy</t>
  </si>
  <si>
    <t>ŠC 2 Zlepšenie účinnosti sanácie, revitalizácie a zabezpečenia úložísk ťažobného odpadu</t>
  </si>
  <si>
    <t>ŠC 3 Zvýšenie efektívnosti 
manažmentu mimoriadnych udalostí ovplyvnených zmenou klímy</t>
  </si>
  <si>
    <t>ŠC 2 Zvýšenie výkonu malých zariadení na využívanie OZE v Bratislavskom samosprávnom kraji</t>
  </si>
  <si>
    <t>ŠC 1 Zníženie spotreby energie pri prevádzke verejných budov</t>
  </si>
  <si>
    <t>ŠC 1 Rozvoj účinnejších systémov centralizovaného zásobovania teplom založených na dopyte po využiteľnom teple</t>
  </si>
  <si>
    <t>Prioritná os</t>
  </si>
  <si>
    <t>Typ aktivity</t>
  </si>
  <si>
    <t>Cieľová hodnota ukazovateľa 
k 31.12.2023</t>
  </si>
  <si>
    <t>Cieľová hodnota kľúčového implementačného kroku (míľnika) 
k 31.12.2018</t>
  </si>
  <si>
    <r>
      <t>(</t>
    </r>
    <r>
      <rPr>
        <b/>
        <sz val="10"/>
        <color theme="1"/>
        <rFont val="Arial Narrow"/>
        <family val="2"/>
        <charset val="238"/>
      </rPr>
      <t xml:space="preserve">6a)  </t>
    </r>
    <r>
      <rPr>
        <sz val="10"/>
        <color theme="1"/>
        <rFont val="Arial Narrow"/>
        <family val="2"/>
        <charset val="238"/>
      </rPr>
      <t xml:space="preserve">Investovanie do sektora </t>
    </r>
    <r>
      <rPr>
        <b/>
        <sz val="10"/>
        <color theme="1"/>
        <rFont val="Arial Narrow"/>
        <family val="2"/>
        <charset val="238"/>
      </rPr>
      <t xml:space="preserve">odpadového hospodárstva </t>
    </r>
    <r>
      <rPr>
        <sz val="10"/>
        <color theme="1"/>
        <rFont val="Arial Narrow"/>
        <family val="2"/>
        <charset val="238"/>
      </rPr>
      <t xml:space="preserve">s cieľom splniť požiadavky environmentálneho acquis Únie a pokryť potreby, ktoré členské štáty špecifikovali v súvislosti s investíciami nad rámec uvedených požiadaviek </t>
    </r>
  </si>
  <si>
    <r>
      <t xml:space="preserve"> Zvýšenie miery </t>
    </r>
    <r>
      <rPr>
        <b/>
        <sz val="10"/>
        <color theme="1"/>
        <rFont val="Arial Narrow"/>
        <family val="2"/>
        <charset val="238"/>
      </rPr>
      <t>zhodnocovania</t>
    </r>
    <r>
      <rPr>
        <sz val="10"/>
        <color theme="1"/>
        <rFont val="Arial Narrow"/>
        <family val="2"/>
        <charset val="238"/>
      </rPr>
      <t xml:space="preserve"> odpadov so zameraním na ich prípravu na opätovné použitie a recykláciu a podpora predchádzania vzniku odpadov</t>
    </r>
  </si>
  <si>
    <t>Počet analyzovaných vzoriek povrchových a podzemných vôd</t>
  </si>
  <si>
    <t>Počet vyhodnotených vodných útvarov  povrchových a podzemných vôd</t>
  </si>
  <si>
    <r>
      <rPr>
        <b/>
        <sz val="10"/>
        <color theme="1"/>
        <rFont val="Arial Narrow"/>
        <family val="2"/>
        <charset val="238"/>
      </rPr>
      <t xml:space="preserve">(6e) </t>
    </r>
    <r>
      <rPr>
        <sz val="10"/>
        <color theme="1"/>
        <rFont val="Arial Narrow"/>
        <family val="2"/>
        <charset val="238"/>
      </rPr>
      <t xml:space="preserve">Prijatie opatrení na zlepšenie </t>
    </r>
    <r>
      <rPr>
        <b/>
        <sz val="10"/>
        <color theme="1"/>
        <rFont val="Arial Narrow"/>
        <family val="2"/>
        <charset val="238"/>
      </rPr>
      <t xml:space="preserve">mestského prostredia, revitalizácie </t>
    </r>
    <r>
      <rPr>
        <sz val="10"/>
        <color theme="1"/>
        <rFont val="Arial Narrow"/>
        <family val="2"/>
        <charset val="238"/>
      </rPr>
      <t xml:space="preserve">miest, oživenia a </t>
    </r>
    <r>
      <rPr>
        <b/>
        <sz val="10"/>
        <color theme="1"/>
        <rFont val="Arial Narrow"/>
        <family val="2"/>
        <charset val="238"/>
      </rPr>
      <t>dekontaminácie opustených priemyselných areálov</t>
    </r>
    <r>
      <rPr>
        <sz val="10"/>
        <color theme="1"/>
        <rFont val="Arial Narrow"/>
        <family val="2"/>
        <charset val="238"/>
      </rPr>
      <t xml:space="preserve"> (vrátane oblastí, ktoré prechádzajú zmenou), zníženie miery znečistenia ovzdušia a podpory opatrení na zníženie hluku</t>
    </r>
  </si>
  <si>
    <t>Počet podporených zariadení stredných a veľkých stacionárnych zdrojov znečisťovania ovzdušia za účelom zníženia emisií</t>
  </si>
  <si>
    <t xml:space="preserve">Počet aplikovaných modulov NEIS podľa požiadaviek na informovanie verejnosti a reportingových povinností </t>
  </si>
  <si>
    <t>5b) Podpora investícií na riešenie osobitných rizík, zabezpečiť predchádzanie vzniku katastrof a vyvíjanie systémov zvládania katastrof</t>
  </si>
  <si>
    <t>ŠC 1 Zvýšenie úrovne pripravenosti na zvládanie mimoriadnych udalostí ovplyvnených zmenou klímy</t>
  </si>
  <si>
    <t xml:space="preserve">Počet systémov včasného varovania </t>
  </si>
  <si>
    <t>ŠC 2 Zvýšenie účinnosti 
preventívnych a adaptačných opatrení na elimináciu environmentálnych rizík (okrem protipovodňových opatrení)</t>
  </si>
  <si>
    <t>4a) Podpora výroby a distribúcie energie z obnoviteľných zdrojov</t>
  </si>
  <si>
    <t>ŠC 1 Zvýšenie podielu OZE na hrubej konečnej energetickej spotrebe</t>
  </si>
  <si>
    <t>4b) Podpora energetickej efektívnosti a využívania energie z obnoviteľných zdrojov v podnikoch</t>
  </si>
  <si>
    <t>ŠC 1 Zníženie energetickej náročnosti a zvýšenie využívania OZE v podnikoch</t>
  </si>
  <si>
    <t xml:space="preserve">Počet opatrení energetickej efektívnosti realizovaných v podnikoch </t>
  </si>
  <si>
    <t xml:space="preserve">Úspora PEZ v podniku </t>
  </si>
  <si>
    <t>4c) Podpora energetickej efektívnosti, inteligentného riadenia energie a využívania energie z obnoviteľných zdrojov vo verejných infraštruktúrach, vrátane verejných budov a v sektore bývania</t>
  </si>
  <si>
    <t>Zníženie konečnej spotreby energie vo verejných budovách  </t>
  </si>
  <si>
    <t>4e) Podpora nízkouhlíkových stratégií pre všetky typy území, najmä pre mestské oblasti, vrátane podpory udržateľnej multimodálnej mestskej mobility a adaptačných opatrení, ktorých cieľom je zmiernenie zmeny klímy</t>
  </si>
  <si>
    <t>ŠC 1 Znižovanie emisií skleníkových plynov systematickým plánovaním a vyhodnocovaním nízkouhlíkových opatrení pre všetky typy území</t>
  </si>
  <si>
    <t>4g) Podpora využívania vysoko účinnej kombinovanej výroby tepla a elektrickej energie na základe dopytu po využiteľnom teple</t>
  </si>
  <si>
    <t>A</t>
  </si>
  <si>
    <t>B</t>
  </si>
  <si>
    <r>
      <t xml:space="preserve">Vybudovanie a zavedenie jednotného environmentálneho </t>
    </r>
    <r>
      <rPr>
        <b/>
        <sz val="10"/>
        <color theme="1"/>
        <rFont val="Arial Narrow"/>
        <family val="2"/>
        <charset val="238"/>
      </rPr>
      <t>monitorovacieho a informačného systému</t>
    </r>
    <r>
      <rPr>
        <sz val="10"/>
        <color theme="1"/>
        <rFont val="Arial Narrow"/>
        <family val="2"/>
        <charset val="238"/>
      </rPr>
      <t xml:space="preserve"> v odpadovom hospodárstve</t>
    </r>
  </si>
  <si>
    <t>(TC6) UDRŽATEĽNÉ VYUŽÍVANIE PRÍRODNÝCH ZDROJOV PROSTREDNÍCTVOM ROZVOJA ENVIRONMENTÁLNEJ INFRAšTRUKTÚRY</t>
  </si>
  <si>
    <t>C</t>
  </si>
  <si>
    <t>D</t>
  </si>
  <si>
    <t>Zlepšenie odvádzania a čistenia komunálnych odpadových vôd v aglomeráciách nad 2 000 EO v zmysle záväzkov SR voči EÚ</t>
  </si>
  <si>
    <t>Zvýšenie spoľahlivosti úpravy vody odoberanej z veľkokapacitných zdrojov povrchových vôd v záujme zvýšenia bezpečnosti dodávky pitnej vody verejnými vodovodmi</t>
  </si>
  <si>
    <t>Zabezpečenie podmienok v oblasti zásobovania obyvateľov SR bezpečnou pitnou vodou z verejných vodovodov</t>
  </si>
  <si>
    <t>Vytvorenie východísk pre stanovenie opatrení smerujúcich k dosiahnutiu dobrého stavu podzemných a povrchových vôd</t>
  </si>
  <si>
    <t>Monitorovanie a hodnotenie vôd, vrátane skvalitňovania monitorovacej siete</t>
  </si>
  <si>
    <t>Zabezpečenie pozdĺžnej a laterálnej kontinuity vodných tokov a odstraňovanie bariér vo vodných tokoch za účelom podpory biodiverzity a zabezpečovania ekosystémových služieb</t>
  </si>
  <si>
    <t>Podpora zefektívnenia nástrojov koncepčného a informačného charakteru uplatňovaných v oblasti ochrany vôd a vodného hospodárstva</t>
  </si>
  <si>
    <t>Podpora nástrojov informačného charakteru so zameraním na predchádzanie vzniku odpadov, na podporu triedeného zberu odpadov a zhodnocovania odpadov</t>
  </si>
  <si>
    <r>
      <t>Počet aktualizovaných alebo novovytvorených plánovacích podkladov</t>
    </r>
    <r>
      <rPr>
        <sz val="10"/>
        <color theme="1"/>
        <rFont val="Arial Narrow"/>
        <family val="2"/>
        <charset val="238"/>
      </rPr>
      <t xml:space="preserve"> manažmentu povodňových rizík (na úrovni SR)</t>
    </r>
  </si>
  <si>
    <r>
      <t>MW</t>
    </r>
    <r>
      <rPr>
        <vertAlign val="subscript"/>
        <sz val="10"/>
        <color theme="1"/>
        <rFont val="Arial Narrow"/>
        <family val="2"/>
        <charset val="238"/>
      </rPr>
      <t>e</t>
    </r>
  </si>
  <si>
    <t xml:space="preserve">Zlepšenie informovanosti a zapojenia kľúčových sektorov a verejnosti na úseku ochrany prírody a krajiny </t>
  </si>
  <si>
    <t>Technologické a technické opatrenia na redukciu emisií znečisťujúcich látok do ovzdušia realizované na zdrojoch znečisťovania ovzdušia, najmä za účelom plnenia požiadaviek smernice o národných emisných stropoch a/alebo smernice o kvalite okolitého ovzdušia a čistejšom ovzduší v Európe (vrátane aktivít s predpokladom realizácie prostredníctvom SIH vo výške 15 784 600 Eur)</t>
  </si>
  <si>
    <t>Skvalitňovanie monitorovania ovzdušia</t>
  </si>
  <si>
    <t>Zachovanie a obnova biodiverzity a ekosystémov a ich služieb prostredníctvom ich revitalizácie, obnovy a budovania zelenej infraštruktúry</t>
  </si>
  <si>
    <t>Dobudovanie a skvalitnenie systému monitoringu druhov a biotopov európskeho významu a reportingu</t>
  </si>
  <si>
    <t>Prieskum, sanácia a monitorovanie environmentálnych záťaží v mestskom prostredí, ako aj v opustených priemyselných lokalitách (vrátane oblastí, ktoré prechádzajú zmenou)</t>
  </si>
  <si>
    <t>(TC 5a) ADAPTÁCIA NA NEPRIAZNIVÉ DOSLEDKY ZMENY KLÍMY SO ZAMERANÍM NA OCHRANU PRED POVODŇAMI</t>
  </si>
  <si>
    <t xml:space="preserve">Počet obyvateľov využívajúcich opatrenia protipovodňovej ochrany </t>
  </si>
  <si>
    <t>Aktualizácia máp povodňového ohrozenia a máp povodňového rizika a aktualizácia plánov manažmentu povodňových rizík</t>
  </si>
  <si>
    <t>E</t>
  </si>
  <si>
    <t>Rozvoj metodík pre hodnotenie investičných rizík spojených s nepriaznivými dôsledkami zmeny klímy</t>
  </si>
  <si>
    <t>F</t>
  </si>
  <si>
    <t>Informačné programy o nepriaznivých dôsledkoch zmeny klímy a možnostiach proaktívnej adaptácie</t>
  </si>
  <si>
    <t>Rekultivácia uzavretých úložísk a opustených úložísk ťažobného odpadu (v súlade s princípom „znečisťovateľ platí“)</t>
  </si>
  <si>
    <t>(TC 5b)</t>
  </si>
  <si>
    <t>Modelovanie vývoja mimoriadnych udalostí, monitorovanie a vyhodnocovanie rizík viazaných na zmenu klímy a jej dôsledkov</t>
  </si>
  <si>
    <t>Budovanie systémov vyhodnocovania rizík a včasného varovania a pripravenosti na zvládanie mimoriadnych udalostí ovplyvnených zmenou klímy</t>
  </si>
  <si>
    <t>Hydrogeologický prieskum zameraný na vymedzenie deficitných oblastí a zabezpečenie zdrojov pitnej vody, ich akumuláciu a vodohospodársku bilanciu</t>
  </si>
  <si>
    <t>Podpora prevencie, prieskumu a sanácie havarijných zosuvov súvisiacich so zmenou klímy</t>
  </si>
  <si>
    <t>Optimalizácia systémov, služieb a posilnenie intervenčných kapacít pre manažment mimoriadnych udalostí na lokálnej a regionálnej úrovni</t>
  </si>
  <si>
    <t>Vybudovanie technickej a inštitucionálnej podpory špecializovaných záchranných modulov</t>
  </si>
  <si>
    <t>Inštalácia malých zariadení na využívanie OZE</t>
  </si>
  <si>
    <t>Zabezpečenie energetických auditov v MSP</t>
  </si>
  <si>
    <t>Implementácia opatrení z energetických auditov</t>
  </si>
  <si>
    <t>Zníženie energetickej náročnosti verejných budov</t>
  </si>
  <si>
    <t>Vypracovanie a implementácia nízkouhlíkových stratégií pre všetky typy území, najmä pre mestské oblasti vrátane aktualizácie a implementácie koncepcií rozvoja obcí v oblasti tepelnej energetiky</t>
  </si>
  <si>
    <t>Zavádzanie systémov energetického a environmentálneho manažérstva vrátane energetických auditov a schémy EÚ pre environmentálne manažérstvo a audit (EMAS)</t>
  </si>
  <si>
    <t>Rozvoj energetických služieb na regionálnej a miestnej úrovni</t>
  </si>
  <si>
    <t>Zvyšovanie informovanosti v oblasti nízkouhlíkových opatrení najmä energetickej efektívnosti a využívania OZE vrátane poradenstva, informačných kampaní, odborných seminárov, konferencií a aktivít pre deti a mládež</t>
  </si>
  <si>
    <t>Zavádzanie systému pravidelného poradenstva a zvyšovania informovanosti pre verejný sektor, energetických manažérov, audítorov, poskytovateľov energetických služieb</t>
  </si>
  <si>
    <t>Rozšírenie monitorovania energetickej efektívnosti o využívanie OZE a iné nízkouhlíkové opatrenia</t>
  </si>
  <si>
    <t>Výstavba, rekonštrukcia a modernizácia rozvodov tepla</t>
  </si>
  <si>
    <t>Výstavba, rekonštrukcia a modernizácia zariadení na výrobu elektriny a tepla vysoko účinnou kombinovanou výrobou s maximálnym tepelným príkonom 20 MW</t>
  </si>
  <si>
    <t>Celkový povrch rekultivovanej pôdy/Celková plocha rekultivovanej pôdy</t>
  </si>
  <si>
    <t>Počet subjektov so zlepšeným vybavením intervenčnými kapacitami</t>
  </si>
  <si>
    <t xml:space="preserve">Počet vytvorených špecializovaných  záchranných modulov </t>
  </si>
  <si>
    <t>Počet vytvorených modelov vývoja  mimoriadnych udalostí ovplyvnených zmenou klímy</t>
  </si>
  <si>
    <t xml:space="preserve"> (TC4) Energeticky efektívne nízkouhlíkové hospodárstvo vo všetkých sektoroch</t>
  </si>
  <si>
    <t>Technická pomoc</t>
  </si>
  <si>
    <t>Zabezpečenie efektívnej implementácie programu</t>
  </si>
  <si>
    <t>Zabezpečenie širokej informovanosti o programe a podpora budovania administratívnych kapacít prijímateľov</t>
  </si>
  <si>
    <t>Zavedenie a realizácia spravodlivého a motivačného systému odmeňovania zamestnancov vrátane financovania ich miezd</t>
  </si>
  <si>
    <t>Materiálno-technické zabezpečenie a prevádzková podpora implementácie OP</t>
  </si>
  <si>
    <t>Externé služby na podporu implementácie OP</t>
  </si>
  <si>
    <t>Vzdelávanie zamestnancov</t>
  </si>
  <si>
    <t>STAV K:</t>
  </si>
  <si>
    <t>AKTUALIZÁCIA:</t>
  </si>
  <si>
    <t>Zelenou farbou sú zvýraznené ukazovatele výkonnostného rámca.</t>
  </si>
  <si>
    <t>Červenou farbou sú zvýraznené štaistické/pomocné ukazovatele</t>
  </si>
  <si>
    <t>P0370, P0574</t>
  </si>
  <si>
    <t>Informačné a komunikačné nástroje</t>
  </si>
  <si>
    <t>Posilnenie administratívnych kapacít prijímateľov</t>
  </si>
  <si>
    <t>Fialovou farbou sú vyznačené chýbajúce údaje a nezrovnalosti</t>
  </si>
  <si>
    <t xml:space="preserve">Naplnenie míľnika/KIK 31.12.2018 </t>
  </si>
  <si>
    <t>Naplnenie cieľovej hodnoty (%)</t>
  </si>
  <si>
    <t>Naplnenie míľnika/KIK 31.12.2018  (%)</t>
  </si>
  <si>
    <t>B+C</t>
  </si>
  <si>
    <t>A+B</t>
  </si>
  <si>
    <t>Príprava na opätovné použite a zhodnocovanie so zameraním na recykláciu nie nebezpečných odpadov vrátane podpory systémov triedeného zberu komunálnych odpadov a podpory predchádzania vzniku biologicky rozložiteľných komunálnych odpadov</t>
  </si>
  <si>
    <t>Cieľová hodnota kľúčového implementačného kroku (KIK) 
k 31.12.2018</t>
  </si>
  <si>
    <t>CO20 / K0006</t>
  </si>
  <si>
    <t xml:space="preserve">ŠC 1 Zvýšenie podielu OZE na hrubej konečnej energetickej spotrebe SR </t>
  </si>
  <si>
    <t>Zvýšený počet obyvateľov so zlepšeným čistením komunálnych odpadových vôd (Σ)</t>
  </si>
  <si>
    <t xml:space="preserve">Budovanie verejných kanalizácií a čistiarní odpadových vôd pre aglomerácie nad 2 000 EO v zmysle záväzkov SR voči EÚ                             +           Podpora realizácie infraštruktúry v oblasti odkanalizovania a čistenia odpadových vôd, ktoré prispejú k zlepšeniu kvality vody v chránených vodohospodárskych oblastiach, v ktorých sú veľkokapacitné zdroje podzemných vôd, kde nebol identifikovaný dobrý stav vôd alebo bol identifikovaný vodný útvar ako rizikový                                                  </t>
  </si>
  <si>
    <r>
      <rPr>
        <b/>
        <sz val="10"/>
        <rFont val="Arial Narrow"/>
        <family val="2"/>
        <charset val="238"/>
      </rPr>
      <t xml:space="preserve">(6b) </t>
    </r>
    <r>
      <rPr>
        <sz val="10"/>
        <rFont val="Arial Narrow"/>
        <family val="2"/>
        <charset val="238"/>
      </rPr>
      <t xml:space="preserve">Investovanie do sektora </t>
    </r>
    <r>
      <rPr>
        <b/>
        <sz val="10"/>
        <rFont val="Arial Narrow"/>
        <family val="2"/>
        <charset val="238"/>
      </rPr>
      <t>vodného hospodárstva</t>
    </r>
    <r>
      <rPr>
        <sz val="10"/>
        <rFont val="Arial Narrow"/>
        <family val="2"/>
        <charset val="238"/>
      </rPr>
      <t xml:space="preserve"> s cieľom splniť požiadavky environmentálneho acquis Únie a pokryť potreby, ktoré členské štáty špecifikovali v súvislosti s investíciami nad rámec uvedených požiadaviek</t>
    </r>
  </si>
  <si>
    <t>Celková suma oprávnených výdavkov po ich certifikácii certifikačným orgánom (EÚ + ŠR + vlastné zdroje)</t>
  </si>
  <si>
    <r>
      <t>(</t>
    </r>
    <r>
      <rPr>
        <b/>
        <sz val="10"/>
        <rFont val="Arial Narrow"/>
        <family val="2"/>
        <charset val="238"/>
      </rPr>
      <t xml:space="preserve">5a)  </t>
    </r>
    <r>
      <rPr>
        <sz val="10"/>
        <rFont val="Arial Narrow"/>
        <family val="2"/>
        <charset val="238"/>
      </rPr>
      <t xml:space="preserve">Podpora investícií na </t>
    </r>
    <r>
      <rPr>
        <b/>
        <sz val="10"/>
        <rFont val="Arial Narrow"/>
        <family val="2"/>
        <charset val="238"/>
      </rPr>
      <t>prispôsobovanie sa zmene klímy</t>
    </r>
    <r>
      <rPr>
        <sz val="10"/>
        <rFont val="Arial Narrow"/>
        <family val="2"/>
        <charset val="238"/>
      </rPr>
      <t xml:space="preserve"> vrátane ekosystémových prístupov</t>
    </r>
  </si>
  <si>
    <t>A+B+C</t>
  </si>
  <si>
    <t xml:space="preserve">Výstavba zariadení využívajúcich biomasu prostredníctvom rekonštrukcie a modernizácie existujúcich energetických zariadení s maximálnym tepelným príkonom 20 MW na báze fosílnych palív         +                                                                                               Výstavba zariadení na:
•výrobu biometánu;
•využitie vodnej energie;
•využitie aerotermálnej, hydrotermálnej alebo geotermálnej energie s použitím tepelného čerpadla;
•využitie geotermálnej energie priamym využitím na výrobu tepla a prípadne aj v kombinácii s tepelným čerpadlom;
•výrobu a energetické využívanie bioplynu, skládkového plynu a plynu z čistiarní odpadových vôd                                  +                                                                             Inštalácia malých zariadení na využívanie OZE            </t>
  </si>
  <si>
    <t>Celková suma oprávnených výdavkov po ich certifikácii certifikačným orgánom  (EÚ + ŠR + vlastné zdroje)</t>
  </si>
  <si>
    <t>Celková suma oprávnených výdavkov po ich certifikácii certifikačným orgánom  (EÚ + ŠR + vlastné zdroje) MRR</t>
  </si>
  <si>
    <t>Celková suma oprávnených výdavkov po ich certifikácii certifikačným orgánom  (EÚ + ŠR + vlastné zdroje) VRR</t>
  </si>
  <si>
    <t>Naplnenie čiastkového cieľa k 31.12.2018  (%)</t>
  </si>
  <si>
    <t>Naplnenie čiastkového cieľa k 31.12.2018       (%)</t>
  </si>
  <si>
    <t>Naplnenie KIK 31.12.2018            (%)</t>
  </si>
  <si>
    <t>Naplnenie cieľovej hodnoty           (%)</t>
  </si>
  <si>
    <t>s plánovanýcm ukončením do 31.12.2018</t>
  </si>
  <si>
    <t>Naplnenie cieľovej hodnoty     (%)</t>
  </si>
  <si>
    <t>Naplnenie míľnika 31.12.2018  (%)</t>
  </si>
  <si>
    <t>Naplnenie KIK 31.12.2018  (%)</t>
  </si>
  <si>
    <t>EÚ výdavky</t>
  </si>
  <si>
    <t>EÚ+SR+vlastné výdavky</t>
  </si>
  <si>
    <t>EÚ+SR+vlastné výdavky pre projekty s ukončením do 31.12.2018</t>
  </si>
  <si>
    <t>EÚ+SR výdavky (žiadaný NFP)</t>
  </si>
  <si>
    <t>729 441,90</t>
  </si>
  <si>
    <t>541 698,85</t>
  </si>
  <si>
    <t>463 310,51</t>
  </si>
  <si>
    <t>457 556,08</t>
  </si>
  <si>
    <t xml:space="preserve">Obec Bajany </t>
  </si>
  <si>
    <t>Celková suma oprávnených výdavkov po ich certifikácii certifikačným orgánom (EÚ + SR + vlastné zdroje)</t>
  </si>
  <si>
    <t>Celková suma oprávnených výdavkov po ich certifikácii certifikačným orgánom (EÚ + SR + vlastné zdroje) MRR</t>
  </si>
  <si>
    <t>Celková suma oprávnených výdavkov po ich certifikácii certifikačným orgánom (EÚ + SR + vlastné zdroje) VRR</t>
  </si>
  <si>
    <t>EÚ+SR+vlastné výdavky pre projekty ukončené k 28.02.2017</t>
  </si>
  <si>
    <t>Stĺpec72</t>
  </si>
  <si>
    <t>Stĺpec73</t>
  </si>
  <si>
    <t>Stĺpec74</t>
  </si>
  <si>
    <t>Stĺpec75</t>
  </si>
  <si>
    <t>ŽoNFP v zásobníku</t>
  </si>
  <si>
    <t>1.2.1 + 1.2.2</t>
  </si>
  <si>
    <t>Stĺpec62</t>
  </si>
  <si>
    <t>Stĺpec63</t>
  </si>
  <si>
    <t>Stĺpec64</t>
  </si>
  <si>
    <t>Stĺpec65</t>
  </si>
  <si>
    <t>Čiastková hodnota ukazovateľa (míľnika) 
k 31.12.2018</t>
  </si>
  <si>
    <t>1 spolu</t>
  </si>
  <si>
    <t>2 spolu</t>
  </si>
  <si>
    <t>3 spolu</t>
  </si>
  <si>
    <t>4 spolu</t>
  </si>
  <si>
    <t>5 spolu</t>
  </si>
  <si>
    <t>Obec Jakubov</t>
  </si>
  <si>
    <t>Zefektívnenie triedeného zberu komunálneho odpadu v obci Jakubov</t>
  </si>
  <si>
    <t>Realizácia</t>
  </si>
  <si>
    <t>Podpora zhodnocovania biologicky rozložiteľného komunálneho odpadu v obci Beluša</t>
  </si>
  <si>
    <t>Obec Liptovské Revúce</t>
  </si>
  <si>
    <t>Zberný dvor odpadov – Liptovské Revúce</t>
  </si>
  <si>
    <t>obec Bešeňová</t>
  </si>
  <si>
    <t>Vybudovanie zberného dvora v obci Bešeňová</t>
  </si>
  <si>
    <t>Zberný dvor odpadu v obci Pata</t>
  </si>
  <si>
    <t>Obec Gajary</t>
  </si>
  <si>
    <t>Gajary – zberný dvor odpadov</t>
  </si>
  <si>
    <t>obec Búč</t>
  </si>
  <si>
    <t>Zberný dvor obce Búč</t>
  </si>
  <si>
    <t>Obec Oravská Polhora</t>
  </si>
  <si>
    <t>Zberný dvor Oravská Polhora</t>
  </si>
  <si>
    <t>obec Lokca</t>
  </si>
  <si>
    <t>Zberný dvor obce Lokca</t>
  </si>
  <si>
    <t>Obec Spišský Štiavnik</t>
  </si>
  <si>
    <t>Zlepšenie nakladania s odpadmi v obci Spišský Štiavnik</t>
  </si>
  <si>
    <t>Technické služby s.r.o.</t>
  </si>
  <si>
    <t>Triedený zber komunálnych odpadov v meste Dolný Kubín</t>
  </si>
  <si>
    <t>Obec Mengusovce</t>
  </si>
  <si>
    <t>Triedený zber komunálnych odpadov v obci</t>
  </si>
  <si>
    <t>Obec Slaská</t>
  </si>
  <si>
    <t>Nákup technológie pre triedený zber komunálnych odpadov v obci Slaská</t>
  </si>
  <si>
    <t>Obec Jablonov nad Turňou</t>
  </si>
  <si>
    <t>Zberný dvor odpadu v obci Jablonov nad Turňou</t>
  </si>
  <si>
    <t>Obec Močenok</t>
  </si>
  <si>
    <t>Technologické vybavenie zberného dvora v obci Močenok</t>
  </si>
  <si>
    <t>Obec Bešeňov</t>
  </si>
  <si>
    <t>Nákup hnuteľných vecí na podporu triedeného zberu</t>
  </si>
  <si>
    <t>Obec Štiavnik</t>
  </si>
  <si>
    <t>Nákup technológie do zberného dvora v obci Štiavnik</t>
  </si>
  <si>
    <t>Obec Sačurov</t>
  </si>
  <si>
    <t>Technologické vybavenie zberného dvora v obci Sačurov</t>
  </si>
  <si>
    <t>Obec Fričovce</t>
  </si>
  <si>
    <t>Zavedenie zberu biologicky rozložiteľného komunálneho odpadu v obci Fričovce</t>
  </si>
  <si>
    <t>Triedený zber komunálnych odpadov v obci Hranovnica</t>
  </si>
  <si>
    <t>Obec Lendak</t>
  </si>
  <si>
    <t>Zabezpečenie triedeného zberu komunálnych odpadov v Lendaku</t>
  </si>
  <si>
    <t>Obec Horná Mariková</t>
  </si>
  <si>
    <t>Podpora triedeného zberu komunálnych odpadov v obci Horná Mariková</t>
  </si>
  <si>
    <t>Obec Golianovo</t>
  </si>
  <si>
    <t>Technológia pre triedený zber v obci Golianovo</t>
  </si>
  <si>
    <t>Obec Miloslavov</t>
  </si>
  <si>
    <t>Vybudovanie zberného dvora v obci Miloslavov</t>
  </si>
  <si>
    <t>Obec Čaklov</t>
  </si>
  <si>
    <t>Rozšírenie separovaného zberu odpadu v obci Čaklov</t>
  </si>
  <si>
    <t>Obec Šoporňa</t>
  </si>
  <si>
    <t>Zberný dvor Šoporňa</t>
  </si>
  <si>
    <t>Obec Rabčice</t>
  </si>
  <si>
    <t>Zberný dvor Rabčice</t>
  </si>
  <si>
    <t>Zberný dvor Klin</t>
  </si>
  <si>
    <t>Obec Palárikovo</t>
  </si>
  <si>
    <t>Intenzifikácia regionálneho triedeného zberu komunálnych odpadov, Palárikovo.</t>
  </si>
  <si>
    <t>Rozšírenie triedeného zberu v Brezovej pod Bradlom</t>
  </si>
  <si>
    <t>Obec Hul</t>
  </si>
  <si>
    <t>Separovaný zber komunálneho odpadu v obci Hul</t>
  </si>
  <si>
    <t>Rozšírenie triedeného zberu v meste Sereď</t>
  </si>
  <si>
    <t>Technické služby mesta Prešov a.s.</t>
  </si>
  <si>
    <t>Skvalitnenie triedeného zberu komunálneho odpadu.- technika pre zvoz a spracovanie biologicky rozložiteľného komunálneho odpadu.</t>
  </si>
  <si>
    <t>Obec Veľké Ludince</t>
  </si>
  <si>
    <t>Zberný dvor odpadu Veľké Ludince</t>
  </si>
  <si>
    <t>Mesto Poprad</t>
  </si>
  <si>
    <t>Rozšírenie triedeného zberu biologicky rozložiteľného odpadu (BRKO) v meste Poprad</t>
  </si>
  <si>
    <t>Zber a zhodnotenie BRKO v meste Kolárovo</t>
  </si>
  <si>
    <t>Separovaný zber komunálneho odpadu v obci Rybník</t>
  </si>
  <si>
    <t>VPS Vysoké Tatry, s.r.o.</t>
  </si>
  <si>
    <t>Rozšírenie systému triedeného zberu KO v Meste Vysoké Tatry</t>
  </si>
  <si>
    <t>Obec Nesluša</t>
  </si>
  <si>
    <t>Novostavba zberného dvora v obci Nesluša parcela č. 3221/1</t>
  </si>
  <si>
    <t>Združenie obcí pre likvidáciu odpadu Poltár</t>
  </si>
  <si>
    <t>Technológia zhodnotenia komunálneho odpadu výrobou TAP a BRO</t>
  </si>
  <si>
    <t>Obec Varín</t>
  </si>
  <si>
    <t>Zberný dvor Varín</t>
  </si>
  <si>
    <t>Mesto Lučenec</t>
  </si>
  <si>
    <t>Zavedenie systému zberu BRO z rodinných domov v Meste Lučenec</t>
  </si>
  <si>
    <t>Obec Pucov</t>
  </si>
  <si>
    <t>Rozšírenie a zintenzívnenie separovaného zberu v obci Pucov</t>
  </si>
  <si>
    <t>Zberný dvor odpadov Gbely – druhá etapa</t>
  </si>
  <si>
    <t>Mestský podnik služieb Žarnovica s.r.o.</t>
  </si>
  <si>
    <t>Triedený zber komunálnych odpadov v Žarnovici</t>
  </si>
  <si>
    <t>Obec Trávnica</t>
  </si>
  <si>
    <t>Separovaný zberný dvor Trávnica</t>
  </si>
  <si>
    <t>Obec Kvakovce</t>
  </si>
  <si>
    <t>Zvýšenie kapacity triedeného zberu komunálnych odpadov v obci Kvakovce.</t>
  </si>
  <si>
    <t>Mesto Kremnica</t>
  </si>
  <si>
    <t>Technické vybavenie kompostoviska v meste Kremnica</t>
  </si>
  <si>
    <t>Obec Horné Srnie</t>
  </si>
  <si>
    <t>Intenzifikácia triedeného zberu komunálneho odpadu v obci Horné Srnie</t>
  </si>
  <si>
    <t>Posilnenie technických kapacít pre zber triedeného komunálneho odpadu v obci Trenčianske Stankovce</t>
  </si>
  <si>
    <t>Zhodnocovanie biologicky rozložiteľných odpadov Kysucké Nové Mesto</t>
  </si>
  <si>
    <t>Obec Čierny Balog</t>
  </si>
  <si>
    <t>Kompostovisko Čierny Balog</t>
  </si>
  <si>
    <t>Mesto Fiľakovo</t>
  </si>
  <si>
    <t>Kompostáreň mesta Fiľakovo - rozvoj odpadového hospodárstva II. etapa</t>
  </si>
  <si>
    <t>Obec Brestovany</t>
  </si>
  <si>
    <t>Dobudovanie infraštruktúry odpadového hospodárstva v obci Brestovany</t>
  </si>
  <si>
    <t>Obec Červeník</t>
  </si>
  <si>
    <t>Triedený zber komunálnych odpadov v obci Červeník</t>
  </si>
  <si>
    <t>Intenzifikácia zberu biologicky rozložiteľných odpadov v meste Levice</t>
  </si>
  <si>
    <t>Technické a technologické vybavenie zberného dvora v obci Bátorove Kosihy</t>
  </si>
  <si>
    <t>Modernizácia odpadového hospodárstva v obci Mužla</t>
  </si>
  <si>
    <t>Obec Svodín</t>
  </si>
  <si>
    <t>Modernizácia odpadového hospodárstva v obci Svodín</t>
  </si>
  <si>
    <t>Mesto Giraltovce</t>
  </si>
  <si>
    <t>Zariadenie na zhodnocovanie biologicky rozložiteľného odpadu - kompostáreň.</t>
  </si>
  <si>
    <t>Mesto Levoča – modernizácia zberného dvora a nákup manipulačnej techniky</t>
  </si>
  <si>
    <t>Obec Trhovište</t>
  </si>
  <si>
    <t>Strojové vybavenie zberného dvora v obci Trhovište</t>
  </si>
  <si>
    <t>Mestský podnik Dudince s.r.o.</t>
  </si>
  <si>
    <t>Triedený zber komunálnych odpadov a zhodnocovanie biologicky rozložiteľného komunálneho odpadu</t>
  </si>
  <si>
    <t>Zhodnotenie biologicky rozložiteľného komunálneho odpadu v obci Diviacka Nová Ves</t>
  </si>
  <si>
    <t>Obec Krajné</t>
  </si>
  <si>
    <t>Zefektívnenie systému triedeného zberu v obci Krajné</t>
  </si>
  <si>
    <t>Zhodnocovanie biologicky rozložiteľného komunálneho odpadu v obci Ráztočno</t>
  </si>
  <si>
    <t>Triedený zber komunálnych odpadov v obci Marcelová</t>
  </si>
  <si>
    <t>Obec Bystričany</t>
  </si>
  <si>
    <t>Zhodnocovanie biologicky rozložiteľného komunálneho odpadu v obci Bystričany</t>
  </si>
  <si>
    <t>Obec Unín</t>
  </si>
  <si>
    <t>Navýšenie technickej kapacity pre triedený zber Komunálnych odpadov v obci Unín</t>
  </si>
  <si>
    <t>Zberný dvor Orechová Potôň</t>
  </si>
  <si>
    <t>Zhodnocovanie biologicky rozložiteľného odpadu Ružomberok</t>
  </si>
  <si>
    <t>Obec Chrenovec - Brusno</t>
  </si>
  <si>
    <t>Zhodnocovanie biologicky rozložiteľného komunálneho odpadu v obci Chrenovec-Brusno</t>
  </si>
  <si>
    <t>Obec Dolné Orešany</t>
  </si>
  <si>
    <t>Podpora triedeného zberu komunálnych odpadov v obci Dolné Orešany</t>
  </si>
  <si>
    <t>obec Trakovice</t>
  </si>
  <si>
    <t>Zhodnocovanie biologicky rozložiteľného komunálneho odpadu v obci Trakovice</t>
  </si>
  <si>
    <t>Obec Divinka</t>
  </si>
  <si>
    <t>Intenzifikácia triedeného zberu v obci Divinka</t>
  </si>
  <si>
    <t>Obec Horná Súča</t>
  </si>
  <si>
    <t>Zberný dvor odpadov Horná Súča</t>
  </si>
  <si>
    <t>SLUŽBA, mestský podnik Stropkov</t>
  </si>
  <si>
    <t>Zhodnocovanie biologicky rozložiteľného komunálneho odpadu, Stropkov</t>
  </si>
  <si>
    <t>Obec Dolná Súča</t>
  </si>
  <si>
    <t>Intenzifikácia triedeného zberu v obci Dolná Súča</t>
  </si>
  <si>
    <t>Obecná kompostáreň Horná Súča</t>
  </si>
  <si>
    <t>Združenie obcí Púchovská dolina</t>
  </si>
  <si>
    <t>Intenzifikácia triedeného zberu združenia obcí Púchovskej Doliny</t>
  </si>
  <si>
    <t>Obec Valaliky</t>
  </si>
  <si>
    <t>Podpora triedeného zberu komunálnych odpadov v obci Valaliky</t>
  </si>
  <si>
    <t>Obec Strečno</t>
  </si>
  <si>
    <t>Zberný dvor Strečno</t>
  </si>
  <si>
    <t>Zberný dvor – Hliník nad Hronom</t>
  </si>
  <si>
    <t>Obec Dlhá nad Oravou</t>
  </si>
  <si>
    <t>Zberný dvor v obci Dlhá nad Oravou</t>
  </si>
  <si>
    <t>Obec Bohdanovce nad Trnavou</t>
  </si>
  <si>
    <t>Zberný dvor v obci Bohdanovce nad Trnavou</t>
  </si>
  <si>
    <t>Obec Vlčkovce</t>
  </si>
  <si>
    <t>Zberný dvor Vlčkovce</t>
  </si>
  <si>
    <t>Obec Vozokany</t>
  </si>
  <si>
    <t>Zberný dvor v obci Vozokany</t>
  </si>
  <si>
    <t>obec Brvnište</t>
  </si>
  <si>
    <t>Zberný dvor v obci Brvnište</t>
  </si>
  <si>
    <t>Modernizácia zberného dvora v Lednických Rovniach</t>
  </si>
  <si>
    <t>Obec Častkovce</t>
  </si>
  <si>
    <t>Zberný dvor - Častkovce</t>
  </si>
  <si>
    <t>Rozšírenie systému separovaného zberu odpadov na území mesta Želiezovce</t>
  </si>
  <si>
    <t>Obec Záhorská Ves</t>
  </si>
  <si>
    <t>Zberný dvor – Záhorská Ves</t>
  </si>
  <si>
    <t>Obec Hontianske Moravce</t>
  </si>
  <si>
    <t>Zberný dvor Hontianske Moravce</t>
  </si>
  <si>
    <t>Obec Dedina Mládeže</t>
  </si>
  <si>
    <t>Rozšírenie Ekodvora v obci Dedina Mládeže</t>
  </si>
  <si>
    <t>Obec Moča</t>
  </si>
  <si>
    <t>Zberný dvor Moča</t>
  </si>
  <si>
    <t>Obec Svätý Kríž</t>
  </si>
  <si>
    <t>Zberný dvor v obci Svätý Kríž</t>
  </si>
  <si>
    <t>Zberný dvor obce Medzibrodie nad Oravou</t>
  </si>
  <si>
    <t>Obec Prašník</t>
  </si>
  <si>
    <t>Zefektívnenie separovaného zberu komunálneho odpadu v obci Prašník</t>
  </si>
  <si>
    <t>Mesto Krupina</t>
  </si>
  <si>
    <t>Podpora triedeného zberu komunálnych odpadov -mesto Krupina</t>
  </si>
  <si>
    <t>Výstavba zberného dvora v obci Žaškov</t>
  </si>
  <si>
    <t>Obec Korňa</t>
  </si>
  <si>
    <t>Zberný dvor Korňa</t>
  </si>
  <si>
    <t>Obec Oravská Jasenica</t>
  </si>
  <si>
    <t>Zberný dvor Oravská Jasenica</t>
  </si>
  <si>
    <t>Obec Vyhne</t>
  </si>
  <si>
    <t>Zberný dvor Vyhne</t>
  </si>
  <si>
    <t>Obec Lazany</t>
  </si>
  <si>
    <t>Zberný dvor v obci Lazany</t>
  </si>
  <si>
    <t>Vybudovanie zberného dvora v meste Piešťany</t>
  </si>
  <si>
    <t>Združenie obcí VIESKY</t>
  </si>
  <si>
    <t>Zlepšenie systému separovaného zberu Združenia obcí VIESKY</t>
  </si>
  <si>
    <t>Obec Hrabušice</t>
  </si>
  <si>
    <t>„Zberný dvor“ v obci Hrabušice</t>
  </si>
  <si>
    <t>Obec Ľubotín</t>
  </si>
  <si>
    <t>Rozšírenie separovaného zberu v obci Ľubotín</t>
  </si>
  <si>
    <t>Obec Hatné</t>
  </si>
  <si>
    <t>Triedený zber komunálnych odpadov v obci Hatné</t>
  </si>
  <si>
    <t>obec Veľký Kýr</t>
  </si>
  <si>
    <t>Zberný dvor Veľký Kýr</t>
  </si>
  <si>
    <t>Obec Ipeľské Predmostie</t>
  </si>
  <si>
    <t>Zefektívnenie triedeného zberu v obci Ipeľské Predmostie</t>
  </si>
  <si>
    <t>Separovaný zber komunálneho odpadu v obci Bobrov</t>
  </si>
  <si>
    <t>Kompostáreň - Čadca</t>
  </si>
  <si>
    <t>Obec Rovinka</t>
  </si>
  <si>
    <t>Zberný dvor Rovinka – dostavba, dovybavenie, rozšírenie a realizácia zberných dvorov</t>
  </si>
  <si>
    <t>Obec Trnovec nad Váhom</t>
  </si>
  <si>
    <t>Zberný dvor Trnovec nad Váhom</t>
  </si>
  <si>
    <t>Ekodvor Gabčíkovo – separovaný zber odpadu</t>
  </si>
  <si>
    <t>Obec Horná Poruba</t>
  </si>
  <si>
    <t>Zberný dvor v obci Horná Poruba</t>
  </si>
  <si>
    <t>Regionálne centrum zhodnocovania biologicky rozložiteľných odpadov</t>
  </si>
  <si>
    <t>Mesto Handlová</t>
  </si>
  <si>
    <t>Kompostáreň Handlová</t>
  </si>
  <si>
    <t>Obec Lehnice</t>
  </si>
  <si>
    <t>Zvýšenie kvantitatívnej a kvalitatívnej úrovne separácie odpadov v obci Lehnice</t>
  </si>
  <si>
    <t>Zberný dvor Podolie</t>
  </si>
  <si>
    <t>Obec Dolná Streda</t>
  </si>
  <si>
    <t>Zberný dvor v obci Dolná Streda</t>
  </si>
  <si>
    <t>Obec Dobrá Niva</t>
  </si>
  <si>
    <t>Zberný dvor Dobrá Niva</t>
  </si>
  <si>
    <t>Obec Boleráz</t>
  </si>
  <si>
    <t>Zberný dvor triedeného komunálneho odpadu v obci Boleráz</t>
  </si>
  <si>
    <t>Mesto Nováky</t>
  </si>
  <si>
    <t>Triedený zber a zhodnotenie BRO v meste Nováky</t>
  </si>
  <si>
    <t>Obec Mostová</t>
  </si>
  <si>
    <t>Zberný dvor Mostová</t>
  </si>
  <si>
    <t>Triedený zber biologicky rozložiteľného odpadu Šahy</t>
  </si>
  <si>
    <t>Zber BRO pre kompostáreň v Liptovskom Mikuláši</t>
  </si>
  <si>
    <t>TEKOS, spol. s r.o.</t>
  </si>
  <si>
    <t>Zefektívnenie zberu BRO a DSO v okrese Malacky</t>
  </si>
  <si>
    <t>Mesto Brezno</t>
  </si>
  <si>
    <t>Zber a zhodnotenie BRO a DSO mesta Brezno</t>
  </si>
  <si>
    <t>Zberný dvor v obci Liešťany</t>
  </si>
  <si>
    <t>Obec Jasová</t>
  </si>
  <si>
    <t>Hospodársko - zberný dvor</t>
  </si>
  <si>
    <t>Obec Plevník-Drienové</t>
  </si>
  <si>
    <t>Intenzifikácia triedeného zberu v obci Plevník-Drienové</t>
  </si>
  <si>
    <t>Obec Zubrohlava</t>
  </si>
  <si>
    <t>Vybudovanie zberného dvora v obci Zubrohlava</t>
  </si>
  <si>
    <t>Obec Kamenec pod Vtáčnikom</t>
  </si>
  <si>
    <t>Zberný dvor Kamenec pod Vtáčnikom</t>
  </si>
  <si>
    <t>Obec Brestovec</t>
  </si>
  <si>
    <t>Eko dvor Brestovec</t>
  </si>
  <si>
    <t>Obec Lula</t>
  </si>
  <si>
    <t>Zberný dvor - Lula</t>
  </si>
  <si>
    <t>Obec Hruštín</t>
  </si>
  <si>
    <t>Zberný dvor na separáciu odpadu – obec Hruštín</t>
  </si>
  <si>
    <t>OPKZP-PO1-SC111-2016-FN</t>
  </si>
  <si>
    <t>Investovanie do sektora odpadového hospodárstva</t>
  </si>
  <si>
    <t>Obec Lozorno</t>
  </si>
  <si>
    <t>Rozšírenie kapacity ČOV Lozorno</t>
  </si>
  <si>
    <t>Rozšírenie kanalizácie v meste Myjava</t>
  </si>
  <si>
    <t>Obec Oravská Lesná</t>
  </si>
  <si>
    <t>Kanalizácia a ČOV Oravská Lesná</t>
  </si>
  <si>
    <t>Regionálna vodárenská spoločnosť Vlára-Váh, s.r.o.</t>
  </si>
  <si>
    <t>Odkanalizovanie Mikroregiónu Vlára - Váh a intenzifikácia ČOV Nemšová</t>
  </si>
  <si>
    <t>Turčianska vodárenská spoločnosť, a.s.</t>
  </si>
  <si>
    <t>Turčiansky Peter, Košťany nad Turcom - odkanalizovanie</t>
  </si>
  <si>
    <t>Svätý Peter, celo obecná splašková kanalizácia a ČOV</t>
  </si>
  <si>
    <t>Rekonštrukcia a modernizácia čistiarne odpadových vôd v obci Hranovnica</t>
  </si>
  <si>
    <t>Združenie obcí AGLOMERÁCIA HRONOVCE</t>
  </si>
  <si>
    <t>Vybudovanie kanalizácie a ČOV v aglomerácií Hronovce</t>
  </si>
  <si>
    <t>Obec Moravské Lieskové</t>
  </si>
  <si>
    <t>Kanalizácia a ČOV Moravské Lieskové</t>
  </si>
  <si>
    <t>Odkanalizovanie aglomerácie Kendice</t>
  </si>
  <si>
    <t>Obec Liptovská Teplička</t>
  </si>
  <si>
    <t>Dobudovanie ČOV a splaškovej kanalizácie v obci Liptovská Teplička - 2 stavba</t>
  </si>
  <si>
    <t>Vybudovanie a využívanie stokovej siete v aglomerácii obcí Podolie a Očkov</t>
  </si>
  <si>
    <t>ZDRUŽENIE OBCÍ ENVIROPARK POMORAVIE</t>
  </si>
  <si>
    <t>Dobudovanie kanalizačnej siete v aglomerácii Veľké Leváre a rozšírenie ČOV Gajary</t>
  </si>
  <si>
    <t>OPKZP-PO1-SC121-2015-VP</t>
  </si>
  <si>
    <t>Západoslovenská vodárenská spoločnosť, a.s.</t>
  </si>
  <si>
    <t>Čistiareň odpadových vôd SEVER</t>
  </si>
  <si>
    <t>Obec Bojná</t>
  </si>
  <si>
    <t>Kanalizácia a ČOV Bojná-Veľké Dvorany</t>
  </si>
  <si>
    <t>Obec Branč</t>
  </si>
  <si>
    <t>Dobudovanie kanalizačnej siete obce Branč a rozšírenie ČOV Branč</t>
  </si>
  <si>
    <t>Východoslovenská vodárenská spoločnosť, a.s. Košice</t>
  </si>
  <si>
    <t>Streda nad Bodrogom - kanalizácia a ČOV</t>
  </si>
  <si>
    <t>Trhovište, Bánovce nad Ondavou - kanalizácia a ČOV</t>
  </si>
  <si>
    <t>Kráľovský Chlmec - rozšírenie jednotnej a splaškovej kanalizácie a intenzifikácia ČOV</t>
  </si>
  <si>
    <t>Kanalizácia obcí Pohronská Polhora a Michalová</t>
  </si>
  <si>
    <t>Šoporňa - rozšírenie kanalizácie a ČOV</t>
  </si>
  <si>
    <t>Obecná kanalizácia a ČOV Tekovské Lužany</t>
  </si>
  <si>
    <t>Čierna nad Tisou - splašková kanalizácia priľahlých obcí a intenzifikácia ČOV</t>
  </si>
  <si>
    <t>Kanalizácia a ČOV obce Bátorové Kosihy</t>
  </si>
  <si>
    <t>Dobudovanie kanalizácie a intenzifikácia ČOV v Dvoroch nad Žitavou</t>
  </si>
  <si>
    <t>Čierny Balog, kanalizácia a ČOV</t>
  </si>
  <si>
    <t>Bratislavská vodárenská spoločnosť, a.s.</t>
  </si>
  <si>
    <t>ČOV Rohožník – rekonštrukcia a modernizácia</t>
  </si>
  <si>
    <t>Nesvady - rozšírenie kanalizácie a ČOV</t>
  </si>
  <si>
    <t>Malcov - Lenartov - kanalizácia a ČOV</t>
  </si>
  <si>
    <t>Stredoslovenská vodárenská spoločnosť,  a.s.</t>
  </si>
  <si>
    <t>Aglomerácia Sebedražie - kanalizácia</t>
  </si>
  <si>
    <t>OBEC Topoľníky</t>
  </si>
  <si>
    <t>Topoľníky - Kanalizácia a úprava ČOV</t>
  </si>
  <si>
    <t>Kanalizácia a ČOV - Víťaz</t>
  </si>
  <si>
    <t>Obec Okoč</t>
  </si>
  <si>
    <t>Okoč kanalizácia</t>
  </si>
  <si>
    <t>Aglomerácia Nedožery-Brezany - kanalizácia</t>
  </si>
  <si>
    <t>Očová, Zvolenská Slatina - odvedenie a čistenie odpadových vôd</t>
  </si>
  <si>
    <t>Aglomerácia Hriňová - kanalizácia a ČOV</t>
  </si>
  <si>
    <t>Aglomerácia Podbrezová – odkanalizovanie</t>
  </si>
  <si>
    <t>Aglomerácia Oslany, Čereňany - kanalizácia a ČOV</t>
  </si>
  <si>
    <t>Severoslovenské vodárne a kanalizácie, a. s.</t>
  </si>
  <si>
    <t>Zásobovanie vodou, odkanalizovanie a čistenie odpadových vôd regiónu Stredné Kysuce</t>
  </si>
  <si>
    <t>Aglomerácia Valaská - Valaská, Hronec - odkanalizovanie</t>
  </si>
  <si>
    <t>Aglomerácia Tornaľa - kanalizácia a ČOV</t>
  </si>
  <si>
    <t>Aglomerácia Nitrianske Pravno - kanalizácia a ČOV</t>
  </si>
  <si>
    <t>OPKZP-PO1-SC123-2015-8</t>
  </si>
  <si>
    <t>SLOVENSKÝ VODOHOSPODÁRSKY PODNIK,  štátny podnik</t>
  </si>
  <si>
    <t>Monitorovanie fyzikálno-chemických a biologických prvkov kvality vôd v roku 2015</t>
  </si>
  <si>
    <t>Riadne ukončený</t>
  </si>
  <si>
    <t>Výskumný ústav vodného hospodárstva</t>
  </si>
  <si>
    <t>Monitorovanie a hodnotenie stavu vôd – III. etapa</t>
  </si>
  <si>
    <t>Štátny geologický ústav Dionýza Štúra</t>
  </si>
  <si>
    <t>Monitorovanie chemického stavu a hodnotenie kvality podzemných vôd Slovenskej republiky</t>
  </si>
  <si>
    <t>SLOVENSKÝ VODOHOSPODÁRSKY PODNIK, štátny podnik</t>
  </si>
  <si>
    <t>Monitorovanie fyzikálno-chemických a biologických prvkov kvality vôd v rokoch 2016 - 2020</t>
  </si>
  <si>
    <t>OPKZP-PO1-SC141-2015-7</t>
  </si>
  <si>
    <t>U. S. Steel Košice, s.r.o.</t>
  </si>
  <si>
    <t>Odprášenie MPO v OC1</t>
  </si>
  <si>
    <t>Odprášenie OC2 - mimopecné odsírenie</t>
  </si>
  <si>
    <t>Žilinská teplárenská, a.s.</t>
  </si>
  <si>
    <t>Modernizácia technológie odlučovacieho zariadenia pre zníženie emisií tuhých znečisťujúcich látok v ŽT, a.s.</t>
  </si>
  <si>
    <t>Schüle Slovakia, s.r.o.</t>
  </si>
  <si>
    <t>Znižovanie emisií zo stacionárnych zdrojov znečisťovania ovzdušia v spoločnosti Schüle Slovakia, s.r.o.</t>
  </si>
  <si>
    <t>OPKZP-PO1-SC141-2016-14</t>
  </si>
  <si>
    <t>Odprašovanie aglomerácie – pás č. 1</t>
  </si>
  <si>
    <t>Odprašovanie aglomerácie – pás č. 2</t>
  </si>
  <si>
    <t>Odprašovanie aglomerácie – pás č.3</t>
  </si>
  <si>
    <t>Odprašovanie aglomerácie – pás č.4</t>
  </si>
  <si>
    <t>Odprášenie koncov spekacích pásov 1 a 2</t>
  </si>
  <si>
    <t>Odprášenie koncov spekacích pásov 3 a 4</t>
  </si>
  <si>
    <t>Odprášenie Úpravne uhlia</t>
  </si>
  <si>
    <t>KOSIT a.s.</t>
  </si>
  <si>
    <t>Zníženie emisií znečisťujúcich látok zo Spaľovne odpadov – Termovalorizátora linky kotla K1</t>
  </si>
  <si>
    <t>Kontrola emisií pre rudné mosty VP3 – Prestavba EO34</t>
  </si>
  <si>
    <t>Odprášenie OC2 – Odsírenie SUZE</t>
  </si>
  <si>
    <t>Kontrola emisií pre rudné mosty VP1</t>
  </si>
  <si>
    <t>Kontrola emisií pre rudné mosty VP2</t>
  </si>
  <si>
    <t>Odprášenie koksovej služby VKB1</t>
  </si>
  <si>
    <t>Odprášenie koksovej služby VKB3</t>
  </si>
  <si>
    <t>OPKZP-PO1-SC142-2015-4</t>
  </si>
  <si>
    <t>Zabezpečenie monitorovania environmentálnych záťaží Slovenska – 1.časť</t>
  </si>
  <si>
    <t>OPKZP-PO1-SC142-2015-3</t>
  </si>
  <si>
    <t>Geologický prieskum vybraných pravdepodobných environmentálnych záťaží</t>
  </si>
  <si>
    <t>OPKZP-PO4-SC411/421/431-2016-FN</t>
  </si>
  <si>
    <t>OPKZP-PO4-SC411/412-2015-NP1</t>
  </si>
  <si>
    <t>OPKZP-PO4-SC431-2015-6</t>
  </si>
  <si>
    <t xml:space="preserve">Skutočný stav 
</t>
  </si>
  <si>
    <t xml:space="preserve">Zazmluvnené spolu  </t>
  </si>
  <si>
    <t>Zazmluvnené s plánovaným ukončením do 31.12.2018</t>
  </si>
  <si>
    <t>CO30 (VRR)</t>
  </si>
  <si>
    <t>4.1.1 (MRR)</t>
  </si>
  <si>
    <t>4.1.2 (VRR)</t>
  </si>
  <si>
    <t>CO30 (MRR)</t>
  </si>
  <si>
    <t>Skutočný stav implementácie projektov k 28.02.2017 (vrátane ukončených)</t>
  </si>
  <si>
    <t>Skutočný stav  k 28.02.2017</t>
  </si>
  <si>
    <t>s ukončením do 31.12.2018</t>
  </si>
  <si>
    <t>skutočný stav - muži</t>
  </si>
  <si>
    <t>skutočný stav - ženy</t>
  </si>
  <si>
    <t>D0127</t>
  </si>
  <si>
    <t>P0130 /FTE/</t>
  </si>
  <si>
    <t>CO19/K0007</t>
  </si>
  <si>
    <t>CO19/  K0007</t>
  </si>
  <si>
    <t>ŠC 1 Zvýšenie výkonu malých zariadení na využívanie OZE v Bratislavskom samosprávnom kraji</t>
  </si>
  <si>
    <t>Inštalácia malých zariadení na využívanie OZE v Bratislavskom samosprávnom kraji</t>
  </si>
  <si>
    <t>P.č.</t>
  </si>
  <si>
    <t>Zazmluvnené (projekty ukončené, aj v realizácii) s ukončením k 31.12.2018</t>
  </si>
  <si>
    <t>zazmluvnené s ukončením do 31.12.2018</t>
  </si>
  <si>
    <t xml:space="preserve">Zazmluvnené projekty </t>
  </si>
  <si>
    <t>Zazmluvnené projekty SPOLU</t>
  </si>
  <si>
    <t>Stav ŽoNFP v zásobníku k 28.2.2017</t>
  </si>
  <si>
    <t>Hodnota</t>
  </si>
  <si>
    <t>Skutočný stav</t>
  </si>
  <si>
    <t>Stĺpec54</t>
  </si>
  <si>
    <t>Stĺpec55</t>
  </si>
  <si>
    <t>Stĺpec56</t>
  </si>
  <si>
    <t>Stĺpec57</t>
  </si>
  <si>
    <t>Stĺpec58</t>
  </si>
  <si>
    <t>Stĺpec59</t>
  </si>
  <si>
    <t>Stĺpec60</t>
  </si>
  <si>
    <t>Stĺpec61</t>
  </si>
  <si>
    <t>Stĺpec66</t>
  </si>
  <si>
    <t>Stĺpec67</t>
  </si>
  <si>
    <t>Stĺpec68</t>
  </si>
  <si>
    <t>Stĺpec69</t>
  </si>
  <si>
    <t>Stĺpec70</t>
  </si>
  <si>
    <t>Stĺpec71</t>
  </si>
  <si>
    <t>Stĺpec76</t>
  </si>
  <si>
    <t>Stĺpec77</t>
  </si>
  <si>
    <t>Stĺpec78</t>
  </si>
  <si>
    <t>Stĺpec79</t>
  </si>
  <si>
    <t>Stĺpec80</t>
  </si>
  <si>
    <t>Skutočný stav EÚ+SR+vlastné výdavky pre projekty ukončené k 28.02.2017</t>
  </si>
  <si>
    <t xml:space="preserve">!!! Stav v ITMS je Schválená - preto použité hodnoty ako schválené:
</t>
  </si>
  <si>
    <t>Podiel administratívnych kapacít vybavených materiálno-technickým vybavením z TP</t>
  </si>
  <si>
    <t xml:space="preserve">Príprava na opätovné použite a zhodnocovanie so zameraním na recykláciu nie nebezpečných odpadov vrátane podpory systémov triedeného zberu komunálnych odpadov a podpory predchádzania vzniku biologicky rozložiteľných komunálnych odpadov                                                                               +                                                                                             Príprava na opätovné použite a recyklácia nebezpečných odpadov       </t>
  </si>
  <si>
    <t xml:space="preserve">Preventívne opatrenia na ochranu pred povodňami viazané na vodný tok            +                                                                                               Preventívne opatrenia na ochranu pred povodňami realizované mimo vodných tokov            </t>
  </si>
  <si>
    <t>NIE</t>
  </si>
  <si>
    <t>Splnenie podmienok pre získanie výkonnostnej rezervy</t>
  </si>
  <si>
    <t>Celkový cieľ ukazovateľa 
k 31.12.2023</t>
  </si>
  <si>
    <t>Stĺpec210</t>
  </si>
  <si>
    <t>jeden na 75%, všetky ostatné na 85%</t>
  </si>
  <si>
    <t>obidva na 85%</t>
  </si>
  <si>
    <t>Zazmluvnené projekty &amp; schválené ŽoNFP</t>
  </si>
  <si>
    <t>Spolu</t>
  </si>
  <si>
    <t>1.4.1+ 1.4.2</t>
  </si>
  <si>
    <t>B+B</t>
  </si>
  <si>
    <t>Zvýšená kapacita výroby tepla z obnoviteľných zdrojov (MRR)</t>
  </si>
  <si>
    <t>Odhadované ročné zníženie emisií skleníkových plynov (MRR)</t>
  </si>
  <si>
    <t>Odhadované ročné zníženie emisií skleníkových plynov (VRR)</t>
  </si>
  <si>
    <r>
      <t>t ekviv. CO</t>
    </r>
    <r>
      <rPr>
        <vertAlign val="subscript"/>
        <sz val="10"/>
        <rFont val="Arial Narrow"/>
        <family val="2"/>
        <charset val="238"/>
      </rPr>
      <t>2</t>
    </r>
  </si>
  <si>
    <t>Zvýšená kapacita výroby tepla z obnoviteľných zdrojov (VRR)</t>
  </si>
  <si>
    <t>Čiastkový cieľ ukazovateľa (míľnik) 
k 31.12.2018</t>
  </si>
  <si>
    <r>
      <t>MW</t>
    </r>
    <r>
      <rPr>
        <vertAlign val="subscript"/>
        <sz val="10"/>
        <rFont val="Arial Narrow"/>
        <family val="2"/>
        <charset val="238"/>
      </rPr>
      <t>t</t>
    </r>
  </si>
  <si>
    <t>Zvýšená kapacita výroby energie z obnoviteľných zdrojov (MRR)</t>
  </si>
  <si>
    <t>CO34 (VRR)</t>
  </si>
  <si>
    <t>CO34(MRR)</t>
  </si>
  <si>
    <t>O0028 (MRR)</t>
  </si>
  <si>
    <t>Počet malých zariadení na využívanie OZE (MRR)</t>
  </si>
  <si>
    <t>O0028 (VRR)</t>
  </si>
  <si>
    <t>Počet malých zariadení na využívanie OZE (VRR)</t>
  </si>
  <si>
    <t>O0188 (MRR)</t>
  </si>
  <si>
    <t>Zvýšená kapacita výroby elektriny z obnoviteľných zdrojov (MRR)</t>
  </si>
  <si>
    <t>O0188 (VRR)</t>
  </si>
  <si>
    <t>Zvýšená kapacita výroby elektriny z obnoviteľných zdrojov (VRR)</t>
  </si>
  <si>
    <t>O0189 (MRR)</t>
  </si>
  <si>
    <t>O0189 (VRR)</t>
  </si>
  <si>
    <t>Príprava na opätovné použite a zhodnocovanie so zameraním na recykláciu nie nebezpečných odpadov vrátane podpory systémov triedeného zberu komunálnych odpadov a podpory predchádzania vzniku biologicky rozložiteľných komunálnych odpadov                                                                                                                                     +   Príprava na opätovné použite a recyklácia nebezpečných odpadov</t>
  </si>
  <si>
    <r>
      <t xml:space="preserve">Zvýšená kapacita </t>
    </r>
    <r>
      <rPr>
        <sz val="10"/>
        <rFont val="Arial Narrow"/>
        <family val="2"/>
        <charset val="238"/>
      </rPr>
      <t>recyklácie</t>
    </r>
    <r>
      <rPr>
        <sz val="10"/>
        <color rgb="FF000000"/>
        <rFont val="Arial Narrow"/>
        <family val="2"/>
        <charset val="238"/>
      </rPr>
      <t xml:space="preserve"> odpadu </t>
    </r>
  </si>
  <si>
    <t>Budovanie verejných kanalizácií a čistiarní odpadových vôd pre aglomerácie nad 2 000 EO v zmysle záväzkov SR voči EÚ                                              +                         Podpora realizácie infraštruktúry v oblasti odkanalizovania a čistenia odpadových vôd, ktoré prispejú k zlepšeniu kvality vody v chránených vodohospodárskych oblastiach, v ktorých sú veľkokapacitné zdroje podzemných vôd, kde nebol identifikovaný dobrý stav vôd alebo bol identifikovaný vodný útvar ako rizikový</t>
  </si>
  <si>
    <t>(6b) Investovanie do sektora vodného hospodárstva s cieľom splniť požiadavky environmentálneho acquis Únie a pokryť potreby, ktoré členské štáty špecifikovali v súvislosti s investíciami nad rámec uvedených požiadaviek</t>
  </si>
  <si>
    <t>Dobudovanie sústavy Natura 2000 a zabezpečenie starostlivosti o sústavu Natura 2000 a ďalšie chránené územia (vrátane území medzinárodného významu), ako aj chránené druhy   +  Zachovanie a obnova biodiverzity a ekosystémov a ich služieb prostredníctvom ich revitalizácie, obnovy a budovania zelenej infraštruktúry</t>
  </si>
  <si>
    <t>(6d) Ochrana a obnova biodiverzity a pôdy a podpora ekosystémových služieb, a to aj prostredníctvom sústavy NATURA 2000 a zelenej infraštruktúry</t>
  </si>
  <si>
    <t>Informovanie o ochrane ovzdušia a integrovanej prevencii a kontrole znečisťovania                  +                                                                                                                                                           Zlepšenie informovanosti o problematike environmentálnych záťaží</t>
  </si>
  <si>
    <t xml:space="preserve">Vodozádržné opatrenia v urbanizovanej krajine (intraviláne obcí) </t>
  </si>
  <si>
    <t xml:space="preserve">Preventívne opatrenia na ochranu pred povodňami viazané na vodný tok m                            +                                                                                                                                             Preventívne opatrenia na ochranu pred povodňami realizované mimo vodných tokov                </t>
  </si>
  <si>
    <t>(5a)  Podpora investícií na prispôsobovanie sa zmene klímy vrátane ekosystémových prístupov</t>
  </si>
  <si>
    <t xml:space="preserve">Výstavba zariadení využívajúcich biomasu prostredníctvom rekonštrukcie a modernizácie existujúcich energetických zariadení s maximálnym tepelným príkonom 20 MW na báze fosílnych palív  </t>
  </si>
  <si>
    <t>Výstavba zariadení využívajúcich biomasu prostredníctvom rekonštrukcie a modernizácie existujúcich energetických zariadení s maximálnym tepelným príkonom 20 MW na báze fosílnych palív                                                                                              +       Výstavba zariadení na:
•výrobu biometánu;  •využitie vodnej energie;  •využitie aerotermálnej, hydrotermálnej alebo geotermálnej energie s použitím tepelného čerpadla;
•využitie geotermálnej energie priamym využitím na výrobu tepla a prípadne aj v kombinácii s tepelným čerpadlom;  •výrobu a energetické využívanie bioplynu, skládkového plynu a plynu z čistiarní odpadových vôd                                                         +         Inštalácia malých zariadení na využívanie OZE</t>
  </si>
  <si>
    <t xml:space="preserve">  Inštalácia malých zariadení na využívanie OZE</t>
  </si>
  <si>
    <t>Zazmluvnené projekty s ukončením k 28.02.2017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</si>
</sst>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000"/>
    <numFmt numFmtId="165" formatCode="#,##0.000"/>
    <numFmt numFmtId="166" formatCode="m\/yyyy"/>
    <numFmt numFmtId="167" formatCode="[$-409]mmm\-yy;@"/>
    <numFmt numFmtId="168" formatCode="#,##0.0"/>
  </numFmts>
  <fonts count="5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vertAlign val="subscript"/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  <charset val="238"/>
    </font>
    <font>
      <sz val="10"/>
      <color indexed="8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</font>
    <font>
      <sz val="10"/>
      <name val="Arial Narrow"/>
    </font>
    <font>
      <sz val="9"/>
      <color indexed="81"/>
      <name val="Segoe UI"/>
      <charset val="1"/>
    </font>
    <font>
      <sz val="11"/>
      <color rgb="FFFF0000"/>
      <name val="Arial Narrow"/>
      <family val="2"/>
      <charset val="238"/>
    </font>
    <font>
      <sz val="11"/>
      <color rgb="FF00B05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rgb="FF0070C0"/>
      <name val="Arial Narrow"/>
      <family val="2"/>
      <charset val="238"/>
    </font>
    <font>
      <i/>
      <sz val="10"/>
      <name val="Arial Narrow"/>
      <family val="2"/>
      <charset val="238"/>
    </font>
    <font>
      <vertAlign val="subscript"/>
      <sz val="10"/>
      <name val="Arial Narrow"/>
      <family val="2"/>
      <charset val="238"/>
    </font>
    <font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FF0000"/>
      <name val="Arial Narrow"/>
      <family val="2"/>
      <charset val="238"/>
    </font>
    <font>
      <sz val="11"/>
      <color rgb="FF0070C0"/>
      <name val="Arial Narrow"/>
      <family val="2"/>
      <charset val="238"/>
    </font>
    <font>
      <sz val="1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AA30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12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633">
    <xf numFmtId="0" fontId="0" fillId="0" borderId="0" xfId="0"/>
    <xf numFmtId="0" fontId="4" fillId="0" borderId="2" xfId="2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left" vertical="center" wrapText="1"/>
    </xf>
    <xf numFmtId="0" fontId="4" fillId="0" borderId="2" xfId="3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2" xfId="3" applyNumberFormat="1" applyFont="1" applyFill="1" applyBorder="1" applyAlignment="1">
      <alignment horizontal="center" vertical="center" wrapText="1"/>
    </xf>
    <xf numFmtId="164" fontId="4" fillId="0" borderId="0" xfId="3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164" fontId="4" fillId="0" borderId="5" xfId="3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9" fillId="0" borderId="2" xfId="0" applyFont="1" applyBorder="1"/>
    <xf numFmtId="167" fontId="4" fillId="0" borderId="2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Fill="1" applyBorder="1"/>
    <xf numFmtId="0" fontId="4" fillId="0" borderId="2" xfId="2" applyFont="1" applyFill="1" applyBorder="1" applyAlignment="1">
      <alignment vertical="top"/>
    </xf>
    <xf numFmtId="165" fontId="4" fillId="0" borderId="2" xfId="3" applyNumberFormat="1" applyFont="1" applyFill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4" xfId="3" applyNumberFormat="1" applyFont="1" applyFill="1" applyBorder="1" applyAlignment="1">
      <alignment horizontal="right" vertical="center" wrapText="1"/>
    </xf>
    <xf numFmtId="0" fontId="4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9" fillId="0" borderId="3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4" fillId="0" borderId="6" xfId="2" applyFont="1" applyFill="1" applyBorder="1" applyAlignment="1">
      <alignment horizontal="center" vertical="center" wrapText="1"/>
    </xf>
    <xf numFmtId="165" fontId="4" fillId="0" borderId="6" xfId="3" applyNumberFormat="1" applyFont="1" applyFill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/>
    </xf>
    <xf numFmtId="165" fontId="9" fillId="0" borderId="10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4" fillId="0" borderId="4" xfId="2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right"/>
    </xf>
    <xf numFmtId="0" fontId="4" fillId="6" borderId="2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165" fontId="4" fillId="0" borderId="3" xfId="3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center"/>
    </xf>
    <xf numFmtId="0" fontId="9" fillId="0" borderId="4" xfId="0" applyFont="1" applyFill="1" applyBorder="1"/>
    <xf numFmtId="0" fontId="4" fillId="0" borderId="4" xfId="2" applyFont="1" applyFill="1" applyBorder="1" applyAlignment="1">
      <alignment vertical="top"/>
    </xf>
    <xf numFmtId="167" fontId="4" fillId="0" borderId="4" xfId="2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/>
    </xf>
    <xf numFmtId="0" fontId="9" fillId="0" borderId="6" xfId="0" applyFont="1" applyFill="1" applyBorder="1"/>
    <xf numFmtId="0" fontId="4" fillId="0" borderId="6" xfId="2" applyFont="1" applyFill="1" applyBorder="1" applyAlignment="1">
      <alignment vertical="top"/>
    </xf>
    <xf numFmtId="167" fontId="4" fillId="0" borderId="6" xfId="2" applyNumberFormat="1" applyFont="1" applyFill="1" applyBorder="1" applyAlignment="1">
      <alignment horizontal="center" vertical="center" wrapText="1"/>
    </xf>
    <xf numFmtId="165" fontId="4" fillId="0" borderId="10" xfId="3" applyNumberFormat="1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vertical="top" wrapText="1"/>
    </xf>
    <xf numFmtId="0" fontId="4" fillId="0" borderId="13" xfId="2" applyFont="1" applyFill="1" applyBorder="1" applyAlignment="1">
      <alignment horizontal="center" vertical="center" wrapText="1"/>
    </xf>
    <xf numFmtId="165" fontId="4" fillId="0" borderId="7" xfId="3" applyNumberFormat="1" applyFont="1" applyFill="1" applyBorder="1" applyAlignment="1">
      <alignment horizontal="right" vertical="center" wrapText="1"/>
    </xf>
    <xf numFmtId="0" fontId="12" fillId="0" borderId="2" xfId="4" applyBorder="1"/>
    <xf numFmtId="0" fontId="4" fillId="0" borderId="2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center" wrapText="1"/>
    </xf>
    <xf numFmtId="166" fontId="0" fillId="0" borderId="2" xfId="0" applyNumberFormat="1" applyBorder="1" applyAlignment="1">
      <alignment horizontal="right" vertical="top" wrapText="1"/>
    </xf>
    <xf numFmtId="164" fontId="4" fillId="0" borderId="2" xfId="3" applyNumberFormat="1" applyFont="1" applyFill="1" applyBorder="1" applyAlignment="1">
      <alignment horizontal="right" vertical="top" wrapText="1"/>
    </xf>
    <xf numFmtId="0" fontId="4" fillId="0" borderId="2" xfId="2" applyFont="1" applyFill="1" applyBorder="1" applyAlignment="1">
      <alignment horizontal="left" vertical="top"/>
    </xf>
    <xf numFmtId="0" fontId="12" fillId="0" borderId="2" xfId="4" applyBorder="1" applyAlignment="1">
      <alignment vertical="top"/>
    </xf>
    <xf numFmtId="0" fontId="0" fillId="0" borderId="0" xfId="0" applyAlignment="1">
      <alignment vertical="top"/>
    </xf>
    <xf numFmtId="166" fontId="0" fillId="0" borderId="2" xfId="0" applyNumberFormat="1" applyBorder="1" applyAlignment="1">
      <alignment wrapText="1"/>
    </xf>
    <xf numFmtId="0" fontId="4" fillId="0" borderId="2" xfId="3" applyFont="1" applyFill="1" applyBorder="1" applyAlignment="1">
      <alignment vertical="top" wrapText="1"/>
    </xf>
    <xf numFmtId="0" fontId="4" fillId="0" borderId="2" xfId="3" applyFont="1" applyFill="1" applyBorder="1" applyAlignment="1">
      <alignment vertical="top"/>
    </xf>
    <xf numFmtId="0" fontId="0" fillId="0" borderId="2" xfId="0" applyBorder="1"/>
    <xf numFmtId="0" fontId="0" fillId="0" borderId="2" xfId="0" applyBorder="1" applyAlignment="1">
      <alignment vertical="top"/>
    </xf>
    <xf numFmtId="0" fontId="4" fillId="0" borderId="2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left"/>
    </xf>
    <xf numFmtId="164" fontId="4" fillId="0" borderId="2" xfId="3" applyNumberFormat="1" applyFont="1" applyFill="1" applyBorder="1" applyAlignment="1">
      <alignment horizontal="right" wrapText="1"/>
    </xf>
    <xf numFmtId="0" fontId="0" fillId="0" borderId="0" xfId="0" applyAlignment="1"/>
    <xf numFmtId="164" fontId="4" fillId="0" borderId="2" xfId="3" applyNumberFormat="1" applyFont="1" applyFill="1" applyBorder="1" applyAlignment="1">
      <alignment horizontal="right"/>
    </xf>
    <xf numFmtId="0" fontId="4" fillId="0" borderId="2" xfId="3" applyFont="1" applyFill="1" applyBorder="1" applyAlignment="1">
      <alignment horizontal="left"/>
    </xf>
    <xf numFmtId="164" fontId="4" fillId="0" borderId="2" xfId="3" applyNumberFormat="1" applyFont="1" applyFill="1" applyBorder="1" applyAlignment="1">
      <alignment horizontal="center" vertical="top" wrapText="1"/>
    </xf>
    <xf numFmtId="164" fontId="8" fillId="0" borderId="2" xfId="3" applyNumberFormat="1" applyFont="1" applyFill="1" applyBorder="1" applyAlignment="1">
      <alignment horizontal="center" vertical="top" wrapText="1"/>
    </xf>
    <xf numFmtId="164" fontId="0" fillId="0" borderId="2" xfId="0" applyNumberFormat="1" applyBorder="1" applyAlignment="1">
      <alignment horizontal="right" vertical="top"/>
    </xf>
    <xf numFmtId="16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 wrapText="1"/>
    </xf>
    <xf numFmtId="166" fontId="0" fillId="0" borderId="2" xfId="0" applyNumberFormat="1" applyBorder="1" applyAlignment="1">
      <alignment horizontal="right"/>
    </xf>
    <xf numFmtId="164" fontId="0" fillId="0" borderId="2" xfId="0" applyNumberFormat="1" applyBorder="1"/>
    <xf numFmtId="0" fontId="11" fillId="0" borderId="2" xfId="0" applyFont="1" applyBorder="1"/>
    <xf numFmtId="0" fontId="11" fillId="0" borderId="0" xfId="0" applyFont="1"/>
    <xf numFmtId="164" fontId="0" fillId="0" borderId="9" xfId="0" applyNumberFormat="1" applyBorder="1"/>
    <xf numFmtId="0" fontId="2" fillId="0" borderId="2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wrapText="1"/>
    </xf>
    <xf numFmtId="164" fontId="11" fillId="0" borderId="2" xfId="0" applyNumberFormat="1" applyFont="1" applyBorder="1"/>
    <xf numFmtId="164" fontId="2" fillId="0" borderId="2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right" vertical="center" wrapText="1"/>
    </xf>
    <xf numFmtId="0" fontId="12" fillId="0" borderId="2" xfId="4" applyBorder="1" applyAlignment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vertical="top"/>
    </xf>
    <xf numFmtId="167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Border="1" applyAlignment="1">
      <alignment horizontal="right"/>
    </xf>
    <xf numFmtId="165" fontId="4" fillId="0" borderId="6" xfId="0" applyNumberFormat="1" applyFont="1" applyFill="1" applyBorder="1" applyAlignment="1" applyProtection="1">
      <alignment horizontal="right" vertical="center" wrapText="1"/>
    </xf>
    <xf numFmtId="0" fontId="13" fillId="0" borderId="2" xfId="4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3" borderId="0" xfId="0" applyFill="1"/>
    <xf numFmtId="0" fontId="0" fillId="10" borderId="0" xfId="0" applyFill="1"/>
    <xf numFmtId="0" fontId="0" fillId="9" borderId="0" xfId="0" applyFill="1"/>
    <xf numFmtId="0" fontId="0" fillId="11" borderId="0" xfId="0" applyFill="1"/>
    <xf numFmtId="0" fontId="0" fillId="8" borderId="0" xfId="0" applyFill="1"/>
    <xf numFmtId="0" fontId="9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right" vertical="center" wrapText="1"/>
    </xf>
    <xf numFmtId="0" fontId="2" fillId="4" borderId="2" xfId="1" applyFont="1" applyFill="1" applyBorder="1" applyAlignment="1">
      <alignment horizontal="right" vertical="center" wrapText="1"/>
    </xf>
    <xf numFmtId="0" fontId="2" fillId="5" borderId="2" xfId="1" applyFont="1" applyFill="1" applyBorder="1" applyAlignment="1">
      <alignment horizontal="right" vertical="center" wrapText="1"/>
    </xf>
    <xf numFmtId="164" fontId="4" fillId="0" borderId="2" xfId="2" applyNumberFormat="1" applyFont="1" applyFill="1" applyBorder="1" applyAlignment="1">
      <alignment horizontal="right" vertical="center" wrapText="1"/>
    </xf>
    <xf numFmtId="164" fontId="4" fillId="4" borderId="2" xfId="2" applyNumberFormat="1" applyFont="1" applyFill="1" applyBorder="1" applyAlignment="1">
      <alignment horizontal="right" vertical="center" wrapText="1"/>
    </xf>
    <xf numFmtId="164" fontId="4" fillId="5" borderId="2" xfId="2" applyNumberFormat="1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13" borderId="2" xfId="0" applyFont="1" applyFill="1" applyBorder="1" applyAlignment="1">
      <alignment horizontal="center" vertical="top" wrapText="1"/>
    </xf>
    <xf numFmtId="0" fontId="18" fillId="13" borderId="2" xfId="0" applyFont="1" applyFill="1" applyBorder="1" applyAlignment="1">
      <alignment horizontal="left" vertical="top" wrapText="1"/>
    </xf>
    <xf numFmtId="0" fontId="18" fillId="18" borderId="2" xfId="0" applyFont="1" applyFill="1" applyBorder="1" applyAlignment="1">
      <alignment horizontal="left" vertical="top" wrapText="1"/>
    </xf>
    <xf numFmtId="0" fontId="18" fillId="18" borderId="2" xfId="0" applyFont="1" applyFill="1" applyBorder="1" applyAlignment="1">
      <alignment horizontal="center" vertical="top" wrapText="1"/>
    </xf>
    <xf numFmtId="0" fontId="9" fillId="18" borderId="2" xfId="0" applyFont="1" applyFill="1" applyBorder="1" applyAlignment="1">
      <alignment horizontal="left" vertical="top" wrapText="1"/>
    </xf>
    <xf numFmtId="0" fontId="9" fillId="18" borderId="2" xfId="0" applyFont="1" applyFill="1" applyBorder="1" applyAlignment="1">
      <alignment horizontal="center" vertical="top" wrapText="1"/>
    </xf>
    <xf numFmtId="0" fontId="18" fillId="13" borderId="2" xfId="0" applyFont="1" applyFill="1" applyBorder="1" applyAlignment="1">
      <alignment horizontal="center" vertical="top" wrapText="1"/>
    </xf>
    <xf numFmtId="0" fontId="18" fillId="14" borderId="2" xfId="0" applyFont="1" applyFill="1" applyBorder="1" applyAlignment="1">
      <alignment horizontal="center" vertical="top" wrapText="1"/>
    </xf>
    <xf numFmtId="0" fontId="18" fillId="14" borderId="2" xfId="0" applyFont="1" applyFill="1" applyBorder="1" applyAlignment="1">
      <alignment horizontal="left" vertical="top" wrapText="1"/>
    </xf>
    <xf numFmtId="0" fontId="9" fillId="18" borderId="2" xfId="0" applyFont="1" applyFill="1" applyBorder="1" applyAlignment="1">
      <alignment horizontal="left" vertical="top"/>
    </xf>
    <xf numFmtId="0" fontId="9" fillId="18" borderId="2" xfId="0" applyFont="1" applyFill="1" applyBorder="1" applyAlignment="1">
      <alignment horizontal="center" vertical="top"/>
    </xf>
    <xf numFmtId="0" fontId="18" fillId="16" borderId="2" xfId="0" applyFont="1" applyFill="1" applyBorder="1" applyAlignment="1">
      <alignment horizontal="left" vertical="top" wrapText="1"/>
    </xf>
    <xf numFmtId="0" fontId="4" fillId="18" borderId="2" xfId="0" applyFont="1" applyFill="1" applyBorder="1" applyAlignment="1">
      <alignment horizontal="left" vertical="top" wrapText="1"/>
    </xf>
    <xf numFmtId="0" fontId="4" fillId="16" borderId="2" xfId="0" applyFont="1" applyFill="1" applyBorder="1" applyAlignment="1">
      <alignment horizontal="left" vertical="top" wrapText="1"/>
    </xf>
    <xf numFmtId="0" fontId="18" fillId="13" borderId="20" xfId="0" applyFont="1" applyFill="1" applyBorder="1" applyAlignment="1">
      <alignment horizontal="left" vertical="top" wrapText="1"/>
    </xf>
    <xf numFmtId="0" fontId="9" fillId="13" borderId="20" xfId="0" applyFont="1" applyFill="1" applyBorder="1" applyAlignment="1">
      <alignment horizontal="center" vertical="top"/>
    </xf>
    <xf numFmtId="0" fontId="4" fillId="14" borderId="20" xfId="0" applyFont="1" applyFill="1" applyBorder="1" applyAlignment="1">
      <alignment horizontal="left" vertical="top" wrapText="1"/>
    </xf>
    <xf numFmtId="0" fontId="9" fillId="15" borderId="20" xfId="0" applyFont="1" applyFill="1" applyBorder="1" applyAlignment="1">
      <alignment horizontal="center" vertical="top"/>
    </xf>
    <xf numFmtId="10" fontId="9" fillId="19" borderId="20" xfId="6" applyNumberFormat="1" applyFont="1" applyFill="1" applyBorder="1" applyAlignment="1">
      <alignment horizontal="left" vertical="top" wrapText="1"/>
    </xf>
    <xf numFmtId="0" fontId="9" fillId="19" borderId="20" xfId="0" applyFont="1" applyFill="1" applyBorder="1" applyAlignment="1">
      <alignment horizontal="left" vertical="top" wrapText="1"/>
    </xf>
    <xf numFmtId="10" fontId="9" fillId="19" borderId="2" xfId="6" applyNumberFormat="1" applyFont="1" applyFill="1" applyBorder="1" applyAlignment="1">
      <alignment horizontal="left" vertical="top" wrapText="1"/>
    </xf>
    <xf numFmtId="49" fontId="4" fillId="0" borderId="0" xfId="3" applyNumberFormat="1" applyFont="1" applyFill="1" applyBorder="1" applyAlignment="1">
      <alignment horizontal="center" vertical="center" wrapText="1"/>
    </xf>
    <xf numFmtId="4" fontId="9" fillId="16" borderId="2" xfId="0" applyNumberFormat="1" applyFont="1" applyFill="1" applyBorder="1" applyAlignment="1">
      <alignment horizontal="right" vertical="top" wrapText="1"/>
    </xf>
    <xf numFmtId="4" fontId="9" fillId="16" borderId="3" xfId="0" applyNumberFormat="1" applyFont="1" applyFill="1" applyBorder="1" applyAlignment="1">
      <alignment horizontal="right" vertical="top" wrapText="1"/>
    </xf>
    <xf numFmtId="4" fontId="9" fillId="18" borderId="2" xfId="0" applyNumberFormat="1" applyFont="1" applyFill="1" applyBorder="1" applyAlignment="1">
      <alignment horizontal="right" vertical="top" wrapText="1"/>
    </xf>
    <xf numFmtId="4" fontId="9" fillId="18" borderId="3" xfId="0" applyNumberFormat="1" applyFont="1" applyFill="1" applyBorder="1" applyAlignment="1">
      <alignment horizontal="right" vertical="top" wrapText="1"/>
    </xf>
    <xf numFmtId="10" fontId="17" fillId="9" borderId="10" xfId="6" applyNumberFormat="1" applyFont="1" applyFill="1" applyBorder="1" applyAlignment="1">
      <alignment horizontal="center" vertical="center" wrapText="1"/>
    </xf>
    <xf numFmtId="0" fontId="9" fillId="20" borderId="0" xfId="0" applyFont="1" applyFill="1" applyBorder="1" applyAlignment="1">
      <alignment horizontal="left" vertical="center"/>
    </xf>
    <xf numFmtId="0" fontId="9" fillId="12" borderId="0" xfId="0" applyFont="1" applyFill="1" applyBorder="1" applyAlignment="1">
      <alignment horizontal="left" vertical="center"/>
    </xf>
    <xf numFmtId="0" fontId="21" fillId="12" borderId="0" xfId="0" applyFont="1" applyFill="1" applyBorder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4" fontId="9" fillId="0" borderId="0" xfId="0" applyNumberFormat="1" applyFont="1"/>
    <xf numFmtId="0" fontId="9" fillId="0" borderId="0" xfId="0" applyFont="1" applyAlignment="1">
      <alignment vertical="top"/>
    </xf>
    <xf numFmtId="0" fontId="4" fillId="19" borderId="2" xfId="0" applyFont="1" applyFill="1" applyBorder="1" applyAlignment="1">
      <alignment vertical="top"/>
    </xf>
    <xf numFmtId="0" fontId="4" fillId="19" borderId="2" xfId="0" applyFont="1" applyFill="1" applyBorder="1" applyAlignment="1">
      <alignment vertical="top" wrapText="1"/>
    </xf>
    <xf numFmtId="0" fontId="9" fillId="19" borderId="20" xfId="0" applyFont="1" applyFill="1" applyBorder="1" applyAlignment="1">
      <alignment vertical="top"/>
    </xf>
    <xf numFmtId="4" fontId="9" fillId="19" borderId="20" xfId="0" applyNumberFormat="1" applyFont="1" applyFill="1" applyBorder="1" applyAlignment="1">
      <alignment horizontal="right" vertical="top"/>
    </xf>
    <xf numFmtId="0" fontId="9" fillId="19" borderId="2" xfId="0" applyFont="1" applyFill="1" applyBorder="1" applyAlignment="1">
      <alignment vertical="top"/>
    </xf>
    <xf numFmtId="4" fontId="9" fillId="19" borderId="2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17" fillId="0" borderId="0" xfId="0" applyFont="1" applyAlignment="1">
      <alignment vertical="top" wrapText="1"/>
    </xf>
    <xf numFmtId="0" fontId="22" fillId="0" borderId="0" xfId="0" applyFont="1"/>
    <xf numFmtId="14" fontId="22" fillId="0" borderId="0" xfId="0" applyNumberFormat="1" applyFont="1" applyAlignment="1">
      <alignment horizontal="left"/>
    </xf>
    <xf numFmtId="0" fontId="23" fillId="0" borderId="0" xfId="0" applyFont="1"/>
    <xf numFmtId="0" fontId="4" fillId="15" borderId="2" xfId="0" applyFont="1" applyFill="1" applyBorder="1" applyAlignment="1">
      <alignment horizontal="left" vertical="top" wrapText="1"/>
    </xf>
    <xf numFmtId="0" fontId="9" fillId="13" borderId="2" xfId="0" applyFont="1" applyFill="1" applyBorder="1" applyAlignment="1">
      <alignment horizontal="left" vertical="top" wrapText="1"/>
    </xf>
    <xf numFmtId="0" fontId="4" fillId="13" borderId="2" xfId="0" applyFont="1" applyFill="1" applyBorder="1" applyAlignment="1">
      <alignment horizontal="left" vertical="top" wrapText="1"/>
    </xf>
    <xf numFmtId="0" fontId="9" fillId="13" borderId="20" xfId="0" applyFont="1" applyFill="1" applyBorder="1" applyAlignment="1">
      <alignment horizontal="left" vertical="top" wrapText="1"/>
    </xf>
    <xf numFmtId="0" fontId="9" fillId="19" borderId="2" xfId="0" applyFont="1" applyFill="1" applyBorder="1" applyAlignment="1">
      <alignment horizontal="left" vertical="top" wrapText="1"/>
    </xf>
    <xf numFmtId="10" fontId="9" fillId="13" borderId="20" xfId="6" applyNumberFormat="1" applyFont="1" applyFill="1" applyBorder="1" applyAlignment="1">
      <alignment vertical="top" wrapText="1"/>
    </xf>
    <xf numFmtId="10" fontId="9" fillId="13" borderId="6" xfId="6" applyNumberFormat="1" applyFont="1" applyFill="1" applyBorder="1" applyAlignment="1">
      <alignment vertical="top" wrapText="1"/>
    </xf>
    <xf numFmtId="0" fontId="4" fillId="13" borderId="2" xfId="0" applyFont="1" applyFill="1" applyBorder="1" applyAlignment="1">
      <alignment vertical="top" wrapText="1"/>
    </xf>
    <xf numFmtId="16" fontId="17" fillId="13" borderId="31" xfId="0" applyNumberFormat="1" applyFont="1" applyFill="1" applyBorder="1" applyAlignment="1">
      <alignment horizontal="left" vertical="top" wrapText="1"/>
    </xf>
    <xf numFmtId="16" fontId="17" fillId="13" borderId="7" xfId="0" applyNumberFormat="1" applyFont="1" applyFill="1" applyBorder="1" applyAlignment="1">
      <alignment horizontal="left" vertical="top" wrapText="1"/>
    </xf>
    <xf numFmtId="0" fontId="9" fillId="13" borderId="7" xfId="0" applyFont="1" applyFill="1" applyBorder="1" applyAlignment="1">
      <alignment horizontal="center" vertical="top" wrapText="1"/>
    </xf>
    <xf numFmtId="49" fontId="9" fillId="13" borderId="4" xfId="0" applyNumberFormat="1" applyFont="1" applyFill="1" applyBorder="1" applyAlignment="1">
      <alignment horizontal="center" vertical="top" wrapText="1"/>
    </xf>
    <xf numFmtId="10" fontId="9" fillId="13" borderId="4" xfId="6" applyNumberFormat="1" applyFont="1" applyFill="1" applyBorder="1" applyAlignment="1">
      <alignment horizontal="center" vertical="top" wrapText="1"/>
    </xf>
    <xf numFmtId="0" fontId="9" fillId="13" borderId="6" xfId="0" applyFont="1" applyFill="1" applyBorder="1" applyAlignment="1">
      <alignment horizontal="left" vertical="top" wrapText="1"/>
    </xf>
    <xf numFmtId="0" fontId="18" fillId="13" borderId="20" xfId="0" applyFont="1" applyFill="1" applyBorder="1" applyAlignment="1">
      <alignment horizontal="center" vertical="top" wrapText="1"/>
    </xf>
    <xf numFmtId="10" fontId="9" fillId="13" borderId="31" xfId="6" applyNumberFormat="1" applyFont="1" applyFill="1" applyBorder="1" applyAlignment="1">
      <alignment horizontal="left" vertical="top" wrapText="1"/>
    </xf>
    <xf numFmtId="49" fontId="9" fillId="13" borderId="31" xfId="0" applyNumberFormat="1" applyFont="1" applyFill="1" applyBorder="1" applyAlignment="1">
      <alignment horizontal="left" vertical="top" wrapText="1"/>
    </xf>
    <xf numFmtId="0" fontId="4" fillId="14" borderId="25" xfId="0" applyFont="1" applyFill="1" applyBorder="1" applyAlignment="1">
      <alignment horizontal="left" vertical="top" wrapText="1"/>
    </xf>
    <xf numFmtId="4" fontId="9" fillId="16" borderId="6" xfId="0" applyNumberFormat="1" applyFont="1" applyFill="1" applyBorder="1" applyAlignment="1">
      <alignment horizontal="right" vertical="top" wrapText="1"/>
    </xf>
    <xf numFmtId="4" fontId="9" fillId="16" borderId="10" xfId="0" applyNumberFormat="1" applyFont="1" applyFill="1" applyBorder="1" applyAlignment="1">
      <alignment horizontal="right" vertical="top" wrapText="1"/>
    </xf>
    <xf numFmtId="0" fontId="9" fillId="19" borderId="2" xfId="0" applyFont="1" applyFill="1" applyBorder="1" applyAlignment="1">
      <alignment vertical="top" wrapText="1"/>
    </xf>
    <xf numFmtId="0" fontId="4" fillId="19" borderId="20" xfId="0" applyFont="1" applyFill="1" applyBorder="1" applyAlignment="1">
      <alignment vertical="top"/>
    </xf>
    <xf numFmtId="0" fontId="4" fillId="19" borderId="20" xfId="0" applyFont="1" applyFill="1" applyBorder="1" applyAlignment="1">
      <alignment vertical="top" wrapText="1"/>
    </xf>
    <xf numFmtId="10" fontId="17" fillId="22" borderId="10" xfId="6" applyNumberFormat="1" applyFont="1" applyFill="1" applyBorder="1" applyAlignment="1">
      <alignment horizontal="center" vertical="center" wrapText="1"/>
    </xf>
    <xf numFmtId="0" fontId="8" fillId="0" borderId="0" xfId="0" applyFont="1"/>
    <xf numFmtId="16" fontId="2" fillId="13" borderId="2" xfId="0" applyNumberFormat="1" applyFont="1" applyFill="1" applyBorder="1" applyAlignment="1">
      <alignment vertical="top" wrapText="1"/>
    </xf>
    <xf numFmtId="0" fontId="4" fillId="13" borderId="6" xfId="0" applyFont="1" applyFill="1" applyBorder="1" applyAlignment="1">
      <alignment vertical="top" wrapText="1"/>
    </xf>
    <xf numFmtId="49" fontId="4" fillId="13" borderId="2" xfId="0" applyNumberFormat="1" applyFont="1" applyFill="1" applyBorder="1" applyAlignment="1">
      <alignment vertical="top" wrapText="1"/>
    </xf>
    <xf numFmtId="10" fontId="4" fillId="13" borderId="2" xfId="6" applyNumberFormat="1" applyFont="1" applyFill="1" applyBorder="1" applyAlignment="1">
      <alignment vertical="top" wrapText="1"/>
    </xf>
    <xf numFmtId="0" fontId="4" fillId="13" borderId="2" xfId="0" applyFont="1" applyFill="1" applyBorder="1" applyAlignment="1">
      <alignment horizontal="center" vertical="top" wrapText="1"/>
    </xf>
    <xf numFmtId="0" fontId="4" fillId="13" borderId="7" xfId="0" applyFont="1" applyFill="1" applyBorder="1" applyAlignment="1">
      <alignment vertical="top" wrapText="1"/>
    </xf>
    <xf numFmtId="0" fontId="4" fillId="13" borderId="4" xfId="0" applyFont="1" applyFill="1" applyBorder="1" applyAlignment="1">
      <alignment horizontal="left" vertical="top" wrapText="1"/>
    </xf>
    <xf numFmtId="0" fontId="4" fillId="13" borderId="7" xfId="0" applyFont="1" applyFill="1" applyBorder="1" applyAlignment="1">
      <alignment horizontal="center" vertical="top" wrapText="1"/>
    </xf>
    <xf numFmtId="10" fontId="4" fillId="14" borderId="20" xfId="6" applyNumberFormat="1" applyFont="1" applyFill="1" applyBorder="1" applyAlignment="1">
      <alignment horizontal="left" vertical="top" wrapText="1"/>
    </xf>
    <xf numFmtId="0" fontId="4" fillId="14" borderId="20" xfId="0" applyFont="1" applyFill="1" applyBorder="1" applyAlignment="1">
      <alignment horizontal="center" vertical="top" wrapText="1"/>
    </xf>
    <xf numFmtId="0" fontId="4" fillId="14" borderId="25" xfId="0" applyFont="1" applyFill="1" applyBorder="1" applyAlignment="1">
      <alignment horizontal="center" vertical="top" wrapText="1"/>
    </xf>
    <xf numFmtId="16" fontId="2" fillId="14" borderId="20" xfId="0" applyNumberFormat="1" applyFont="1" applyFill="1" applyBorder="1" applyAlignment="1">
      <alignment horizontal="center" vertical="top" wrapText="1"/>
    </xf>
    <xf numFmtId="49" fontId="4" fillId="14" borderId="20" xfId="0" applyNumberFormat="1" applyFont="1" applyFill="1" applyBorder="1" applyAlignment="1">
      <alignment horizontal="left" vertical="top" wrapText="1"/>
    </xf>
    <xf numFmtId="49" fontId="4" fillId="15" borderId="20" xfId="0" applyNumberFormat="1" applyFont="1" applyFill="1" applyBorder="1" applyAlignment="1">
      <alignment vertical="top" wrapText="1"/>
    </xf>
    <xf numFmtId="0" fontId="4" fillId="15" borderId="20" xfId="0" applyFont="1" applyFill="1" applyBorder="1" applyAlignment="1">
      <alignment vertical="top" wrapText="1"/>
    </xf>
    <xf numFmtId="0" fontId="4" fillId="15" borderId="20" xfId="0" applyFont="1" applyFill="1" applyBorder="1" applyAlignment="1">
      <alignment horizontal="left" vertical="top"/>
    </xf>
    <xf numFmtId="0" fontId="4" fillId="15" borderId="20" xfId="0" applyFont="1" applyFill="1" applyBorder="1" applyAlignment="1">
      <alignment horizontal="left" vertical="top" wrapText="1"/>
    </xf>
    <xf numFmtId="3" fontId="27" fillId="14" borderId="34" xfId="0" applyNumberFormat="1" applyFont="1" applyFill="1" applyBorder="1" applyAlignment="1">
      <alignment horizontal="right" vertical="top"/>
    </xf>
    <xf numFmtId="0" fontId="4" fillId="15" borderId="2" xfId="0" applyFont="1" applyFill="1" applyBorder="1" applyAlignment="1">
      <alignment horizontal="left" vertical="top"/>
    </xf>
    <xf numFmtId="0" fontId="4" fillId="15" borderId="6" xfId="0" applyFont="1" applyFill="1" applyBorder="1" applyAlignment="1">
      <alignment horizontal="left" vertical="top" wrapText="1"/>
    </xf>
    <xf numFmtId="10" fontId="4" fillId="16" borderId="20" xfId="6" applyNumberFormat="1" applyFont="1" applyFill="1" applyBorder="1" applyAlignment="1">
      <alignment horizontal="left" vertical="top" wrapText="1"/>
    </xf>
    <xf numFmtId="0" fontId="4" fillId="16" borderId="20" xfId="0" applyFont="1" applyFill="1" applyBorder="1" applyAlignment="1">
      <alignment horizontal="left" vertical="top" wrapText="1"/>
    </xf>
    <xf numFmtId="49" fontId="4" fillId="16" borderId="20" xfId="0" applyNumberFormat="1" applyFont="1" applyFill="1" applyBorder="1" applyAlignment="1">
      <alignment horizontal="left" vertical="top" wrapText="1"/>
    </xf>
    <xf numFmtId="0" fontId="4" fillId="15" borderId="20" xfId="0" applyFont="1" applyFill="1" applyBorder="1" applyAlignment="1">
      <alignment horizontal="center" vertical="top"/>
    </xf>
    <xf numFmtId="0" fontId="4" fillId="15" borderId="2" xfId="0" applyFont="1" applyFill="1" applyBorder="1" applyAlignment="1">
      <alignment horizontal="center" vertical="top"/>
    </xf>
    <xf numFmtId="0" fontId="4" fillId="15" borderId="6" xfId="0" applyFont="1" applyFill="1" applyBorder="1" applyAlignment="1">
      <alignment horizontal="center" vertical="top"/>
    </xf>
    <xf numFmtId="0" fontId="27" fillId="15" borderId="34" xfId="0" applyFont="1" applyFill="1" applyBorder="1" applyAlignment="1">
      <alignment horizontal="right" vertical="top"/>
    </xf>
    <xf numFmtId="0" fontId="27" fillId="15" borderId="5" xfId="0" applyFont="1" applyFill="1" applyBorder="1" applyAlignment="1">
      <alignment horizontal="right" vertical="top"/>
    </xf>
    <xf numFmtId="1" fontId="4" fillId="16" borderId="20" xfId="0" applyNumberFormat="1" applyFont="1" applyFill="1" applyBorder="1" applyAlignment="1">
      <alignment horizontal="left" vertical="top" wrapText="1"/>
    </xf>
    <xf numFmtId="1" fontId="4" fillId="16" borderId="20" xfId="0" applyNumberFormat="1" applyFont="1" applyFill="1" applyBorder="1" applyAlignment="1">
      <alignment horizontal="center" vertical="top" wrapText="1"/>
    </xf>
    <xf numFmtId="16" fontId="4" fillId="16" borderId="2" xfId="0" applyNumberFormat="1" applyFont="1" applyFill="1" applyBorder="1" applyAlignment="1">
      <alignment vertical="top" wrapText="1"/>
    </xf>
    <xf numFmtId="0" fontId="4" fillId="16" borderId="2" xfId="0" applyFont="1" applyFill="1" applyBorder="1" applyAlignment="1">
      <alignment vertical="top" wrapText="1"/>
    </xf>
    <xf numFmtId="49" fontId="4" fillId="16" borderId="2" xfId="0" applyNumberFormat="1" applyFont="1" applyFill="1" applyBorder="1" applyAlignment="1">
      <alignment vertical="top" wrapText="1"/>
    </xf>
    <xf numFmtId="10" fontId="4" fillId="16" borderId="2" xfId="6" applyNumberFormat="1" applyFont="1" applyFill="1" applyBorder="1" applyAlignment="1">
      <alignment vertical="top" wrapText="1"/>
    </xf>
    <xf numFmtId="0" fontId="4" fillId="16" borderId="2" xfId="0" applyFont="1" applyFill="1" applyBorder="1" applyAlignment="1">
      <alignment horizontal="center" vertical="top" wrapText="1"/>
    </xf>
    <xf numFmtId="0" fontId="4" fillId="16" borderId="25" xfId="0" applyFont="1" applyFill="1" applyBorder="1" applyAlignment="1">
      <alignment horizontal="left" vertical="top" wrapText="1"/>
    </xf>
    <xf numFmtId="0" fontId="4" fillId="16" borderId="25" xfId="0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 wrapText="1"/>
    </xf>
    <xf numFmtId="17" fontId="0" fillId="0" borderId="0" xfId="0" applyNumberFormat="1"/>
    <xf numFmtId="0" fontId="28" fillId="0" borderId="0" xfId="0" applyFont="1"/>
    <xf numFmtId="0" fontId="4" fillId="0" borderId="3" xfId="3" applyFont="1" applyFill="1" applyBorder="1" applyAlignment="1">
      <alignment horizontal="center" vertical="center" wrapText="1"/>
    </xf>
    <xf numFmtId="164" fontId="4" fillId="0" borderId="3" xfId="3" applyNumberFormat="1" applyFont="1" applyFill="1" applyBorder="1" applyAlignment="1">
      <alignment horizontal="center" vertical="center" wrapText="1"/>
    </xf>
    <xf numFmtId="164" fontId="2" fillId="0" borderId="3" xfId="3" applyNumberFormat="1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164" fontId="2" fillId="0" borderId="5" xfId="3" applyNumberFormat="1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164" fontId="4" fillId="0" borderId="8" xfId="3" applyNumberFormat="1" applyFont="1" applyFill="1" applyBorder="1" applyAlignment="1">
      <alignment horizontal="center" vertical="center" wrapText="1"/>
    </xf>
    <xf numFmtId="164" fontId="4" fillId="0" borderId="9" xfId="3" applyNumberFormat="1" applyFont="1" applyFill="1" applyBorder="1" applyAlignment="1">
      <alignment horizontal="center" vertical="center" wrapText="1"/>
    </xf>
    <xf numFmtId="164" fontId="8" fillId="0" borderId="8" xfId="3" applyNumberFormat="1" applyFont="1" applyFill="1" applyBorder="1" applyAlignment="1">
      <alignment horizontal="center" vertical="center" wrapText="1"/>
    </xf>
    <xf numFmtId="164" fontId="2" fillId="0" borderId="8" xfId="3" applyNumberFormat="1" applyFont="1" applyFill="1" applyBorder="1" applyAlignment="1">
      <alignment horizontal="center" vertical="center" wrapText="1"/>
    </xf>
    <xf numFmtId="164" fontId="2" fillId="0" borderId="9" xfId="3" applyNumberFormat="1" applyFont="1" applyFill="1" applyBorder="1" applyAlignment="1">
      <alignment horizontal="center" vertical="center" wrapText="1"/>
    </xf>
    <xf numFmtId="3" fontId="27" fillId="13" borderId="22" xfId="6" applyNumberFormat="1" applyFont="1" applyFill="1" applyBorder="1" applyAlignment="1">
      <alignment horizontal="right" vertical="top"/>
    </xf>
    <xf numFmtId="3" fontId="27" fillId="13" borderId="22" xfId="0" applyNumberFormat="1" applyFont="1" applyFill="1" applyBorder="1" applyAlignment="1">
      <alignment horizontal="right" vertical="top"/>
    </xf>
    <xf numFmtId="3" fontId="27" fillId="14" borderId="19" xfId="0" applyNumberFormat="1" applyFont="1" applyFill="1" applyBorder="1" applyAlignment="1">
      <alignment horizontal="right" vertical="top"/>
    </xf>
    <xf numFmtId="0" fontId="27" fillId="15" borderId="19" xfId="0" applyFont="1" applyFill="1" applyBorder="1" applyAlignment="1">
      <alignment horizontal="right" vertical="top"/>
    </xf>
    <xf numFmtId="0" fontId="27" fillId="15" borderId="22" xfId="0" applyFont="1" applyFill="1" applyBorder="1" applyAlignment="1">
      <alignment horizontal="right" vertical="top"/>
    </xf>
    <xf numFmtId="1" fontId="27" fillId="15" borderId="22" xfId="0" applyNumberFormat="1" applyFont="1" applyFill="1" applyBorder="1" applyAlignment="1">
      <alignment horizontal="right" vertical="top"/>
    </xf>
    <xf numFmtId="4" fontId="27" fillId="16" borderId="22" xfId="0" applyNumberFormat="1" applyFont="1" applyFill="1" applyBorder="1" applyAlignment="1">
      <alignment horizontal="right" vertical="top" wrapText="1"/>
    </xf>
    <xf numFmtId="3" fontId="25" fillId="13" borderId="38" xfId="0" applyNumberFormat="1" applyFont="1" applyFill="1" applyBorder="1" applyAlignment="1">
      <alignment horizontal="right" vertical="top"/>
    </xf>
    <xf numFmtId="3" fontId="25" fillId="13" borderId="17" xfId="0" applyNumberFormat="1" applyFont="1" applyFill="1" applyBorder="1" applyAlignment="1">
      <alignment horizontal="right" vertical="top"/>
    </xf>
    <xf numFmtId="3" fontId="27" fillId="13" borderId="17" xfId="6" applyNumberFormat="1" applyFont="1" applyFill="1" applyBorder="1" applyAlignment="1">
      <alignment horizontal="right" vertical="top"/>
    </xf>
    <xf numFmtId="3" fontId="27" fillId="13" borderId="17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left" vertical="top" wrapText="1"/>
    </xf>
    <xf numFmtId="10" fontId="9" fillId="14" borderId="2" xfId="6" applyNumberFormat="1" applyFont="1" applyFill="1" applyBorder="1" applyAlignment="1">
      <alignment horizontal="left" vertical="top" wrapText="1"/>
    </xf>
    <xf numFmtId="0" fontId="9" fillId="15" borderId="2" xfId="0" applyFont="1" applyFill="1" applyBorder="1" applyAlignment="1">
      <alignment horizontal="left" vertical="top"/>
    </xf>
    <xf numFmtId="0" fontId="9" fillId="15" borderId="20" xfId="0" applyFont="1" applyFill="1" applyBorder="1" applyAlignment="1">
      <alignment horizontal="left" vertical="top" wrapText="1"/>
    </xf>
    <xf numFmtId="0" fontId="9" fillId="15" borderId="2" xfId="0" applyFont="1" applyFill="1" applyBorder="1" applyAlignment="1">
      <alignment horizontal="left" vertical="top" wrapText="1"/>
    </xf>
    <xf numFmtId="0" fontId="9" fillId="16" borderId="2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horizontal="left" vertical="top" wrapText="1"/>
    </xf>
    <xf numFmtId="0" fontId="9" fillId="16" borderId="6" xfId="0" applyFont="1" applyFill="1" applyBorder="1" applyAlignment="1">
      <alignment horizontal="left" vertical="top" wrapText="1"/>
    </xf>
    <xf numFmtId="0" fontId="4" fillId="14" borderId="2" xfId="0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 wrapText="1"/>
    </xf>
    <xf numFmtId="166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right" vertical="top"/>
    </xf>
    <xf numFmtId="4" fontId="29" fillId="0" borderId="2" xfId="0" applyNumberFormat="1" applyFont="1" applyFill="1" applyBorder="1"/>
    <xf numFmtId="3" fontId="9" fillId="0" borderId="0" xfId="0" applyNumberFormat="1" applyFont="1" applyBorder="1" applyAlignment="1">
      <alignment horizontal="right" vertical="top"/>
    </xf>
    <xf numFmtId="3" fontId="0" fillId="0" borderId="2" xfId="0" applyNumberFormat="1" applyBorder="1" applyAlignment="1">
      <alignment wrapText="1"/>
    </xf>
    <xf numFmtId="3" fontId="0" fillId="0" borderId="2" xfId="0" applyNumberFormat="1" applyBorder="1" applyAlignment="1">
      <alignment horizontal="right"/>
    </xf>
    <xf numFmtId="3" fontId="0" fillId="0" borderId="2" xfId="0" applyNumberFormat="1" applyBorder="1"/>
    <xf numFmtId="3" fontId="11" fillId="0" borderId="2" xfId="0" applyNumberFormat="1" applyFont="1" applyBorder="1"/>
    <xf numFmtId="3" fontId="0" fillId="0" borderId="2" xfId="0" applyNumberFormat="1" applyBorder="1" applyAlignment="1">
      <alignment horizontal="right" vertical="top" wrapText="1"/>
    </xf>
    <xf numFmtId="166" fontId="0" fillId="0" borderId="3" xfId="0" applyNumberFormat="1" applyBorder="1" applyAlignment="1">
      <alignment vertical="top" wrapText="1"/>
    </xf>
    <xf numFmtId="0" fontId="4" fillId="0" borderId="3" xfId="2" applyFont="1" applyFill="1" applyBorder="1" applyAlignment="1">
      <alignment horizontal="center" vertical="top" wrapText="1"/>
    </xf>
    <xf numFmtId="3" fontId="4" fillId="0" borderId="2" xfId="2" applyNumberFormat="1" applyFont="1" applyFill="1" applyBorder="1" applyAlignment="1">
      <alignment horizontal="right" vertical="top"/>
    </xf>
    <xf numFmtId="3" fontId="24" fillId="0" borderId="2" xfId="0" applyNumberFormat="1" applyFont="1" applyBorder="1"/>
    <xf numFmtId="3" fontId="9" fillId="0" borderId="2" xfId="0" applyNumberFormat="1" applyFont="1" applyBorder="1" applyAlignment="1">
      <alignment wrapText="1"/>
    </xf>
    <xf numFmtId="3" fontId="17" fillId="0" borderId="2" xfId="0" applyNumberFormat="1" applyFont="1" applyBorder="1"/>
    <xf numFmtId="0" fontId="9" fillId="0" borderId="2" xfId="0" applyFont="1" applyBorder="1" applyAlignment="1"/>
    <xf numFmtId="166" fontId="9" fillId="0" borderId="2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 wrapText="1"/>
    </xf>
    <xf numFmtId="3" fontId="17" fillId="0" borderId="2" xfId="0" applyNumberFormat="1" applyFont="1" applyBorder="1" applyAlignment="1">
      <alignment horizontal="right" vertical="top"/>
    </xf>
    <xf numFmtId="164" fontId="17" fillId="0" borderId="2" xfId="0" applyNumberFormat="1" applyFont="1" applyBorder="1"/>
    <xf numFmtId="0" fontId="4" fillId="0" borderId="2" xfId="3" applyFont="1" applyFill="1" applyBorder="1" applyAlignment="1">
      <alignment horizontal="left" vertical="top" wrapText="1"/>
    </xf>
    <xf numFmtId="0" fontId="4" fillId="0" borderId="2" xfId="3" applyFont="1" applyFill="1" applyBorder="1" applyAlignment="1">
      <alignment horizontal="left" vertical="top"/>
    </xf>
    <xf numFmtId="3" fontId="9" fillId="0" borderId="2" xfId="0" applyNumberFormat="1" applyFont="1" applyBorder="1"/>
    <xf numFmtId="0" fontId="30" fillId="0" borderId="2" xfId="4" applyFont="1" applyBorder="1"/>
    <xf numFmtId="166" fontId="9" fillId="0" borderId="2" xfId="0" applyNumberFormat="1" applyFont="1" applyBorder="1"/>
    <xf numFmtId="164" fontId="9" fillId="0" borderId="2" xfId="0" applyNumberFormat="1" applyFont="1" applyBorder="1"/>
    <xf numFmtId="3" fontId="9" fillId="0" borderId="2" xfId="0" applyNumberFormat="1" applyFont="1" applyBorder="1" applyAlignment="1">
      <alignment horizontal="right"/>
    </xf>
    <xf numFmtId="3" fontId="9" fillId="0" borderId="0" xfId="0" applyNumberFormat="1" applyFont="1" applyBorder="1"/>
    <xf numFmtId="4" fontId="18" fillId="0" borderId="2" xfId="0" applyNumberFormat="1" applyFont="1" applyBorder="1"/>
    <xf numFmtId="0" fontId="4" fillId="0" borderId="3" xfId="2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right" vertical="top"/>
    </xf>
    <xf numFmtId="3" fontId="4" fillId="0" borderId="2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right" vertical="top" wrapText="1"/>
    </xf>
    <xf numFmtId="3" fontId="4" fillId="0" borderId="2" xfId="2" applyNumberFormat="1" applyFont="1" applyFill="1" applyBorder="1" applyAlignment="1">
      <alignment vertical="top" wrapText="1"/>
    </xf>
    <xf numFmtId="3" fontId="17" fillId="0" borderId="2" xfId="0" applyNumberFormat="1" applyFont="1" applyBorder="1" applyAlignment="1">
      <alignment vertical="top"/>
    </xf>
    <xf numFmtId="3" fontId="4" fillId="0" borderId="6" xfId="2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4" fillId="0" borderId="2" xfId="0" applyFont="1" applyBorder="1"/>
    <xf numFmtId="3" fontId="2" fillId="0" borderId="0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right" vertical="center" wrapText="1"/>
    </xf>
    <xf numFmtId="3" fontId="4" fillId="0" borderId="6" xfId="2" applyNumberFormat="1" applyFont="1" applyFill="1" applyBorder="1" applyAlignment="1">
      <alignment horizontal="right" vertical="top" wrapText="1"/>
    </xf>
    <xf numFmtId="3" fontId="9" fillId="0" borderId="2" xfId="0" applyNumberFormat="1" applyFont="1" applyFill="1" applyBorder="1"/>
    <xf numFmtId="3" fontId="9" fillId="0" borderId="6" xfId="0" applyNumberFormat="1" applyFont="1" applyBorder="1"/>
    <xf numFmtId="3" fontId="4" fillId="0" borderId="2" xfId="0" applyNumberFormat="1" applyFont="1" applyBorder="1"/>
    <xf numFmtId="3" fontId="9" fillId="3" borderId="2" xfId="0" applyNumberFormat="1" applyFont="1" applyFill="1" applyBorder="1"/>
    <xf numFmtId="0" fontId="18" fillId="13" borderId="6" xfId="0" applyFont="1" applyFill="1" applyBorder="1" applyAlignment="1">
      <alignment horizontal="left" vertical="top" wrapText="1"/>
    </xf>
    <xf numFmtId="0" fontId="18" fillId="13" borderId="6" xfId="0" applyFont="1" applyFill="1" applyBorder="1" applyAlignment="1">
      <alignment horizontal="center" vertical="top" wrapText="1"/>
    </xf>
    <xf numFmtId="0" fontId="9" fillId="24" borderId="2" xfId="0" applyFont="1" applyFill="1" applyBorder="1"/>
    <xf numFmtId="0" fontId="9" fillId="24" borderId="2" xfId="0" applyFont="1" applyFill="1" applyBorder="1" applyAlignment="1">
      <alignment horizontal="center" vertical="center"/>
    </xf>
    <xf numFmtId="3" fontId="31" fillId="24" borderId="2" xfId="0" applyNumberFormat="1" applyFont="1" applyFill="1" applyBorder="1" applyAlignment="1">
      <alignment horizontal="right"/>
    </xf>
    <xf numFmtId="0" fontId="31" fillId="24" borderId="2" xfId="0" applyFont="1" applyFill="1" applyBorder="1"/>
    <xf numFmtId="0" fontId="31" fillId="24" borderId="2" xfId="0" applyFont="1" applyFill="1" applyBorder="1" applyAlignment="1">
      <alignment horizontal="center" vertical="center"/>
    </xf>
    <xf numFmtId="10" fontId="2" fillId="6" borderId="51" xfId="6" applyNumberFormat="1" applyFont="1" applyFill="1" applyBorder="1" applyAlignment="1">
      <alignment horizontal="center" vertical="center" wrapText="1"/>
    </xf>
    <xf numFmtId="3" fontId="27" fillId="13" borderId="19" xfId="0" applyNumberFormat="1" applyFont="1" applyFill="1" applyBorder="1" applyAlignment="1">
      <alignment horizontal="right" vertical="top"/>
    </xf>
    <xf numFmtId="3" fontId="27" fillId="13" borderId="36" xfId="0" applyNumberFormat="1" applyFont="1" applyFill="1" applyBorder="1" applyAlignment="1">
      <alignment vertical="top" wrapText="1"/>
    </xf>
    <xf numFmtId="3" fontId="27" fillId="13" borderId="16" xfId="0" applyNumberFormat="1" applyFont="1" applyFill="1" applyBorder="1" applyAlignment="1">
      <alignment vertical="top" wrapText="1"/>
    </xf>
    <xf numFmtId="0" fontId="4" fillId="14" borderId="2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15" borderId="6" xfId="0" applyFont="1" applyFill="1" applyBorder="1" applyAlignment="1">
      <alignment horizontal="left" vertical="top"/>
    </xf>
    <xf numFmtId="0" fontId="9" fillId="15" borderId="6" xfId="0" applyFont="1" applyFill="1" applyBorder="1" applyAlignment="1">
      <alignment horizontal="left" vertical="top" wrapText="1"/>
    </xf>
    <xf numFmtId="0" fontId="9" fillId="18" borderId="6" xfId="0" applyFont="1" applyFill="1" applyBorder="1" applyAlignment="1">
      <alignment horizontal="left" vertical="top" wrapText="1"/>
    </xf>
    <xf numFmtId="0" fontId="9" fillId="18" borderId="6" xfId="0" applyFont="1" applyFill="1" applyBorder="1" applyAlignment="1">
      <alignment horizontal="center" vertical="top"/>
    </xf>
    <xf numFmtId="0" fontId="9" fillId="14" borderId="6" xfId="0" applyFont="1" applyFill="1" applyBorder="1" applyAlignment="1">
      <alignment horizontal="left" vertical="top" wrapText="1"/>
    </xf>
    <xf numFmtId="0" fontId="18" fillId="14" borderId="6" xfId="0" applyFont="1" applyFill="1" applyBorder="1" applyAlignment="1">
      <alignment horizontal="left" vertical="top" wrapText="1"/>
    </xf>
    <xf numFmtId="0" fontId="18" fillId="14" borderId="6" xfId="0" applyFont="1" applyFill="1" applyBorder="1" applyAlignment="1">
      <alignment horizontal="center" vertical="top" wrapText="1"/>
    </xf>
    <xf numFmtId="3" fontId="27" fillId="14" borderId="24" xfId="0" applyNumberFormat="1" applyFont="1" applyFill="1" applyBorder="1" applyAlignment="1">
      <alignment horizontal="right" vertical="top"/>
    </xf>
    <xf numFmtId="1" fontId="27" fillId="15" borderId="51" xfId="0" applyNumberFormat="1" applyFont="1" applyFill="1" applyBorder="1" applyAlignment="1">
      <alignment horizontal="right" vertical="top"/>
    </xf>
    <xf numFmtId="3" fontId="27" fillId="14" borderId="47" xfId="0" applyNumberFormat="1" applyFont="1" applyFill="1" applyBorder="1" applyAlignment="1">
      <alignment horizontal="right" vertical="top"/>
    </xf>
    <xf numFmtId="0" fontId="4" fillId="16" borderId="4" xfId="0" applyFont="1" applyFill="1" applyBorder="1" applyAlignment="1">
      <alignment horizontal="left" vertical="top" wrapText="1"/>
    </xf>
    <xf numFmtId="3" fontId="27" fillId="15" borderId="47" xfId="0" applyNumberFormat="1" applyFont="1" applyFill="1" applyBorder="1" applyAlignment="1">
      <alignment horizontal="right" vertical="top"/>
    </xf>
    <xf numFmtId="3" fontId="27" fillId="16" borderId="22" xfId="0" applyNumberFormat="1" applyFont="1" applyFill="1" applyBorder="1" applyAlignment="1">
      <alignment horizontal="right" vertical="top" wrapText="1"/>
    </xf>
    <xf numFmtId="3" fontId="27" fillId="16" borderId="24" xfId="0" applyNumberFormat="1" applyFont="1" applyFill="1" applyBorder="1" applyAlignment="1">
      <alignment horizontal="right" vertical="top" wrapText="1"/>
    </xf>
    <xf numFmtId="166" fontId="9" fillId="0" borderId="2" xfId="0" applyNumberFormat="1" applyFont="1" applyBorder="1" applyAlignment="1">
      <alignment horizontal="right" vertical="top" wrapText="1"/>
    </xf>
    <xf numFmtId="3" fontId="4" fillId="0" borderId="2" xfId="2" applyNumberFormat="1" applyFont="1" applyFill="1" applyBorder="1" applyAlignment="1">
      <alignment horizontal="right" vertical="center" wrapText="1"/>
    </xf>
    <xf numFmtId="3" fontId="4" fillId="0" borderId="2" xfId="3" applyNumberFormat="1" applyFont="1" applyFill="1" applyBorder="1" applyAlignment="1">
      <alignment horizontal="right" vertical="center" wrapText="1"/>
    </xf>
    <xf numFmtId="3" fontId="8" fillId="0" borderId="2" xfId="0" applyNumberFormat="1" applyFont="1" applyBorder="1"/>
    <xf numFmtId="0" fontId="4" fillId="13" borderId="20" xfId="0" applyFont="1" applyFill="1" applyBorder="1" applyAlignment="1">
      <alignment horizontal="left" vertical="top" wrapText="1"/>
    </xf>
    <xf numFmtId="0" fontId="4" fillId="13" borderId="6" xfId="0" applyFont="1" applyFill="1" applyBorder="1" applyAlignment="1">
      <alignment horizontal="left" vertical="top" wrapText="1"/>
    </xf>
    <xf numFmtId="0" fontId="4" fillId="14" borderId="6" xfId="0" applyFont="1" applyFill="1" applyBorder="1" applyAlignment="1">
      <alignment horizontal="left" vertical="top" wrapText="1"/>
    </xf>
    <xf numFmtId="3" fontId="9" fillId="0" borderId="0" xfId="0" applyNumberFormat="1" applyFont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left" vertical="top" wrapText="1"/>
    </xf>
    <xf numFmtId="164" fontId="0" fillId="0" borderId="0" xfId="0" applyNumberFormat="1"/>
    <xf numFmtId="4" fontId="4" fillId="0" borderId="2" xfId="3" applyNumberFormat="1" applyFont="1" applyFill="1" applyBorder="1" applyAlignment="1">
      <alignment horizontal="center" vertical="center" wrapText="1"/>
    </xf>
    <xf numFmtId="4" fontId="4" fillId="7" borderId="2" xfId="3" applyNumberFormat="1" applyFont="1" applyFill="1" applyBorder="1" applyAlignment="1">
      <alignment horizontal="center" vertical="center" wrapText="1"/>
    </xf>
    <xf numFmtId="16" fontId="2" fillId="13" borderId="6" xfId="0" applyNumberFormat="1" applyFont="1" applyFill="1" applyBorder="1" applyAlignment="1">
      <alignment vertical="top" wrapText="1"/>
    </xf>
    <xf numFmtId="49" fontId="4" fillId="13" borderId="6" xfId="0" applyNumberFormat="1" applyFont="1" applyFill="1" applyBorder="1" applyAlignment="1">
      <alignment vertical="top" wrapText="1"/>
    </xf>
    <xf numFmtId="10" fontId="4" fillId="13" borderId="6" xfId="6" applyNumberFormat="1" applyFont="1" applyFill="1" applyBorder="1" applyAlignment="1">
      <alignment vertical="top" wrapText="1"/>
    </xf>
    <xf numFmtId="0" fontId="9" fillId="0" borderId="0" xfId="0" applyFont="1" applyBorder="1" applyAlignment="1">
      <alignment horizontal="center"/>
    </xf>
    <xf numFmtId="0" fontId="0" fillId="0" borderId="2" xfId="0" applyBorder="1" applyAlignment="1"/>
    <xf numFmtId="49" fontId="4" fillId="16" borderId="4" xfId="0" applyNumberFormat="1" applyFont="1" applyFill="1" applyBorder="1" applyAlignment="1">
      <alignment horizontal="left" vertical="top" wrapText="1"/>
    </xf>
    <xf numFmtId="10" fontId="4" fillId="16" borderId="4" xfId="6" applyNumberFormat="1" applyFont="1" applyFill="1" applyBorder="1" applyAlignment="1">
      <alignment horizontal="left" vertical="top" wrapText="1"/>
    </xf>
    <xf numFmtId="1" fontId="4" fillId="16" borderId="4" xfId="0" applyNumberFormat="1" applyFont="1" applyFill="1" applyBorder="1" applyAlignment="1">
      <alignment horizontal="left" vertical="top" wrapText="1"/>
    </xf>
    <xf numFmtId="1" fontId="4" fillId="16" borderId="4" xfId="0" applyNumberFormat="1" applyFont="1" applyFill="1" applyBorder="1" applyAlignment="1">
      <alignment horizontal="center" vertical="top" wrapText="1"/>
    </xf>
    <xf numFmtId="0" fontId="27" fillId="16" borderId="28" xfId="0" applyFont="1" applyFill="1" applyBorder="1" applyAlignment="1">
      <alignment horizontal="right" vertical="top" wrapText="1"/>
    </xf>
    <xf numFmtId="3" fontId="9" fillId="0" borderId="0" xfId="0" applyNumberFormat="1" applyFont="1"/>
    <xf numFmtId="3" fontId="17" fillId="0" borderId="0" xfId="0" applyNumberFormat="1" applyFont="1"/>
    <xf numFmtId="3" fontId="33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0" fontId="2" fillId="14" borderId="2" xfId="1" applyFont="1" applyFill="1" applyBorder="1" applyAlignment="1">
      <alignment horizontal="right" vertical="center" wrapText="1"/>
    </xf>
    <xf numFmtId="164" fontId="4" fillId="14" borderId="2" xfId="2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right"/>
    </xf>
    <xf numFmtId="3" fontId="9" fillId="14" borderId="2" xfId="0" applyNumberFormat="1" applyFont="1" applyFill="1" applyBorder="1" applyAlignment="1">
      <alignment horizontal="right"/>
    </xf>
    <xf numFmtId="3" fontId="31" fillId="14" borderId="2" xfId="0" applyNumberFormat="1" applyFont="1" applyFill="1" applyBorder="1" applyAlignment="1">
      <alignment horizontal="right"/>
    </xf>
    <xf numFmtId="3" fontId="9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0" fontId="4" fillId="0" borderId="22" xfId="3" applyFont="1" applyFill="1" applyBorder="1" applyAlignment="1">
      <alignment horizontal="center" vertical="center" wrapText="1"/>
    </xf>
    <xf numFmtId="0" fontId="4" fillId="0" borderId="23" xfId="3" applyFont="1" applyFill="1" applyBorder="1" applyAlignment="1">
      <alignment horizontal="center" vertical="center" wrapText="1"/>
    </xf>
    <xf numFmtId="164" fontId="4" fillId="0" borderId="22" xfId="3" applyNumberFormat="1" applyFont="1" applyFill="1" applyBorder="1" applyAlignment="1">
      <alignment horizontal="center" vertical="center" wrapText="1"/>
    </xf>
    <xf numFmtId="164" fontId="4" fillId="0" borderId="23" xfId="3" applyNumberFormat="1" applyFont="1" applyFill="1" applyBorder="1" applyAlignment="1">
      <alignment horizontal="center" vertical="center" wrapText="1"/>
    </xf>
    <xf numFmtId="164" fontId="8" fillId="0" borderId="22" xfId="3" applyNumberFormat="1" applyFont="1" applyFill="1" applyBorder="1" applyAlignment="1">
      <alignment horizontal="center" vertical="center" wrapText="1"/>
    </xf>
    <xf numFmtId="164" fontId="2" fillId="0" borderId="22" xfId="3" applyNumberFormat="1" applyFont="1" applyFill="1" applyBorder="1" applyAlignment="1">
      <alignment horizontal="center" vertical="center" wrapText="1"/>
    </xf>
    <xf numFmtId="164" fontId="2" fillId="0" borderId="23" xfId="3" applyNumberFormat="1" applyFont="1" applyFill="1" applyBorder="1" applyAlignment="1">
      <alignment horizontal="center" vertical="center" wrapText="1"/>
    </xf>
    <xf numFmtId="10" fontId="9" fillId="13" borderId="2" xfId="6" applyNumberFormat="1" applyFont="1" applyFill="1" applyBorder="1" applyAlignment="1">
      <alignment horizontal="left" vertical="top" wrapText="1"/>
    </xf>
    <xf numFmtId="0" fontId="9" fillId="13" borderId="2" xfId="0" applyFont="1" applyFill="1" applyBorder="1" applyAlignment="1">
      <alignment horizontal="left" vertical="top" wrapText="1"/>
    </xf>
    <xf numFmtId="0" fontId="4" fillId="13" borderId="2" xfId="0" applyFont="1" applyFill="1" applyBorder="1" applyAlignment="1">
      <alignment horizontal="left" vertical="top" wrapText="1"/>
    </xf>
    <xf numFmtId="0" fontId="9" fillId="13" borderId="20" xfId="0" applyFont="1" applyFill="1" applyBorder="1" applyAlignment="1">
      <alignment horizontal="left" vertical="top" wrapText="1"/>
    </xf>
    <xf numFmtId="49" fontId="4" fillId="0" borderId="2" xfId="3" applyNumberFormat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/>
    </xf>
    <xf numFmtId="10" fontId="17" fillId="13" borderId="2" xfId="0" applyNumberFormat="1" applyFont="1" applyFill="1" applyBorder="1" applyAlignment="1">
      <alignment horizontal="right" vertical="top"/>
    </xf>
    <xf numFmtId="10" fontId="17" fillId="18" borderId="2" xfId="0" applyNumberFormat="1" applyFont="1" applyFill="1" applyBorder="1" applyAlignment="1">
      <alignment horizontal="right" vertical="top"/>
    </xf>
    <xf numFmtId="49" fontId="4" fillId="0" borderId="4" xfId="3" applyNumberFormat="1" applyFont="1" applyFill="1" applyBorder="1" applyAlignment="1">
      <alignment horizontal="center" vertical="center"/>
    </xf>
    <xf numFmtId="49" fontId="4" fillId="0" borderId="4" xfId="3" applyNumberFormat="1" applyFont="1" applyFill="1" applyBorder="1" applyAlignment="1">
      <alignment horizontal="left" vertical="center" wrapText="1"/>
    </xf>
    <xf numFmtId="49" fontId="4" fillId="0" borderId="4" xfId="3" applyNumberFormat="1" applyFont="1" applyFill="1" applyBorder="1" applyAlignment="1">
      <alignment horizontal="center" vertical="center" wrapText="1"/>
    </xf>
    <xf numFmtId="3" fontId="4" fillId="0" borderId="4" xfId="2" applyNumberFormat="1" applyFont="1" applyFill="1" applyBorder="1" applyAlignment="1">
      <alignment horizontal="center" vertical="center" wrapText="1"/>
    </xf>
    <xf numFmtId="164" fontId="4" fillId="14" borderId="4" xfId="2" applyNumberFormat="1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/>
    </xf>
    <xf numFmtId="164" fontId="4" fillId="5" borderId="4" xfId="2" applyNumberFormat="1" applyFont="1" applyFill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/>
    </xf>
    <xf numFmtId="0" fontId="4" fillId="0" borderId="25" xfId="2" applyFont="1" applyFill="1" applyBorder="1" applyAlignment="1">
      <alignment horizontal="center" vertical="center" wrapText="1"/>
    </xf>
    <xf numFmtId="49" fontId="4" fillId="0" borderId="25" xfId="3" applyNumberFormat="1" applyFont="1" applyFill="1" applyBorder="1" applyAlignment="1">
      <alignment horizontal="center" vertical="center"/>
    </xf>
    <xf numFmtId="49" fontId="4" fillId="0" borderId="25" xfId="3" applyNumberFormat="1" applyFont="1" applyFill="1" applyBorder="1" applyAlignment="1">
      <alignment horizontal="left" vertical="center" wrapText="1"/>
    </xf>
    <xf numFmtId="49" fontId="4" fillId="0" borderId="25" xfId="3" applyNumberFormat="1" applyFont="1" applyFill="1" applyBorder="1" applyAlignment="1">
      <alignment horizontal="center" vertical="center" wrapText="1"/>
    </xf>
    <xf numFmtId="3" fontId="4" fillId="0" borderId="25" xfId="2" applyNumberFormat="1" applyFont="1" applyFill="1" applyBorder="1" applyAlignment="1">
      <alignment horizontal="center" vertical="center" wrapText="1"/>
    </xf>
    <xf numFmtId="164" fontId="4" fillId="14" borderId="25" xfId="2" applyNumberFormat="1" applyFont="1" applyFill="1" applyBorder="1" applyAlignment="1">
      <alignment horizontal="right" vertical="center" wrapText="1"/>
    </xf>
    <xf numFmtId="0" fontId="9" fillId="4" borderId="25" xfId="0" applyFont="1" applyFill="1" applyBorder="1" applyAlignment="1">
      <alignment horizontal="right"/>
    </xf>
    <xf numFmtId="164" fontId="4" fillId="5" borderId="25" xfId="2" applyNumberFormat="1" applyFont="1" applyFill="1" applyBorder="1" applyAlignment="1">
      <alignment horizontal="right" vertical="center" wrapText="1"/>
    </xf>
    <xf numFmtId="164" fontId="9" fillId="0" borderId="25" xfId="0" applyNumberFormat="1" applyFont="1" applyBorder="1" applyAlignment="1">
      <alignment horizontal="right"/>
    </xf>
    <xf numFmtId="0" fontId="2" fillId="0" borderId="9" xfId="3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Border="1"/>
    <xf numFmtId="0" fontId="2" fillId="0" borderId="8" xfId="3" applyFont="1" applyFill="1" applyBorder="1" applyAlignment="1">
      <alignment horizontal="center" vertical="center" wrapText="1"/>
    </xf>
    <xf numFmtId="0" fontId="0" fillId="0" borderId="9" xfId="0" applyBorder="1"/>
    <xf numFmtId="3" fontId="4" fillId="0" borderId="3" xfId="2" applyNumberFormat="1" applyFont="1" applyFill="1" applyBorder="1" applyAlignment="1">
      <alignment vertical="top" wrapText="1"/>
    </xf>
    <xf numFmtId="3" fontId="17" fillId="0" borderId="3" xfId="0" applyNumberFormat="1" applyFont="1" applyBorder="1" applyAlignment="1">
      <alignment vertical="top"/>
    </xf>
    <xf numFmtId="0" fontId="2" fillId="0" borderId="49" xfId="3" applyFont="1" applyFill="1" applyBorder="1" applyAlignment="1">
      <alignment horizontal="center" vertical="center" wrapText="1"/>
    </xf>
    <xf numFmtId="164" fontId="4" fillId="0" borderId="49" xfId="3" applyNumberFormat="1" applyFont="1" applyFill="1" applyBorder="1" applyAlignment="1">
      <alignment horizontal="center" vertical="center" wrapText="1"/>
    </xf>
    <xf numFmtId="164" fontId="2" fillId="0" borderId="49" xfId="3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16" borderId="2" xfId="0" applyFont="1" applyFill="1" applyBorder="1" applyAlignment="1">
      <alignment horizontal="left" vertical="top" wrapText="1"/>
    </xf>
    <xf numFmtId="10" fontId="9" fillId="16" borderId="2" xfId="6" applyNumberFormat="1" applyFont="1" applyFill="1" applyBorder="1" applyAlignment="1">
      <alignment horizontal="left" vertical="top" wrapText="1"/>
    </xf>
    <xf numFmtId="0" fontId="9" fillId="16" borderId="4" xfId="0" applyFont="1" applyFill="1" applyBorder="1" applyAlignment="1">
      <alignment horizontal="left" vertical="top" wrapText="1"/>
    </xf>
    <xf numFmtId="0" fontId="9" fillId="15" borderId="2" xfId="0" applyFont="1" applyFill="1" applyBorder="1" applyAlignment="1">
      <alignment horizontal="left" vertical="top"/>
    </xf>
    <xf numFmtId="0" fontId="9" fillId="15" borderId="2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49" fontId="2" fillId="0" borderId="9" xfId="3" applyNumberFormat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14" fontId="23" fillId="0" borderId="0" xfId="0" applyNumberFormat="1" applyFont="1" applyAlignment="1">
      <alignment horizontal="left"/>
    </xf>
    <xf numFmtId="0" fontId="34" fillId="0" borderId="2" xfId="3" applyFont="1" applyFill="1" applyBorder="1" applyAlignment="1">
      <alignment horizontal="center" vertical="center" wrapText="1"/>
    </xf>
    <xf numFmtId="164" fontId="34" fillId="0" borderId="5" xfId="3" applyNumberFormat="1" applyFont="1" applyFill="1" applyBorder="1" applyAlignment="1">
      <alignment horizontal="center" vertical="center" wrapText="1"/>
    </xf>
    <xf numFmtId="164" fontId="34" fillId="0" borderId="2" xfId="3" applyNumberFormat="1" applyFont="1" applyFill="1" applyBorder="1" applyAlignment="1">
      <alignment horizontal="center" vertical="center" wrapText="1"/>
    </xf>
    <xf numFmtId="10" fontId="17" fillId="13" borderId="20" xfId="0" applyNumberFormat="1" applyFont="1" applyFill="1" applyBorder="1" applyAlignment="1">
      <alignment horizontal="right" vertical="top"/>
    </xf>
    <xf numFmtId="10" fontId="9" fillId="13" borderId="12" xfId="6" applyNumberFormat="1" applyFont="1" applyFill="1" applyBorder="1" applyAlignment="1">
      <alignment vertical="top" wrapText="1"/>
    </xf>
    <xf numFmtId="0" fontId="9" fillId="13" borderId="12" xfId="0" applyFont="1" applyFill="1" applyBorder="1" applyAlignment="1">
      <alignment horizontal="left" vertical="top" wrapText="1"/>
    </xf>
    <xf numFmtId="0" fontId="4" fillId="13" borderId="12" xfId="0" applyFont="1" applyFill="1" applyBorder="1" applyAlignment="1">
      <alignment horizontal="left" vertical="top" wrapText="1"/>
    </xf>
    <xf numFmtId="0" fontId="9" fillId="13" borderId="12" xfId="0" applyFont="1" applyFill="1" applyBorder="1" applyAlignment="1">
      <alignment horizontal="center" vertical="top" wrapText="1"/>
    </xf>
    <xf numFmtId="10" fontId="17" fillId="13" borderId="12" xfId="0" applyNumberFormat="1" applyFont="1" applyFill="1" applyBorder="1" applyAlignment="1">
      <alignment horizontal="right" vertical="top"/>
    </xf>
    <xf numFmtId="0" fontId="18" fillId="13" borderId="4" xfId="0" applyFont="1" applyFill="1" applyBorder="1" applyAlignment="1">
      <alignment horizontal="left" vertical="top" wrapText="1"/>
    </xf>
    <xf numFmtId="0" fontId="18" fillId="13" borderId="4" xfId="0" applyFont="1" applyFill="1" applyBorder="1" applyAlignment="1">
      <alignment horizontal="center" vertical="top" wrapText="1"/>
    </xf>
    <xf numFmtId="0" fontId="9" fillId="0" borderId="9" xfId="0" applyFont="1" applyBorder="1"/>
    <xf numFmtId="10" fontId="17" fillId="9" borderId="33" xfId="6" applyNumberFormat="1" applyFont="1" applyFill="1" applyBorder="1" applyAlignment="1">
      <alignment horizontal="center" vertical="center" wrapText="1"/>
    </xf>
    <xf numFmtId="10" fontId="17" fillId="23" borderId="33" xfId="6" applyNumberFormat="1" applyFont="1" applyFill="1" applyBorder="1" applyAlignment="1">
      <alignment horizontal="center" vertical="center" wrapText="1"/>
    </xf>
    <xf numFmtId="10" fontId="17" fillId="3" borderId="33" xfId="6" applyNumberFormat="1" applyFont="1" applyFill="1" applyBorder="1" applyAlignment="1">
      <alignment horizontal="center" vertical="center" wrapText="1"/>
    </xf>
    <xf numFmtId="10" fontId="17" fillId="6" borderId="33" xfId="6" applyNumberFormat="1" applyFont="1" applyFill="1" applyBorder="1" applyAlignment="1">
      <alignment horizontal="center" vertical="center" wrapText="1"/>
    </xf>
    <xf numFmtId="10" fontId="17" fillId="6" borderId="47" xfId="6" applyNumberFormat="1" applyFont="1" applyFill="1" applyBorder="1" applyAlignment="1">
      <alignment horizontal="center" vertical="center" wrapText="1"/>
    </xf>
    <xf numFmtId="4" fontId="9" fillId="16" borderId="5" xfId="0" applyNumberFormat="1" applyFont="1" applyFill="1" applyBorder="1" applyAlignment="1">
      <alignment horizontal="right" vertical="top" wrapText="1"/>
    </xf>
    <xf numFmtId="4" fontId="9" fillId="18" borderId="5" xfId="0" applyNumberFormat="1" applyFont="1" applyFill="1" applyBorder="1" applyAlignment="1">
      <alignment horizontal="right" vertical="top" wrapText="1"/>
    </xf>
    <xf numFmtId="4" fontId="9" fillId="16" borderId="13" xfId="0" applyNumberFormat="1" applyFont="1" applyFill="1" applyBorder="1" applyAlignment="1">
      <alignment horizontal="right" vertical="top" wrapText="1"/>
    </xf>
    <xf numFmtId="0" fontId="9" fillId="13" borderId="31" xfId="0" applyFont="1" applyFill="1" applyBorder="1" applyAlignment="1">
      <alignment horizontal="left" vertical="top" wrapText="1"/>
    </xf>
    <xf numFmtId="0" fontId="18" fillId="13" borderId="12" xfId="0" applyFont="1" applyFill="1" applyBorder="1" applyAlignment="1">
      <alignment horizontal="left" vertical="top" wrapText="1"/>
    </xf>
    <xf numFmtId="0" fontId="18" fillId="13" borderId="12" xfId="0" applyFont="1" applyFill="1" applyBorder="1" applyAlignment="1">
      <alignment horizontal="center" vertical="top" wrapText="1"/>
    </xf>
    <xf numFmtId="49" fontId="4" fillId="0" borderId="20" xfId="3" applyNumberFormat="1" applyFont="1" applyFill="1" applyBorder="1" applyAlignment="1">
      <alignment horizontal="center" vertical="center"/>
    </xf>
    <xf numFmtId="49" fontId="4" fillId="0" borderId="20" xfId="3" applyNumberFormat="1" applyFont="1" applyFill="1" applyBorder="1" applyAlignment="1">
      <alignment horizontal="left" vertical="center" wrapText="1"/>
    </xf>
    <xf numFmtId="49" fontId="4" fillId="0" borderId="20" xfId="3" applyNumberFormat="1" applyFont="1" applyFill="1" applyBorder="1" applyAlignment="1">
      <alignment horizontal="center" vertical="center" wrapText="1"/>
    </xf>
    <xf numFmtId="3" fontId="4" fillId="0" borderId="20" xfId="2" applyNumberFormat="1" applyFont="1" applyFill="1" applyBorder="1" applyAlignment="1">
      <alignment horizontal="center" vertical="center" wrapText="1"/>
    </xf>
    <xf numFmtId="164" fontId="4" fillId="14" borderId="20" xfId="2" applyNumberFormat="1" applyFont="1" applyFill="1" applyBorder="1" applyAlignment="1">
      <alignment horizontal="right" vertical="center" wrapText="1"/>
    </xf>
    <xf numFmtId="0" fontId="9" fillId="4" borderId="20" xfId="0" applyFont="1" applyFill="1" applyBorder="1" applyAlignment="1">
      <alignment horizontal="right"/>
    </xf>
    <xf numFmtId="164" fontId="4" fillId="5" borderId="20" xfId="2" applyNumberFormat="1" applyFont="1" applyFill="1" applyBorder="1" applyAlignment="1">
      <alignment horizontal="right" vertical="center" wrapText="1"/>
    </xf>
    <xf numFmtId="164" fontId="9" fillId="0" borderId="20" xfId="0" applyNumberFormat="1" applyFont="1" applyBorder="1" applyAlignment="1">
      <alignment horizontal="right"/>
    </xf>
    <xf numFmtId="0" fontId="2" fillId="0" borderId="5" xfId="3" applyFont="1" applyFill="1" applyBorder="1" applyAlignment="1">
      <alignment horizontal="center" vertical="center" wrapText="1"/>
    </xf>
    <xf numFmtId="0" fontId="35" fillId="0" borderId="0" xfId="0" applyFont="1"/>
    <xf numFmtId="3" fontId="34" fillId="0" borderId="2" xfId="2" applyNumberFormat="1" applyFont="1" applyFill="1" applyBorder="1" applyAlignment="1">
      <alignment vertical="top" wrapText="1"/>
    </xf>
    <xf numFmtId="3" fontId="34" fillId="0" borderId="3" xfId="2" applyNumberFormat="1" applyFont="1" applyFill="1" applyBorder="1" applyAlignment="1">
      <alignment vertical="top" wrapText="1"/>
    </xf>
    <xf numFmtId="164" fontId="34" fillId="0" borderId="8" xfId="3" applyNumberFormat="1" applyFont="1" applyFill="1" applyBorder="1" applyAlignment="1">
      <alignment horizontal="center" vertical="center" wrapText="1"/>
    </xf>
    <xf numFmtId="164" fontId="34" fillId="0" borderId="9" xfId="3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164" fontId="34" fillId="0" borderId="3" xfId="3" applyNumberFormat="1" applyFont="1" applyFill="1" applyBorder="1" applyAlignment="1">
      <alignment horizontal="center" vertical="center" wrapText="1"/>
    </xf>
    <xf numFmtId="49" fontId="2" fillId="0" borderId="8" xfId="3" applyNumberFormat="1" applyFont="1" applyFill="1" applyBorder="1" applyAlignment="1">
      <alignment vertical="center"/>
    </xf>
    <xf numFmtId="49" fontId="2" fillId="0" borderId="2" xfId="3" applyNumberFormat="1" applyFont="1" applyFill="1" applyBorder="1" applyAlignment="1">
      <alignment vertical="center"/>
    </xf>
    <xf numFmtId="0" fontId="35" fillId="0" borderId="9" xfId="0" applyFont="1" applyBorder="1"/>
    <xf numFmtId="0" fontId="9" fillId="0" borderId="3" xfId="0" applyFont="1" applyBorder="1"/>
    <xf numFmtId="0" fontId="35" fillId="0" borderId="3" xfId="0" applyFont="1" applyBorder="1"/>
    <xf numFmtId="164" fontId="9" fillId="0" borderId="9" xfId="0" applyNumberFormat="1" applyFont="1" applyBorder="1"/>
    <xf numFmtId="164" fontId="9" fillId="0" borderId="3" xfId="0" applyNumberFormat="1" applyFont="1" applyBorder="1"/>
    <xf numFmtId="0" fontId="34" fillId="0" borderId="2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34" fillId="0" borderId="9" xfId="3" applyFont="1" applyFill="1" applyBorder="1" applyAlignment="1">
      <alignment horizontal="center" vertical="center" wrapText="1"/>
    </xf>
    <xf numFmtId="0" fontId="34" fillId="0" borderId="3" xfId="3" applyFont="1" applyFill="1" applyBorder="1" applyAlignment="1">
      <alignment horizontal="center" vertical="center" wrapText="1"/>
    </xf>
    <xf numFmtId="3" fontId="35" fillId="0" borderId="2" xfId="0" applyNumberFormat="1" applyFont="1" applyBorder="1"/>
    <xf numFmtId="3" fontId="35" fillId="0" borderId="3" xfId="0" applyNumberFormat="1" applyFont="1" applyBorder="1"/>
    <xf numFmtId="0" fontId="18" fillId="18" borderId="69" xfId="0" applyFont="1" applyFill="1" applyBorder="1" applyAlignment="1">
      <alignment horizontal="left" vertical="top" wrapText="1"/>
    </xf>
    <xf numFmtId="0" fontId="18" fillId="18" borderId="69" xfId="0" applyFont="1" applyFill="1" applyBorder="1" applyAlignment="1">
      <alignment horizontal="center" vertical="top" wrapText="1"/>
    </xf>
    <xf numFmtId="10" fontId="17" fillId="18" borderId="69" xfId="0" applyNumberFormat="1" applyFont="1" applyFill="1" applyBorder="1" applyAlignment="1">
      <alignment horizontal="right" vertical="top"/>
    </xf>
    <xf numFmtId="0" fontId="9" fillId="18" borderId="69" xfId="0" applyFont="1" applyFill="1" applyBorder="1" applyAlignment="1">
      <alignment horizontal="left" vertical="top" wrapText="1"/>
    </xf>
    <xf numFmtId="0" fontId="9" fillId="18" borderId="69" xfId="0" applyFont="1" applyFill="1" applyBorder="1" applyAlignment="1">
      <alignment horizontal="center" vertical="top"/>
    </xf>
    <xf numFmtId="10" fontId="9" fillId="15" borderId="20" xfId="0" applyNumberFormat="1" applyFont="1" applyFill="1" applyBorder="1" applyAlignment="1">
      <alignment horizontal="right" vertical="top"/>
    </xf>
    <xf numFmtId="10" fontId="9" fillId="15" borderId="2" xfId="0" applyNumberFormat="1" applyFont="1" applyFill="1" applyBorder="1" applyAlignment="1">
      <alignment horizontal="right" vertical="top"/>
    </xf>
    <xf numFmtId="10" fontId="9" fillId="18" borderId="2" xfId="0" applyNumberFormat="1" applyFont="1" applyFill="1" applyBorder="1" applyAlignment="1">
      <alignment horizontal="right" vertical="top"/>
    </xf>
    <xf numFmtId="10" fontId="9" fillId="18" borderId="69" xfId="0" applyNumberFormat="1" applyFont="1" applyFill="1" applyBorder="1" applyAlignment="1">
      <alignment horizontal="right" vertical="top"/>
    </xf>
    <xf numFmtId="3" fontId="9" fillId="4" borderId="6" xfId="0" applyNumberFormat="1" applyFont="1" applyFill="1" applyBorder="1" applyAlignment="1">
      <alignment vertical="center"/>
    </xf>
    <xf numFmtId="3" fontId="9" fillId="4" borderId="4" xfId="0" applyNumberFormat="1" applyFont="1" applyFill="1" applyBorder="1" applyAlignment="1">
      <alignment vertical="center"/>
    </xf>
    <xf numFmtId="0" fontId="9" fillId="18" borderId="11" xfId="0" applyFont="1" applyFill="1" applyBorder="1" applyAlignment="1">
      <alignment horizontal="left" vertical="top" wrapText="1"/>
    </xf>
    <xf numFmtId="0" fontId="9" fillId="18" borderId="11" xfId="0" applyFont="1" applyFill="1" applyBorder="1" applyAlignment="1">
      <alignment horizontal="center" vertical="top" wrapText="1"/>
    </xf>
    <xf numFmtId="4" fontId="9" fillId="18" borderId="61" xfId="0" applyNumberFormat="1" applyFont="1" applyFill="1" applyBorder="1" applyAlignment="1">
      <alignment horizontal="right" vertical="top" wrapText="1"/>
    </xf>
    <xf numFmtId="4" fontId="9" fillId="18" borderId="73" xfId="0" applyNumberFormat="1" applyFont="1" applyFill="1" applyBorder="1" applyAlignment="1">
      <alignment horizontal="right" vertical="top" wrapText="1"/>
    </xf>
    <xf numFmtId="49" fontId="4" fillId="0" borderId="6" xfId="3" applyNumberFormat="1" applyFont="1" applyFill="1" applyBorder="1" applyAlignment="1">
      <alignment horizontal="center" vertical="center"/>
    </xf>
    <xf numFmtId="49" fontId="4" fillId="0" borderId="6" xfId="3" applyNumberFormat="1" applyFont="1" applyFill="1" applyBorder="1" applyAlignment="1">
      <alignment horizontal="left" vertical="center" wrapText="1"/>
    </xf>
    <xf numFmtId="49" fontId="4" fillId="0" borderId="6" xfId="3" applyNumberFormat="1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right" vertical="center" wrapText="1"/>
    </xf>
    <xf numFmtId="164" fontId="4" fillId="4" borderId="6" xfId="2" applyNumberFormat="1" applyFont="1" applyFill="1" applyBorder="1" applyAlignment="1">
      <alignment horizontal="right" vertical="center" wrapText="1"/>
    </xf>
    <xf numFmtId="164" fontId="4" fillId="5" borderId="6" xfId="2" applyNumberFormat="1" applyFont="1" applyFill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right"/>
    </xf>
    <xf numFmtId="49" fontId="4" fillId="0" borderId="11" xfId="3" applyNumberFormat="1" applyFont="1" applyFill="1" applyBorder="1" applyAlignment="1">
      <alignment horizontal="center" vertical="center"/>
    </xf>
    <xf numFmtId="49" fontId="4" fillId="0" borderId="11" xfId="3" applyNumberFormat="1" applyFont="1" applyFill="1" applyBorder="1" applyAlignment="1">
      <alignment horizontal="left" vertical="center" wrapText="1"/>
    </xf>
    <xf numFmtId="49" fontId="4" fillId="0" borderId="11" xfId="3" applyNumberFormat="1" applyFont="1" applyFill="1" applyBorder="1" applyAlignment="1">
      <alignment horizontal="center" vertical="center" wrapText="1"/>
    </xf>
    <xf numFmtId="3" fontId="4" fillId="0" borderId="11" xfId="2" applyNumberFormat="1" applyFont="1" applyFill="1" applyBorder="1" applyAlignment="1">
      <alignment horizontal="center" vertical="center" wrapText="1"/>
    </xf>
    <xf numFmtId="164" fontId="4" fillId="0" borderId="11" xfId="2" applyNumberFormat="1" applyFont="1" applyFill="1" applyBorder="1" applyAlignment="1">
      <alignment horizontal="right" vertical="center" wrapText="1"/>
    </xf>
    <xf numFmtId="164" fontId="4" fillId="4" borderId="11" xfId="2" applyNumberFormat="1" applyFont="1" applyFill="1" applyBorder="1" applyAlignment="1">
      <alignment horizontal="right" vertical="center" wrapText="1"/>
    </xf>
    <xf numFmtId="164" fontId="9" fillId="0" borderId="11" xfId="0" applyNumberFormat="1" applyFont="1" applyBorder="1" applyAlignment="1">
      <alignment horizontal="right"/>
    </xf>
    <xf numFmtId="0" fontId="2" fillId="6" borderId="3" xfId="1" applyFont="1" applyFill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 applyProtection="1">
      <alignment horizontal="center" vertical="center" wrapText="1"/>
    </xf>
    <xf numFmtId="165" fontId="4" fillId="0" borderId="5" xfId="3" applyNumberFormat="1" applyFont="1" applyFill="1" applyBorder="1" applyAlignment="1">
      <alignment horizontal="right" vertical="center" wrapText="1"/>
    </xf>
    <xf numFmtId="165" fontId="4" fillId="0" borderId="13" xfId="3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 applyProtection="1">
      <alignment horizontal="right" vertical="center" wrapText="1"/>
    </xf>
    <xf numFmtId="165" fontId="4" fillId="0" borderId="8" xfId="3" applyNumberFormat="1" applyFont="1" applyFill="1" applyBorder="1" applyAlignment="1">
      <alignment horizontal="right" vertical="center" wrapText="1"/>
    </xf>
    <xf numFmtId="165" fontId="4" fillId="0" borderId="9" xfId="3" applyNumberFormat="1" applyFont="1" applyFill="1" applyBorder="1" applyAlignment="1">
      <alignment horizontal="right" vertical="center" wrapText="1"/>
    </xf>
    <xf numFmtId="165" fontId="4" fillId="0" borderId="75" xfId="3" applyNumberFormat="1" applyFont="1" applyFill="1" applyBorder="1" applyAlignment="1">
      <alignment horizontal="right" vertical="center" wrapText="1"/>
    </xf>
    <xf numFmtId="165" fontId="4" fillId="0" borderId="76" xfId="3" applyNumberFormat="1" applyFont="1" applyFill="1" applyBorder="1" applyAlignment="1">
      <alignment horizontal="right" vertical="center" wrapText="1"/>
    </xf>
    <xf numFmtId="165" fontId="4" fillId="0" borderId="75" xfId="0" applyNumberFormat="1" applyFont="1" applyFill="1" applyBorder="1" applyAlignment="1" applyProtection="1">
      <alignment horizontal="right" vertical="center" wrapText="1"/>
    </xf>
    <xf numFmtId="165" fontId="4" fillId="0" borderId="76" xfId="0" applyNumberFormat="1" applyFont="1" applyFill="1" applyBorder="1" applyAlignment="1" applyProtection="1">
      <alignment horizontal="right" vertical="center" wrapText="1"/>
    </xf>
    <xf numFmtId="0" fontId="34" fillId="0" borderId="49" xfId="3" applyFont="1" applyFill="1" applyBorder="1" applyAlignment="1">
      <alignment horizontal="center" vertical="center" wrapText="1"/>
    </xf>
    <xf numFmtId="49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right" vertical="center" wrapText="1"/>
    </xf>
    <xf numFmtId="0" fontId="4" fillId="6" borderId="5" xfId="3" applyFont="1" applyFill="1" applyBorder="1" applyAlignment="1">
      <alignment horizontal="center" vertical="center" wrapText="1"/>
    </xf>
    <xf numFmtId="0" fontId="4" fillId="0" borderId="5" xfId="0" applyFont="1" applyBorder="1"/>
    <xf numFmtId="49" fontId="4" fillId="6" borderId="9" xfId="3" applyNumberFormat="1" applyFont="1" applyFill="1" applyBorder="1" applyAlignment="1">
      <alignment horizontal="center" vertical="center"/>
    </xf>
    <xf numFmtId="0" fontId="4" fillId="6" borderId="8" xfId="3" applyFont="1" applyFill="1" applyBorder="1" applyAlignment="1">
      <alignment horizontal="center" vertical="center" wrapText="1"/>
    </xf>
    <xf numFmtId="165" fontId="9" fillId="0" borderId="75" xfId="0" applyNumberFormat="1" applyFont="1" applyBorder="1" applyAlignment="1">
      <alignment horizontal="right"/>
    </xf>
    <xf numFmtId="165" fontId="4" fillId="0" borderId="77" xfId="3" applyNumberFormat="1" applyFont="1" applyFill="1" applyBorder="1" applyAlignment="1">
      <alignment horizontal="right" vertical="center" wrapText="1"/>
    </xf>
    <xf numFmtId="0" fontId="4" fillId="0" borderId="8" xfId="0" applyFont="1" applyBorder="1"/>
    <xf numFmtId="0" fontId="4" fillId="0" borderId="9" xfId="0" applyFont="1" applyBorder="1"/>
    <xf numFmtId="49" fontId="4" fillId="6" borderId="9" xfId="3" applyNumberFormat="1" applyFont="1" applyFill="1" applyBorder="1" applyAlignment="1">
      <alignment horizontal="center" vertical="center" wrapText="1"/>
    </xf>
    <xf numFmtId="165" fontId="4" fillId="0" borderId="78" xfId="3" applyNumberFormat="1" applyFont="1" applyFill="1" applyBorder="1" applyAlignment="1">
      <alignment horizontal="right" vertical="center" wrapText="1"/>
    </xf>
    <xf numFmtId="165" fontId="8" fillId="0" borderId="75" xfId="3" applyNumberFormat="1" applyFont="1" applyFill="1" applyBorder="1" applyAlignment="1">
      <alignment horizontal="right" vertical="center" wrapText="1"/>
    </xf>
    <xf numFmtId="165" fontId="9" fillId="0" borderId="13" xfId="0" applyNumberFormat="1" applyFont="1" applyBorder="1" applyAlignment="1">
      <alignment horizontal="right"/>
    </xf>
    <xf numFmtId="165" fontId="9" fillId="0" borderId="76" xfId="0" applyNumberFormat="1" applyFont="1" applyBorder="1" applyAlignment="1">
      <alignment horizontal="right"/>
    </xf>
    <xf numFmtId="49" fontId="4" fillId="6" borderId="49" xfId="3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4" fontId="4" fillId="4" borderId="4" xfId="2" applyNumberFormat="1" applyFont="1" applyFill="1" applyBorder="1" applyAlignment="1">
      <alignment horizontal="right" vertical="center" wrapText="1"/>
    </xf>
    <xf numFmtId="49" fontId="4" fillId="0" borderId="12" xfId="3" applyNumberFormat="1" applyFont="1" applyFill="1" applyBorder="1" applyAlignment="1">
      <alignment horizontal="center" vertical="center"/>
    </xf>
    <xf numFmtId="49" fontId="4" fillId="0" borderId="12" xfId="3" applyNumberFormat="1" applyFont="1" applyFill="1" applyBorder="1" applyAlignment="1">
      <alignment horizontal="left" vertical="center" wrapText="1"/>
    </xf>
    <xf numFmtId="49" fontId="4" fillId="0" borderId="12" xfId="3" applyNumberFormat="1" applyFont="1" applyFill="1" applyBorder="1" applyAlignment="1">
      <alignment horizontal="center" vertical="center" wrapText="1"/>
    </xf>
    <xf numFmtId="3" fontId="4" fillId="0" borderId="12" xfId="2" applyNumberFormat="1" applyFont="1" applyFill="1" applyBorder="1" applyAlignment="1">
      <alignment horizontal="center" vertical="center" wrapText="1"/>
    </xf>
    <xf numFmtId="164" fontId="4" fillId="5" borderId="12" xfId="2" applyNumberFormat="1" applyFont="1" applyFill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/>
    </xf>
    <xf numFmtId="164" fontId="4" fillId="14" borderId="6" xfId="2" applyNumberFormat="1" applyFont="1" applyFill="1" applyBorder="1" applyAlignment="1">
      <alignment horizontal="right" vertical="center" wrapText="1"/>
    </xf>
    <xf numFmtId="164" fontId="4" fillId="14" borderId="12" xfId="2" applyNumberFormat="1" applyFont="1" applyFill="1" applyBorder="1" applyAlignment="1">
      <alignment horizontal="right" vertical="center" wrapText="1"/>
    </xf>
    <xf numFmtId="164" fontId="4" fillId="14" borderId="11" xfId="2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/>
    </xf>
    <xf numFmtId="0" fontId="9" fillId="5" borderId="6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11" xfId="0" applyFont="1" applyFill="1" applyBorder="1" applyAlignment="1">
      <alignment horizontal="right"/>
    </xf>
    <xf numFmtId="164" fontId="4" fillId="0" borderId="12" xfId="2" applyNumberFormat="1" applyFont="1" applyFill="1" applyBorder="1" applyAlignment="1">
      <alignment horizontal="right" vertical="center" wrapText="1"/>
    </xf>
    <xf numFmtId="164" fontId="4" fillId="0" borderId="4" xfId="2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/>
    </xf>
    <xf numFmtId="0" fontId="9" fillId="5" borderId="20" xfId="0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 vertical="center" wrapText="1"/>
    </xf>
    <xf numFmtId="4" fontId="9" fillId="18" borderId="64" xfId="0" applyNumberFormat="1" applyFont="1" applyFill="1" applyBorder="1" applyAlignment="1">
      <alignment vertical="top" wrapText="1"/>
    </xf>
    <xf numFmtId="0" fontId="4" fillId="16" borderId="12" xfId="0" applyFont="1" applyFill="1" applyBorder="1" applyAlignment="1">
      <alignment horizontal="left" vertical="top" wrapText="1"/>
    </xf>
    <xf numFmtId="0" fontId="9" fillId="16" borderId="12" xfId="0" applyFont="1" applyFill="1" applyBorder="1" applyAlignment="1">
      <alignment horizontal="left" vertical="top" wrapText="1"/>
    </xf>
    <xf numFmtId="0" fontId="4" fillId="16" borderId="11" xfId="0" applyFont="1" applyFill="1" applyBorder="1" applyAlignment="1">
      <alignment horizontal="left" vertical="top" wrapText="1"/>
    </xf>
    <xf numFmtId="0" fontId="9" fillId="16" borderId="11" xfId="0" applyFont="1" applyFill="1" applyBorder="1" applyAlignment="1">
      <alignment horizontal="left" vertical="top" wrapText="1"/>
    </xf>
    <xf numFmtId="4" fontId="9" fillId="16" borderId="14" xfId="0" applyNumberFormat="1" applyFont="1" applyFill="1" applyBorder="1" applyAlignment="1">
      <alignment horizontal="right" vertical="top" wrapText="1"/>
    </xf>
    <xf numFmtId="4" fontId="9" fillId="16" borderId="4" xfId="0" applyNumberFormat="1" applyFont="1" applyFill="1" applyBorder="1" applyAlignment="1">
      <alignment horizontal="right" vertical="top" wrapText="1"/>
    </xf>
    <xf numFmtId="4" fontId="9" fillId="16" borderId="15" xfId="0" applyNumberFormat="1" applyFont="1" applyFill="1" applyBorder="1" applyAlignment="1">
      <alignment horizontal="right" vertical="top" wrapText="1"/>
    </xf>
    <xf numFmtId="10" fontId="9" fillId="16" borderId="11" xfId="6" applyNumberFormat="1" applyFont="1" applyFill="1" applyBorder="1" applyAlignment="1">
      <alignment horizontal="left" vertical="top" wrapText="1"/>
    </xf>
    <xf numFmtId="0" fontId="36" fillId="0" borderId="13" xfId="0" applyFont="1" applyBorder="1" applyAlignment="1">
      <alignment horizontal="center"/>
    </xf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7" fillId="0" borderId="6" xfId="0" applyNumberFormat="1" applyFont="1" applyFill="1" applyBorder="1" applyAlignment="1" applyProtection="1">
      <alignment horizontal="center" vertical="center" wrapText="1"/>
    </xf>
    <xf numFmtId="3" fontId="37" fillId="0" borderId="6" xfId="0" applyNumberFormat="1" applyFont="1" applyBorder="1"/>
    <xf numFmtId="165" fontId="37" fillId="0" borderId="6" xfId="0" applyNumberFormat="1" applyFont="1" applyFill="1" applyBorder="1" applyAlignment="1" applyProtection="1">
      <alignment horizontal="right" vertical="center" wrapText="1"/>
    </xf>
    <xf numFmtId="49" fontId="9" fillId="16" borderId="64" xfId="0" applyNumberFormat="1" applyFont="1" applyFill="1" applyBorder="1" applyAlignment="1">
      <alignment vertical="top" wrapText="1"/>
    </xf>
    <xf numFmtId="10" fontId="9" fillId="16" borderId="64" xfId="6" applyNumberFormat="1" applyFont="1" applyFill="1" applyBorder="1" applyAlignment="1">
      <alignment vertical="top" wrapText="1"/>
    </xf>
    <xf numFmtId="49" fontId="9" fillId="16" borderId="7" xfId="0" applyNumberFormat="1" applyFont="1" applyFill="1" applyBorder="1" applyAlignment="1">
      <alignment vertical="top" wrapText="1"/>
    </xf>
    <xf numFmtId="10" fontId="9" fillId="16" borderId="7" xfId="6" applyNumberFormat="1" applyFont="1" applyFill="1" applyBorder="1" applyAlignment="1">
      <alignment vertical="top" wrapText="1"/>
    </xf>
    <xf numFmtId="49" fontId="9" fillId="16" borderId="59" xfId="0" applyNumberFormat="1" applyFont="1" applyFill="1" applyBorder="1" applyAlignment="1">
      <alignment vertical="top" wrapText="1"/>
    </xf>
    <xf numFmtId="10" fontId="9" fillId="16" borderId="59" xfId="6" applyNumberFormat="1" applyFont="1" applyFill="1" applyBorder="1" applyAlignment="1">
      <alignment vertical="top" wrapText="1"/>
    </xf>
    <xf numFmtId="4" fontId="9" fillId="16" borderId="61" xfId="0" applyNumberFormat="1" applyFont="1" applyFill="1" applyBorder="1" applyAlignment="1">
      <alignment horizontal="right" vertical="top" wrapText="1"/>
    </xf>
    <xf numFmtId="4" fontId="9" fillId="16" borderId="11" xfId="0" applyNumberFormat="1" applyFont="1" applyFill="1" applyBorder="1" applyAlignment="1">
      <alignment horizontal="right" vertical="top" wrapText="1"/>
    </xf>
    <xf numFmtId="4" fontId="9" fillId="16" borderId="73" xfId="0" applyNumberFormat="1" applyFont="1" applyFill="1" applyBorder="1" applyAlignment="1">
      <alignment horizontal="right" vertical="top" wrapText="1"/>
    </xf>
    <xf numFmtId="4" fontId="9" fillId="16" borderId="60" xfId="0" applyNumberFormat="1" applyFont="1" applyFill="1" applyBorder="1" applyAlignment="1">
      <alignment horizontal="right" vertical="top" wrapText="1"/>
    </xf>
    <xf numFmtId="4" fontId="9" fillId="16" borderId="12" xfId="0" applyNumberFormat="1" applyFont="1" applyFill="1" applyBorder="1" applyAlignment="1">
      <alignment horizontal="right" vertical="top" wrapText="1"/>
    </xf>
    <xf numFmtId="4" fontId="9" fillId="16" borderId="58" xfId="0" applyNumberFormat="1" applyFont="1" applyFill="1" applyBorder="1" applyAlignment="1">
      <alignment horizontal="right" vertical="top" wrapText="1"/>
    </xf>
    <xf numFmtId="10" fontId="9" fillId="16" borderId="12" xfId="6" applyNumberFormat="1" applyFont="1" applyFill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center" vertical="top" wrapText="1"/>
    </xf>
    <xf numFmtId="4" fontId="4" fillId="0" borderId="9" xfId="3" applyNumberFormat="1" applyFont="1" applyFill="1" applyBorder="1" applyAlignment="1">
      <alignment horizontal="center" vertical="center" wrapText="1"/>
    </xf>
    <xf numFmtId="4" fontId="4" fillId="7" borderId="49" xfId="3" applyNumberFormat="1" applyFont="1" applyFill="1" applyBorder="1" applyAlignment="1">
      <alignment horizontal="center" vertical="center" wrapText="1"/>
    </xf>
    <xf numFmtId="4" fontId="4" fillId="0" borderId="57" xfId="3" applyNumberFormat="1" applyFont="1" applyFill="1" applyBorder="1" applyAlignment="1">
      <alignment horizontal="center" vertical="center" wrapText="1"/>
    </xf>
    <xf numFmtId="4" fontId="4" fillId="7" borderId="9" xfId="3" applyNumberFormat="1" applyFont="1" applyFill="1" applyBorder="1" applyAlignment="1">
      <alignment horizontal="center" vertical="center" wrapText="1"/>
    </xf>
    <xf numFmtId="4" fontId="9" fillId="21" borderId="25" xfId="0" applyNumberFormat="1" applyFont="1" applyFill="1" applyBorder="1" applyAlignment="1">
      <alignment vertical="top"/>
    </xf>
    <xf numFmtId="10" fontId="25" fillId="16" borderId="20" xfId="0" applyNumberFormat="1" applyFont="1" applyFill="1" applyBorder="1" applyAlignment="1">
      <alignment horizontal="right" vertical="top"/>
    </xf>
    <xf numFmtId="10" fontId="25" fillId="16" borderId="2" xfId="0" applyNumberFormat="1" applyFont="1" applyFill="1" applyBorder="1" applyAlignment="1">
      <alignment horizontal="right" vertical="top"/>
    </xf>
    <xf numFmtId="10" fontId="25" fillId="16" borderId="25" xfId="0" applyNumberFormat="1" applyFont="1" applyFill="1" applyBorder="1" applyAlignment="1">
      <alignment horizontal="right" vertical="top"/>
    </xf>
    <xf numFmtId="3" fontId="24" fillId="13" borderId="20" xfId="0" applyNumberFormat="1" applyFont="1" applyFill="1" applyBorder="1" applyAlignment="1">
      <alignment horizontal="right" vertical="top"/>
    </xf>
    <xf numFmtId="3" fontId="24" fillId="13" borderId="21" xfId="0" applyNumberFormat="1" applyFont="1" applyFill="1" applyBorder="1" applyAlignment="1">
      <alignment horizontal="right" vertical="top"/>
    </xf>
    <xf numFmtId="10" fontId="25" fillId="13" borderId="20" xfId="0" applyNumberFormat="1" applyFont="1" applyFill="1" applyBorder="1" applyAlignment="1">
      <alignment horizontal="right" vertical="top"/>
    </xf>
    <xf numFmtId="3" fontId="24" fillId="13" borderId="2" xfId="0" applyNumberFormat="1" applyFont="1" applyFill="1" applyBorder="1" applyAlignment="1">
      <alignment horizontal="right" vertical="top"/>
    </xf>
    <xf numFmtId="3" fontId="24" fillId="13" borderId="23" xfId="0" applyNumberFormat="1" applyFont="1" applyFill="1" applyBorder="1" applyAlignment="1">
      <alignment horizontal="right" vertical="top"/>
    </xf>
    <xf numFmtId="10" fontId="25" fillId="13" borderId="2" xfId="0" applyNumberFormat="1" applyFont="1" applyFill="1" applyBorder="1" applyAlignment="1">
      <alignment horizontal="right" vertical="top"/>
    </xf>
    <xf numFmtId="3" fontId="26" fillId="13" borderId="2" xfId="0" applyNumberFormat="1" applyFont="1" applyFill="1" applyBorder="1" applyAlignment="1">
      <alignment horizontal="right" vertical="top"/>
    </xf>
    <xf numFmtId="1" fontId="26" fillId="13" borderId="2" xfId="5" applyNumberFormat="1" applyFont="1" applyFill="1" applyBorder="1" applyAlignment="1">
      <alignment horizontal="right" vertical="top"/>
    </xf>
    <xf numFmtId="3" fontId="26" fillId="13" borderId="23" xfId="0" applyNumberFormat="1" applyFont="1" applyFill="1" applyBorder="1" applyAlignment="1">
      <alignment horizontal="right" vertical="top"/>
    </xf>
    <xf numFmtId="3" fontId="26" fillId="13" borderId="4" xfId="0" applyNumberFormat="1" applyFont="1" applyFill="1" applyBorder="1" applyAlignment="1">
      <alignment horizontal="right" vertical="top"/>
    </xf>
    <xf numFmtId="3" fontId="26" fillId="13" borderId="29" xfId="0" applyNumberFormat="1" applyFont="1" applyFill="1" applyBorder="1" applyAlignment="1">
      <alignment horizontal="right" vertical="top"/>
    </xf>
    <xf numFmtId="10" fontId="25" fillId="13" borderId="25" xfId="0" applyNumberFormat="1" applyFont="1" applyFill="1" applyBorder="1" applyAlignment="1">
      <alignment horizontal="right" vertical="top"/>
    </xf>
    <xf numFmtId="3" fontId="24" fillId="14" borderId="20" xfId="0" applyNumberFormat="1" applyFont="1" applyFill="1" applyBorder="1" applyAlignment="1">
      <alignment horizontal="right" vertical="top"/>
    </xf>
    <xf numFmtId="3" fontId="26" fillId="14" borderId="20" xfId="0" applyNumberFormat="1" applyFont="1" applyFill="1" applyBorder="1" applyAlignment="1">
      <alignment horizontal="right" vertical="top"/>
    </xf>
    <xf numFmtId="3" fontId="24" fillId="14" borderId="21" xfId="0" applyNumberFormat="1" applyFont="1" applyFill="1" applyBorder="1" applyAlignment="1">
      <alignment horizontal="right" vertical="top"/>
    </xf>
    <xf numFmtId="10" fontId="25" fillId="14" borderId="20" xfId="0" applyNumberFormat="1" applyFont="1" applyFill="1" applyBorder="1" applyAlignment="1">
      <alignment horizontal="right" vertical="top"/>
    </xf>
    <xf numFmtId="3" fontId="26" fillId="14" borderId="25" xfId="0" applyNumberFormat="1" applyFont="1" applyFill="1" applyBorder="1" applyAlignment="1">
      <alignment horizontal="right" vertical="top"/>
    </xf>
    <xf numFmtId="3" fontId="26" fillId="14" borderId="26" xfId="0" applyNumberFormat="1" applyFont="1" applyFill="1" applyBorder="1" applyAlignment="1">
      <alignment horizontal="right" vertical="top"/>
    </xf>
    <xf numFmtId="10" fontId="25" fillId="14" borderId="25" xfId="0" applyNumberFormat="1" applyFont="1" applyFill="1" applyBorder="1" applyAlignment="1">
      <alignment horizontal="right" vertical="top"/>
    </xf>
    <xf numFmtId="3" fontId="26" fillId="15" borderId="20" xfId="0" applyNumberFormat="1" applyFont="1" applyFill="1" applyBorder="1" applyAlignment="1">
      <alignment horizontal="right" vertical="top"/>
    </xf>
    <xf numFmtId="3" fontId="26" fillId="15" borderId="21" xfId="0" applyNumberFormat="1" applyFont="1" applyFill="1" applyBorder="1" applyAlignment="1">
      <alignment horizontal="right" vertical="top"/>
    </xf>
    <xf numFmtId="10" fontId="25" fillId="15" borderId="20" xfId="0" applyNumberFormat="1" applyFont="1" applyFill="1" applyBorder="1" applyAlignment="1">
      <alignment horizontal="right" vertical="top"/>
    </xf>
    <xf numFmtId="3" fontId="26" fillId="15" borderId="2" xfId="0" applyNumberFormat="1" applyFont="1" applyFill="1" applyBorder="1" applyAlignment="1">
      <alignment horizontal="right" vertical="top"/>
    </xf>
    <xf numFmtId="3" fontId="26" fillId="15" borderId="23" xfId="0" applyNumberFormat="1" applyFont="1" applyFill="1" applyBorder="1" applyAlignment="1">
      <alignment horizontal="right" vertical="top"/>
    </xf>
    <xf numFmtId="10" fontId="25" fillId="15" borderId="2" xfId="0" applyNumberFormat="1" applyFont="1" applyFill="1" applyBorder="1" applyAlignment="1">
      <alignment horizontal="right" vertical="top"/>
    </xf>
    <xf numFmtId="3" fontId="26" fillId="15" borderId="6" xfId="0" applyNumberFormat="1" applyFont="1" applyFill="1" applyBorder="1" applyAlignment="1">
      <alignment horizontal="right" vertical="top"/>
    </xf>
    <xf numFmtId="3" fontId="26" fillId="15" borderId="27" xfId="0" applyNumberFormat="1" applyFont="1" applyFill="1" applyBorder="1" applyAlignment="1">
      <alignment horizontal="right" vertical="top"/>
    </xf>
    <xf numFmtId="10" fontId="25" fillId="15" borderId="25" xfId="0" applyNumberFormat="1" applyFont="1" applyFill="1" applyBorder="1" applyAlignment="1">
      <alignment horizontal="right" vertical="top"/>
    </xf>
    <xf numFmtId="3" fontId="26" fillId="16" borderId="20" xfId="0" applyNumberFormat="1" applyFont="1" applyFill="1" applyBorder="1" applyAlignment="1">
      <alignment horizontal="right" vertical="top" wrapText="1"/>
    </xf>
    <xf numFmtId="1" fontId="26" fillId="16" borderId="20" xfId="0" applyNumberFormat="1" applyFont="1" applyFill="1" applyBorder="1" applyAlignment="1">
      <alignment horizontal="right" vertical="top" wrapText="1"/>
    </xf>
    <xf numFmtId="1" fontId="26" fillId="16" borderId="21" xfId="0" applyNumberFormat="1" applyFont="1" applyFill="1" applyBorder="1" applyAlignment="1">
      <alignment horizontal="right" vertical="top" wrapText="1"/>
    </xf>
    <xf numFmtId="3" fontId="26" fillId="16" borderId="4" xfId="0" applyNumberFormat="1" applyFont="1" applyFill="1" applyBorder="1" applyAlignment="1">
      <alignment horizontal="right" vertical="top" wrapText="1"/>
    </xf>
    <xf numFmtId="1" fontId="26" fillId="16" borderId="4" xfId="0" applyNumberFormat="1" applyFont="1" applyFill="1" applyBorder="1" applyAlignment="1">
      <alignment horizontal="right" vertical="top" wrapText="1"/>
    </xf>
    <xf numFmtId="1" fontId="26" fillId="16" borderId="29" xfId="0" applyNumberFormat="1" applyFont="1" applyFill="1" applyBorder="1" applyAlignment="1">
      <alignment horizontal="right" vertical="top" wrapText="1"/>
    </xf>
    <xf numFmtId="10" fontId="25" fillId="16" borderId="4" xfId="0" applyNumberFormat="1" applyFont="1" applyFill="1" applyBorder="1" applyAlignment="1">
      <alignment horizontal="right" vertical="top"/>
    </xf>
    <xf numFmtId="4" fontId="26" fillId="16" borderId="2" xfId="0" applyNumberFormat="1" applyFont="1" applyFill="1" applyBorder="1" applyAlignment="1">
      <alignment horizontal="right" vertical="top" wrapText="1"/>
    </xf>
    <xf numFmtId="4" fontId="26" fillId="16" borderId="23" xfId="0" applyNumberFormat="1" applyFont="1" applyFill="1" applyBorder="1" applyAlignment="1">
      <alignment horizontal="right" vertical="top" wrapText="1"/>
    </xf>
    <xf numFmtId="4" fontId="26" fillId="16" borderId="25" xfId="0" applyNumberFormat="1" applyFont="1" applyFill="1" applyBorder="1" applyAlignment="1">
      <alignment horizontal="right" vertical="top" wrapText="1"/>
    </xf>
    <xf numFmtId="4" fontId="26" fillId="16" borderId="26" xfId="0" applyNumberFormat="1" applyFont="1" applyFill="1" applyBorder="1" applyAlignment="1">
      <alignment horizontal="right" vertical="top" wrapText="1"/>
    </xf>
    <xf numFmtId="49" fontId="4" fillId="15" borderId="2" xfId="0" applyNumberFormat="1" applyFont="1" applyFill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3" fontId="9" fillId="14" borderId="6" xfId="0" applyNumberFormat="1" applyFont="1" applyFill="1" applyBorder="1" applyAlignment="1">
      <alignment vertical="center"/>
    </xf>
    <xf numFmtId="3" fontId="9" fillId="14" borderId="4" xfId="0" applyNumberFormat="1" applyFont="1" applyFill="1" applyBorder="1" applyAlignment="1">
      <alignment vertical="center"/>
    </xf>
    <xf numFmtId="166" fontId="9" fillId="3" borderId="2" xfId="0" applyNumberFormat="1" applyFont="1" applyFill="1" applyBorder="1" applyAlignment="1">
      <alignment horizontal="right" vertical="top" wrapText="1"/>
    </xf>
    <xf numFmtId="10" fontId="17" fillId="22" borderId="25" xfId="6" applyNumberFormat="1" applyFont="1" applyFill="1" applyBorder="1" applyAlignment="1">
      <alignment horizontal="center" vertical="center" wrapText="1"/>
    </xf>
    <xf numFmtId="10" fontId="17" fillId="9" borderId="25" xfId="6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49" fontId="2" fillId="0" borderId="9" xfId="3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10" fontId="17" fillId="3" borderId="10" xfId="6" applyNumberFormat="1" applyFont="1" applyFill="1" applyBorder="1" applyAlignment="1">
      <alignment horizontal="center" vertical="center" wrapText="1"/>
    </xf>
    <xf numFmtId="10" fontId="25" fillId="13" borderId="32" xfId="0" applyNumberFormat="1" applyFont="1" applyFill="1" applyBorder="1" applyAlignment="1">
      <alignment horizontal="right" vertical="top"/>
    </xf>
    <xf numFmtId="0" fontId="27" fillId="16" borderId="14" xfId="0" applyFont="1" applyFill="1" applyBorder="1" applyAlignment="1">
      <alignment horizontal="right" vertical="top" wrapText="1"/>
    </xf>
    <xf numFmtId="4" fontId="27" fillId="16" borderId="5" xfId="0" applyNumberFormat="1" applyFont="1" applyFill="1" applyBorder="1" applyAlignment="1">
      <alignment horizontal="right" vertical="top" wrapText="1"/>
    </xf>
    <xf numFmtId="4" fontId="27" fillId="16" borderId="47" xfId="0" applyNumberFormat="1" applyFont="1" applyFill="1" applyBorder="1" applyAlignment="1">
      <alignment horizontal="right" vertical="top" wrapText="1"/>
    </xf>
    <xf numFmtId="10" fontId="17" fillId="6" borderId="24" xfId="6" applyNumberFormat="1" applyFont="1" applyFill="1" applyBorder="1" applyAlignment="1">
      <alignment horizontal="center" vertical="center" wrapText="1"/>
    </xf>
    <xf numFmtId="10" fontId="17" fillId="3" borderId="25" xfId="6" applyNumberFormat="1" applyFont="1" applyFill="1" applyBorder="1" applyAlignment="1">
      <alignment horizontal="center" vertical="center" wrapText="1"/>
    </xf>
    <xf numFmtId="10" fontId="27" fillId="13" borderId="2" xfId="6" applyNumberFormat="1" applyFont="1" applyFill="1" applyBorder="1" applyAlignment="1">
      <alignment horizontal="right" vertical="top"/>
    </xf>
    <xf numFmtId="10" fontId="27" fillId="13" borderId="25" xfId="6" applyNumberFormat="1" applyFont="1" applyFill="1" applyBorder="1" applyAlignment="1">
      <alignment horizontal="right" vertical="top"/>
    </xf>
    <xf numFmtId="10" fontId="27" fillId="15" borderId="20" xfId="0" applyNumberFormat="1" applyFont="1" applyFill="1" applyBorder="1" applyAlignment="1">
      <alignment horizontal="right" vertical="top"/>
    </xf>
    <xf numFmtId="10" fontId="27" fillId="15" borderId="2" xfId="0" applyNumberFormat="1" applyFont="1" applyFill="1" applyBorder="1" applyAlignment="1">
      <alignment horizontal="right" vertical="top"/>
    </xf>
    <xf numFmtId="10" fontId="27" fillId="15" borderId="25" xfId="0" applyNumberFormat="1" applyFont="1" applyFill="1" applyBorder="1" applyAlignment="1">
      <alignment horizontal="right" vertical="top"/>
    </xf>
    <xf numFmtId="10" fontId="27" fillId="16" borderId="20" xfId="0" applyNumberFormat="1" applyFont="1" applyFill="1" applyBorder="1" applyAlignment="1">
      <alignment horizontal="right" vertical="top" wrapText="1"/>
    </xf>
    <xf numFmtId="10" fontId="27" fillId="16" borderId="4" xfId="0" applyNumberFormat="1" applyFont="1" applyFill="1" applyBorder="1" applyAlignment="1">
      <alignment horizontal="right" vertical="top" wrapText="1"/>
    </xf>
    <xf numFmtId="10" fontId="27" fillId="16" borderId="2" xfId="0" applyNumberFormat="1" applyFont="1" applyFill="1" applyBorder="1" applyAlignment="1">
      <alignment horizontal="right" vertical="top" wrapText="1"/>
    </xf>
    <xf numFmtId="10" fontId="27" fillId="16" borderId="25" xfId="0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10" fontId="39" fillId="13" borderId="2" xfId="0" applyNumberFormat="1" applyFont="1" applyFill="1" applyBorder="1" applyAlignment="1">
      <alignment horizontal="right" vertical="top"/>
    </xf>
    <xf numFmtId="10" fontId="39" fillId="13" borderId="3" xfId="0" applyNumberFormat="1" applyFont="1" applyFill="1" applyBorder="1" applyAlignment="1">
      <alignment horizontal="right" vertical="top"/>
    </xf>
    <xf numFmtId="10" fontId="39" fillId="13" borderId="3" xfId="6" applyNumberFormat="1" applyFont="1" applyFill="1" applyBorder="1" applyAlignment="1">
      <alignment horizontal="right" vertical="top"/>
    </xf>
    <xf numFmtId="10" fontId="39" fillId="13" borderId="25" xfId="0" applyNumberFormat="1" applyFont="1" applyFill="1" applyBorder="1" applyAlignment="1">
      <alignment horizontal="right" vertical="top"/>
    </xf>
    <xf numFmtId="10" fontId="39" fillId="13" borderId="33" xfId="6" applyNumberFormat="1" applyFont="1" applyFill="1" applyBorder="1" applyAlignment="1">
      <alignment horizontal="right" vertical="top"/>
    </xf>
    <xf numFmtId="10" fontId="39" fillId="14" borderId="20" xfId="0" applyNumberFormat="1" applyFont="1" applyFill="1" applyBorder="1" applyAlignment="1">
      <alignment horizontal="right" vertical="top"/>
    </xf>
    <xf numFmtId="10" fontId="39" fillId="14" borderId="15" xfId="6" applyNumberFormat="1" applyFont="1" applyFill="1" applyBorder="1" applyAlignment="1">
      <alignment horizontal="right" vertical="top"/>
    </xf>
    <xf numFmtId="10" fontId="39" fillId="14" borderId="25" xfId="0" applyNumberFormat="1" applyFont="1" applyFill="1" applyBorder="1" applyAlignment="1">
      <alignment horizontal="right" vertical="top"/>
    </xf>
    <xf numFmtId="10" fontId="39" fillId="14" borderId="33" xfId="0" applyNumberFormat="1" applyFont="1" applyFill="1" applyBorder="1" applyAlignment="1">
      <alignment horizontal="right" vertical="top"/>
    </xf>
    <xf numFmtId="10" fontId="39" fillId="15" borderId="20" xfId="0" applyNumberFormat="1" applyFont="1" applyFill="1" applyBorder="1" applyAlignment="1">
      <alignment horizontal="right" vertical="top"/>
    </xf>
    <xf numFmtId="10" fontId="39" fillId="15" borderId="32" xfId="0" applyNumberFormat="1" applyFont="1" applyFill="1" applyBorder="1" applyAlignment="1">
      <alignment horizontal="right" vertical="top"/>
    </xf>
    <xf numFmtId="10" fontId="39" fillId="15" borderId="2" xfId="0" applyNumberFormat="1" applyFont="1" applyFill="1" applyBorder="1" applyAlignment="1">
      <alignment horizontal="right" vertical="top"/>
    </xf>
    <xf numFmtId="10" fontId="39" fillId="15" borderId="3" xfId="0" applyNumberFormat="1" applyFont="1" applyFill="1" applyBorder="1" applyAlignment="1">
      <alignment horizontal="right" vertical="top"/>
    </xf>
    <xf numFmtId="10" fontId="39" fillId="15" borderId="25" xfId="0" applyNumberFormat="1" applyFont="1" applyFill="1" applyBorder="1" applyAlignment="1">
      <alignment horizontal="right" vertical="top"/>
    </xf>
    <xf numFmtId="10" fontId="39" fillId="15" borderId="33" xfId="0" applyNumberFormat="1" applyFont="1" applyFill="1" applyBorder="1" applyAlignment="1">
      <alignment horizontal="right" vertical="top"/>
    </xf>
    <xf numFmtId="10" fontId="39" fillId="16" borderId="20" xfId="0" applyNumberFormat="1" applyFont="1" applyFill="1" applyBorder="1" applyAlignment="1">
      <alignment horizontal="right" vertical="top"/>
    </xf>
    <xf numFmtId="10" fontId="39" fillId="16" borderId="32" xfId="0" applyNumberFormat="1" applyFont="1" applyFill="1" applyBorder="1" applyAlignment="1">
      <alignment horizontal="right" vertical="top" wrapText="1"/>
    </xf>
    <xf numFmtId="10" fontId="39" fillId="16" borderId="4" xfId="0" applyNumberFormat="1" applyFont="1" applyFill="1" applyBorder="1" applyAlignment="1">
      <alignment horizontal="right" vertical="top"/>
    </xf>
    <xf numFmtId="10" fontId="39" fillId="16" borderId="15" xfId="0" applyNumberFormat="1" applyFont="1" applyFill="1" applyBorder="1" applyAlignment="1">
      <alignment horizontal="right" vertical="top" wrapText="1"/>
    </xf>
    <xf numFmtId="10" fontId="39" fillId="16" borderId="2" xfId="0" applyNumberFormat="1" applyFont="1" applyFill="1" applyBorder="1" applyAlignment="1">
      <alignment horizontal="right" vertical="top"/>
    </xf>
    <xf numFmtId="10" fontId="39" fillId="16" borderId="3" xfId="0" applyNumberFormat="1" applyFont="1" applyFill="1" applyBorder="1" applyAlignment="1">
      <alignment horizontal="right" vertical="top" wrapText="1"/>
    </xf>
    <xf numFmtId="10" fontId="39" fillId="16" borderId="25" xfId="0" applyNumberFormat="1" applyFont="1" applyFill="1" applyBorder="1" applyAlignment="1">
      <alignment horizontal="right" vertical="top"/>
    </xf>
    <xf numFmtId="10" fontId="39" fillId="16" borderId="33" xfId="0" applyNumberFormat="1" applyFont="1" applyFill="1" applyBorder="1" applyAlignment="1">
      <alignment horizontal="right" vertical="top" wrapText="1"/>
    </xf>
    <xf numFmtId="10" fontId="40" fillId="13" borderId="20" xfId="0" applyNumberFormat="1" applyFont="1" applyFill="1" applyBorder="1" applyAlignment="1">
      <alignment horizontal="right" vertical="top"/>
    </xf>
    <xf numFmtId="10" fontId="40" fillId="13" borderId="2" xfId="6" applyNumberFormat="1" applyFont="1" applyFill="1" applyBorder="1" applyAlignment="1">
      <alignment horizontal="right" vertical="top"/>
    </xf>
    <xf numFmtId="10" fontId="39" fillId="14" borderId="4" xfId="6" applyNumberFormat="1" applyFont="1" applyFill="1" applyBorder="1" applyAlignment="1">
      <alignment horizontal="right" vertical="top"/>
    </xf>
    <xf numFmtId="10" fontId="40" fillId="16" borderId="2" xfId="0" applyNumberFormat="1" applyFont="1" applyFill="1" applyBorder="1" applyAlignment="1">
      <alignment horizontal="right" vertical="top"/>
    </xf>
    <xf numFmtId="0" fontId="4" fillId="13" borderId="2" xfId="0" applyFont="1" applyFill="1" applyBorder="1" applyAlignment="1">
      <alignment horizontal="left" vertical="top" wrapText="1"/>
    </xf>
    <xf numFmtId="165" fontId="37" fillId="0" borderId="80" xfId="3" applyNumberFormat="1" applyFont="1" applyFill="1" applyBorder="1" applyAlignment="1">
      <alignment horizontal="right" vertical="center" wrapText="1"/>
    </xf>
    <xf numFmtId="0" fontId="36" fillId="0" borderId="13" xfId="0" applyFont="1" applyFill="1" applyBorder="1" applyAlignment="1">
      <alignment horizontal="center"/>
    </xf>
    <xf numFmtId="0" fontId="36" fillId="0" borderId="6" xfId="0" applyFont="1" applyFill="1" applyBorder="1"/>
    <xf numFmtId="0" fontId="37" fillId="0" borderId="6" xfId="0" applyNumberFormat="1" applyFont="1" applyFill="1" applyBorder="1" applyAlignment="1" applyProtection="1">
      <alignment vertical="top"/>
    </xf>
    <xf numFmtId="167" fontId="37" fillId="0" borderId="6" xfId="0" applyNumberFormat="1" applyFont="1" applyFill="1" applyBorder="1" applyAlignment="1" applyProtection="1">
      <alignment horizontal="center" vertical="center" wrapText="1"/>
    </xf>
    <xf numFmtId="3" fontId="37" fillId="0" borderId="6" xfId="0" applyNumberFormat="1" applyFont="1" applyFill="1" applyBorder="1" applyAlignment="1" applyProtection="1">
      <alignment horizontal="center" vertical="center" wrapText="1"/>
    </xf>
    <xf numFmtId="3" fontId="37" fillId="0" borderId="10" xfId="0" applyNumberFormat="1" applyFont="1" applyFill="1" applyBorder="1" applyAlignment="1" applyProtection="1">
      <alignment horizontal="center" vertical="center" wrapText="1"/>
    </xf>
    <xf numFmtId="165" fontId="37" fillId="0" borderId="75" xfId="0" applyNumberFormat="1" applyFont="1" applyFill="1" applyBorder="1" applyAlignment="1" applyProtection="1">
      <alignment horizontal="right" vertical="center" wrapText="1"/>
    </xf>
    <xf numFmtId="165" fontId="37" fillId="0" borderId="76" xfId="0" applyNumberFormat="1" applyFont="1" applyFill="1" applyBorder="1" applyAlignment="1" applyProtection="1">
      <alignment horizontal="right" vertical="center" wrapText="1"/>
    </xf>
    <xf numFmtId="165" fontId="37" fillId="0" borderId="13" xfId="0" applyNumberFormat="1" applyFont="1" applyFill="1" applyBorder="1" applyAlignment="1" applyProtection="1">
      <alignment horizontal="right" vertical="center" wrapText="1"/>
    </xf>
    <xf numFmtId="0" fontId="37" fillId="0" borderId="6" xfId="0" applyFont="1" applyFill="1" applyBorder="1" applyAlignment="1" applyProtection="1">
      <alignment horizontal="right" vertical="center" wrapText="1"/>
    </xf>
    <xf numFmtId="10" fontId="40" fillId="15" borderId="2" xfId="0" applyNumberFormat="1" applyFont="1" applyFill="1" applyBorder="1" applyAlignment="1">
      <alignment horizontal="right" vertical="top"/>
    </xf>
    <xf numFmtId="49" fontId="9" fillId="13" borderId="2" xfId="0" applyNumberFormat="1" applyFont="1" applyFill="1" applyBorder="1" applyAlignment="1">
      <alignment horizontal="left" vertical="top" wrapText="1"/>
    </xf>
    <xf numFmtId="10" fontId="9" fillId="13" borderId="2" xfId="6" applyNumberFormat="1" applyFont="1" applyFill="1" applyBorder="1" applyAlignment="1">
      <alignment horizontal="left" vertical="top" wrapText="1"/>
    </xf>
    <xf numFmtId="0" fontId="9" fillId="13" borderId="2" xfId="0" applyFont="1" applyFill="1" applyBorder="1" applyAlignment="1">
      <alignment horizontal="left" vertical="top" wrapText="1"/>
    </xf>
    <xf numFmtId="0" fontId="4" fillId="13" borderId="2" xfId="0" applyFont="1" applyFill="1" applyBorder="1" applyAlignment="1">
      <alignment horizontal="left" vertical="top" wrapText="1"/>
    </xf>
    <xf numFmtId="10" fontId="9" fillId="14" borderId="2" xfId="6" applyNumberFormat="1" applyFont="1" applyFill="1" applyBorder="1" applyAlignment="1">
      <alignment horizontal="left" vertical="top" wrapText="1"/>
    </xf>
    <xf numFmtId="0" fontId="4" fillId="14" borderId="2" xfId="0" applyFont="1" applyFill="1" applyBorder="1" applyAlignment="1">
      <alignment horizontal="left" vertical="top" wrapText="1"/>
    </xf>
    <xf numFmtId="4" fontId="9" fillId="16" borderId="84" xfId="0" applyNumberFormat="1" applyFont="1" applyFill="1" applyBorder="1" applyAlignment="1">
      <alignment horizontal="right" vertical="top" wrapText="1"/>
    </xf>
    <xf numFmtId="4" fontId="9" fillId="18" borderId="17" xfId="0" applyNumberFormat="1" applyFont="1" applyFill="1" applyBorder="1" applyAlignment="1">
      <alignment horizontal="right" vertical="top" wrapText="1"/>
    </xf>
    <xf numFmtId="4" fontId="9" fillId="16" borderId="17" xfId="0" applyNumberFormat="1" applyFont="1" applyFill="1" applyBorder="1" applyAlignment="1">
      <alignment horizontal="right" vertical="top" wrapText="1"/>
    </xf>
    <xf numFmtId="4" fontId="9" fillId="16" borderId="81" xfId="0" applyNumberFormat="1" applyFont="1" applyFill="1" applyBorder="1" applyAlignment="1">
      <alignment horizontal="right" vertical="top" wrapText="1"/>
    </xf>
    <xf numFmtId="4" fontId="9" fillId="16" borderId="82" xfId="0" applyNumberFormat="1" applyFont="1" applyFill="1" applyBorder="1" applyAlignment="1">
      <alignment horizontal="right" vertical="top" wrapText="1"/>
    </xf>
    <xf numFmtId="4" fontId="9" fillId="16" borderId="18" xfId="0" applyNumberFormat="1" applyFont="1" applyFill="1" applyBorder="1" applyAlignment="1">
      <alignment horizontal="right" vertical="top" wrapText="1"/>
    </xf>
    <xf numFmtId="4" fontId="9" fillId="18" borderId="85" xfId="0" applyNumberFormat="1" applyFont="1" applyFill="1" applyBorder="1" applyAlignment="1">
      <alignment vertical="top" wrapText="1"/>
    </xf>
    <xf numFmtId="0" fontId="9" fillId="13" borderId="7" xfId="0" applyFont="1" applyFill="1" applyBorder="1" applyAlignment="1">
      <alignment vertical="top" wrapText="1"/>
    </xf>
    <xf numFmtId="16" fontId="17" fillId="13" borderId="7" xfId="0" applyNumberFormat="1" applyFont="1" applyFill="1" applyBorder="1" applyAlignment="1">
      <alignment vertical="top" wrapText="1"/>
    </xf>
    <xf numFmtId="16" fontId="17" fillId="13" borderId="59" xfId="0" applyNumberFormat="1" applyFont="1" applyFill="1" applyBorder="1" applyAlignment="1">
      <alignment vertical="top" wrapText="1"/>
    </xf>
    <xf numFmtId="0" fontId="9" fillId="13" borderId="6" xfId="0" applyFont="1" applyFill="1" applyBorder="1" applyAlignment="1">
      <alignment vertical="top" wrapText="1"/>
    </xf>
    <xf numFmtId="49" fontId="9" fillId="13" borderId="6" xfId="0" applyNumberFormat="1" applyFont="1" applyFill="1" applyBorder="1" applyAlignment="1">
      <alignment vertical="top" wrapText="1"/>
    </xf>
    <xf numFmtId="0" fontId="9" fillId="13" borderId="13" xfId="0" applyFont="1" applyFill="1" applyBorder="1" applyAlignment="1">
      <alignment horizontal="left" vertical="top" wrapText="1"/>
    </xf>
    <xf numFmtId="0" fontId="4" fillId="18" borderId="11" xfId="0" applyFont="1" applyFill="1" applyBorder="1" applyAlignment="1">
      <alignment horizontal="left" vertical="top" wrapText="1"/>
    </xf>
    <xf numFmtId="0" fontId="4" fillId="16" borderId="4" xfId="0" applyFont="1" applyFill="1" applyBorder="1" applyAlignment="1">
      <alignment horizontal="left" vertical="top" wrapText="1"/>
    </xf>
    <xf numFmtId="49" fontId="9" fillId="16" borderId="7" xfId="0" applyNumberFormat="1" applyFont="1" applyFill="1" applyBorder="1" applyAlignment="1">
      <alignment horizontal="left" vertical="top" wrapText="1"/>
    </xf>
    <xf numFmtId="10" fontId="9" fillId="16" borderId="7" xfId="6" applyNumberFormat="1" applyFont="1" applyFill="1" applyBorder="1" applyAlignment="1">
      <alignment horizontal="left" vertical="top" wrapText="1"/>
    </xf>
    <xf numFmtId="10" fontId="17" fillId="6" borderId="88" xfId="6" applyNumberFormat="1" applyFont="1" applyFill="1" applyBorder="1" applyAlignment="1">
      <alignment horizontal="center" vertical="center" wrapText="1"/>
    </xf>
    <xf numFmtId="4" fontId="17" fillId="16" borderId="97" xfId="0" applyNumberFormat="1" applyFont="1" applyFill="1" applyBorder="1" applyAlignment="1">
      <alignment horizontal="right" vertical="top" wrapText="1"/>
    </xf>
    <xf numFmtId="4" fontId="17" fillId="18" borderId="48" xfId="0" applyNumberFormat="1" applyFont="1" applyFill="1" applyBorder="1" applyAlignment="1">
      <alignment horizontal="right" vertical="top" wrapText="1"/>
    </xf>
    <xf numFmtId="4" fontId="17" fillId="16" borderId="48" xfId="0" applyNumberFormat="1" applyFont="1" applyFill="1" applyBorder="1" applyAlignment="1">
      <alignment horizontal="right" vertical="top" wrapText="1"/>
    </xf>
    <xf numFmtId="4" fontId="17" fillId="16" borderId="90" xfId="0" applyNumberFormat="1" applyFont="1" applyFill="1" applyBorder="1" applyAlignment="1">
      <alignment horizontal="right" vertical="top" wrapText="1"/>
    </xf>
    <xf numFmtId="4" fontId="17" fillId="16" borderId="93" xfId="0" applyNumberFormat="1" applyFont="1" applyFill="1" applyBorder="1" applyAlignment="1">
      <alignment horizontal="right" vertical="top" wrapText="1"/>
    </xf>
    <xf numFmtId="4" fontId="9" fillId="16" borderId="105" xfId="0" applyNumberFormat="1" applyFont="1" applyFill="1" applyBorder="1" applyAlignment="1">
      <alignment horizontal="right" vertical="top" wrapText="1"/>
    </xf>
    <xf numFmtId="4" fontId="9" fillId="18" borderId="103" xfId="0" applyNumberFormat="1" applyFont="1" applyFill="1" applyBorder="1" applyAlignment="1">
      <alignment horizontal="right" vertical="top" wrapText="1"/>
    </xf>
    <xf numFmtId="4" fontId="9" fillId="16" borderId="103" xfId="0" applyNumberFormat="1" applyFont="1" applyFill="1" applyBorder="1" applyAlignment="1">
      <alignment horizontal="right" vertical="top" wrapText="1"/>
    </xf>
    <xf numFmtId="4" fontId="9" fillId="16" borderId="104" xfId="0" applyNumberFormat="1" applyFont="1" applyFill="1" applyBorder="1" applyAlignment="1">
      <alignment horizontal="right" vertical="top" wrapText="1"/>
    </xf>
    <xf numFmtId="4" fontId="9" fillId="16" borderId="106" xfId="0" applyNumberFormat="1" applyFont="1" applyFill="1" applyBorder="1" applyAlignment="1">
      <alignment horizontal="right" vertical="top" wrapText="1"/>
    </xf>
    <xf numFmtId="4" fontId="9" fillId="16" borderId="107" xfId="0" applyNumberFormat="1" applyFont="1" applyFill="1" applyBorder="1" applyAlignment="1">
      <alignment horizontal="right" vertical="top" wrapText="1"/>
    </xf>
    <xf numFmtId="10" fontId="17" fillId="3" borderId="112" xfId="6" applyNumberFormat="1" applyFont="1" applyFill="1" applyBorder="1" applyAlignment="1">
      <alignment horizontal="center" vertical="center" wrapText="1"/>
    </xf>
    <xf numFmtId="4" fontId="9" fillId="16" borderId="8" xfId="0" applyNumberFormat="1" applyFont="1" applyFill="1" applyBorder="1" applyAlignment="1">
      <alignment horizontal="right" vertical="top" wrapText="1"/>
    </xf>
    <xf numFmtId="4" fontId="9" fillId="16" borderId="75" xfId="0" applyNumberFormat="1" applyFont="1" applyFill="1" applyBorder="1" applyAlignment="1">
      <alignment horizontal="right" vertical="top" wrapText="1"/>
    </xf>
    <xf numFmtId="4" fontId="9" fillId="16" borderId="92" xfId="0" applyNumberFormat="1" applyFont="1" applyFill="1" applyBorder="1" applyAlignment="1">
      <alignment horizontal="right" vertical="top" wrapText="1"/>
    </xf>
    <xf numFmtId="4" fontId="9" fillId="18" borderId="8" xfId="0" applyNumberFormat="1" applyFont="1" applyFill="1" applyBorder="1" applyAlignment="1">
      <alignment horizontal="right" vertical="top" wrapText="1"/>
    </xf>
    <xf numFmtId="4" fontId="9" fillId="16" borderId="91" xfId="0" applyNumberFormat="1" applyFont="1" applyFill="1" applyBorder="1" applyAlignment="1">
      <alignment horizontal="right" vertical="top" wrapText="1"/>
    </xf>
    <xf numFmtId="4" fontId="9" fillId="16" borderId="56" xfId="0" applyNumberFormat="1" applyFont="1" applyFill="1" applyBorder="1" applyAlignment="1">
      <alignment horizontal="right" vertical="top" wrapText="1"/>
    </xf>
    <xf numFmtId="4" fontId="9" fillId="18" borderId="92" xfId="0" applyNumberFormat="1" applyFont="1" applyFill="1" applyBorder="1" applyAlignment="1">
      <alignment horizontal="right" vertical="top" wrapText="1"/>
    </xf>
    <xf numFmtId="0" fontId="2" fillId="0" borderId="0" xfId="0" applyFont="1"/>
    <xf numFmtId="10" fontId="2" fillId="9" borderId="26" xfId="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17" fillId="16" borderId="95" xfId="0" applyNumberFormat="1" applyFont="1" applyFill="1" applyBorder="1" applyAlignment="1">
      <alignment horizontal="right" vertical="top" wrapText="1"/>
    </xf>
    <xf numFmtId="4" fontId="4" fillId="16" borderId="5" xfId="0" applyNumberFormat="1" applyFont="1" applyFill="1" applyBorder="1" applyAlignment="1">
      <alignment horizontal="right" vertical="top" wrapText="1"/>
    </xf>
    <xf numFmtId="0" fontId="0" fillId="0" borderId="0" xfId="0" applyFont="1"/>
    <xf numFmtId="0" fontId="42" fillId="0" borderId="0" xfId="0" applyFont="1"/>
    <xf numFmtId="0" fontId="45" fillId="0" borderId="0" xfId="0" applyFont="1"/>
    <xf numFmtId="1" fontId="4" fillId="18" borderId="2" xfId="0" applyNumberFormat="1" applyFont="1" applyFill="1" applyBorder="1" applyAlignment="1">
      <alignment horizontal="left" vertical="top" wrapText="1"/>
    </xf>
    <xf numFmtId="4" fontId="4" fillId="16" borderId="60" xfId="0" applyNumberFormat="1" applyFont="1" applyFill="1" applyBorder="1" applyAlignment="1">
      <alignment horizontal="right" vertical="top" wrapText="1"/>
    </xf>
    <xf numFmtId="4" fontId="4" fillId="16" borderId="8" xfId="0" applyNumberFormat="1" applyFont="1" applyFill="1" applyBorder="1" applyAlignment="1">
      <alignment horizontal="right" vertical="top" wrapText="1"/>
    </xf>
    <xf numFmtId="4" fontId="4" fillId="16" borderId="48" xfId="0" applyNumberFormat="1" applyFont="1" applyFill="1" applyBorder="1" applyAlignment="1">
      <alignment horizontal="right" vertical="top" wrapText="1"/>
    </xf>
    <xf numFmtId="4" fontId="4" fillId="16" borderId="91" xfId="0" applyNumberFormat="1" applyFont="1" applyFill="1" applyBorder="1" applyAlignment="1">
      <alignment horizontal="right" vertical="top" wrapText="1"/>
    </xf>
    <xf numFmtId="4" fontId="4" fillId="16" borderId="3" xfId="0" applyNumberFormat="1" applyFont="1" applyFill="1" applyBorder="1" applyAlignment="1">
      <alignment horizontal="right" vertical="top" wrapText="1"/>
    </xf>
    <xf numFmtId="4" fontId="4" fillId="16" borderId="58" xfId="0" applyNumberFormat="1" applyFont="1" applyFill="1" applyBorder="1" applyAlignment="1">
      <alignment horizontal="right" vertical="top" wrapText="1"/>
    </xf>
    <xf numFmtId="4" fontId="4" fillId="16" borderId="103" xfId="0" applyNumberFormat="1" applyFont="1" applyFill="1" applyBorder="1" applyAlignment="1">
      <alignment horizontal="right" vertical="top" wrapText="1"/>
    </xf>
    <xf numFmtId="4" fontId="4" fillId="16" borderId="104" xfId="0" applyNumberFormat="1" applyFont="1" applyFill="1" applyBorder="1" applyAlignment="1">
      <alignment horizontal="right" vertical="top" wrapText="1"/>
    </xf>
    <xf numFmtId="4" fontId="4" fillId="16" borderId="90" xfId="0" applyNumberFormat="1" applyFont="1" applyFill="1" applyBorder="1" applyAlignment="1">
      <alignment horizontal="right" vertical="top" wrapText="1"/>
    </xf>
    <xf numFmtId="4" fontId="4" fillId="16" borderId="17" xfId="0" applyNumberFormat="1" applyFont="1" applyFill="1" applyBorder="1" applyAlignment="1">
      <alignment horizontal="right" vertical="top" wrapText="1"/>
    </xf>
    <xf numFmtId="4" fontId="4" fillId="16" borderId="2" xfId="0" applyNumberFormat="1" applyFont="1" applyFill="1" applyBorder="1" applyAlignment="1">
      <alignment horizontal="right" vertical="top" wrapText="1"/>
    </xf>
    <xf numFmtId="4" fontId="4" fillId="16" borderId="81" xfId="0" applyNumberFormat="1" applyFont="1" applyFill="1" applyBorder="1" applyAlignment="1">
      <alignment horizontal="right" vertical="top" wrapText="1"/>
    </xf>
    <xf numFmtId="4" fontId="4" fillId="16" borderId="12" xfId="0" applyNumberFormat="1" applyFont="1" applyFill="1" applyBorder="1" applyAlignment="1">
      <alignment horizontal="right" vertical="top" wrapText="1"/>
    </xf>
    <xf numFmtId="4" fontId="9" fillId="13" borderId="99" xfId="0" applyNumberFormat="1" applyFont="1" applyFill="1" applyBorder="1" applyAlignment="1">
      <alignment horizontal="right" vertical="top"/>
    </xf>
    <xf numFmtId="4" fontId="17" fillId="18" borderId="8" xfId="0" applyNumberFormat="1" applyFont="1" applyFill="1" applyBorder="1" applyAlignment="1">
      <alignment horizontal="right" vertical="top"/>
    </xf>
    <xf numFmtId="4" fontId="17" fillId="13" borderId="8" xfId="0" applyNumberFormat="1" applyFont="1" applyFill="1" applyBorder="1" applyAlignment="1">
      <alignment horizontal="right" vertical="top"/>
    </xf>
    <xf numFmtId="4" fontId="17" fillId="13" borderId="91" xfId="0" applyNumberFormat="1" applyFont="1" applyFill="1" applyBorder="1" applyAlignment="1">
      <alignment horizontal="right" vertical="top"/>
    </xf>
    <xf numFmtId="4" fontId="17" fillId="13" borderId="56" xfId="0" applyNumberFormat="1" applyFont="1" applyFill="1" applyBorder="1" applyAlignment="1">
      <alignment horizontal="right" vertical="top"/>
    </xf>
    <xf numFmtId="4" fontId="9" fillId="13" borderId="8" xfId="0" applyNumberFormat="1" applyFont="1" applyFill="1" applyBorder="1" applyAlignment="1">
      <alignment horizontal="right" vertical="top"/>
    </xf>
    <xf numFmtId="4" fontId="9" fillId="13" borderId="91" xfId="0" applyNumberFormat="1" applyFont="1" applyFill="1" applyBorder="1" applyAlignment="1">
      <alignment horizontal="right" vertical="top"/>
    </xf>
    <xf numFmtId="4" fontId="9" fillId="18" borderId="96" xfId="0" applyNumberFormat="1" applyFont="1" applyFill="1" applyBorder="1" applyAlignment="1">
      <alignment horizontal="right" vertical="top"/>
    </xf>
    <xf numFmtId="4" fontId="17" fillId="14" borderId="48" xfId="0" applyNumberFormat="1" applyFont="1" applyFill="1" applyBorder="1" applyAlignment="1">
      <alignment horizontal="right" vertical="top"/>
    </xf>
    <xf numFmtId="4" fontId="9" fillId="14" borderId="8" xfId="0" applyNumberFormat="1" applyFont="1" applyFill="1" applyBorder="1" applyAlignment="1">
      <alignment horizontal="right" vertical="top"/>
    </xf>
    <xf numFmtId="4" fontId="9" fillId="14" borderId="75" xfId="0" applyNumberFormat="1" applyFont="1" applyFill="1" applyBorder="1" applyAlignment="1">
      <alignment horizontal="right" vertical="top"/>
    </xf>
    <xf numFmtId="4" fontId="9" fillId="15" borderId="99" xfId="0" applyNumberFormat="1" applyFont="1" applyFill="1" applyBorder="1" applyAlignment="1">
      <alignment horizontal="right" vertical="top"/>
    </xf>
    <xf numFmtId="4" fontId="9" fillId="18" borderId="8" xfId="0" applyNumberFormat="1" applyFont="1" applyFill="1" applyBorder="1" applyAlignment="1">
      <alignment horizontal="right" vertical="top"/>
    </xf>
    <xf numFmtId="4" fontId="9" fillId="15" borderId="8" xfId="0" applyNumberFormat="1" applyFont="1" applyFill="1" applyBorder="1" applyAlignment="1">
      <alignment horizontal="right" vertical="top"/>
    </xf>
    <xf numFmtId="4" fontId="9" fillId="18" borderId="75" xfId="0" applyNumberFormat="1" applyFont="1" applyFill="1" applyBorder="1" applyAlignment="1">
      <alignment horizontal="right" vertical="top"/>
    </xf>
    <xf numFmtId="4" fontId="9" fillId="13" borderId="34" xfId="0" applyNumberFormat="1" applyFont="1" applyFill="1" applyBorder="1" applyAlignment="1">
      <alignment horizontal="right" vertical="top"/>
    </xf>
    <xf numFmtId="4" fontId="17" fillId="18" borderId="5" xfId="0" applyNumberFormat="1" applyFont="1" applyFill="1" applyBorder="1" applyAlignment="1">
      <alignment horizontal="right" vertical="top"/>
    </xf>
    <xf numFmtId="4" fontId="17" fillId="13" borderId="5" xfId="0" applyNumberFormat="1" applyFont="1" applyFill="1" applyBorder="1" applyAlignment="1">
      <alignment horizontal="right" vertical="top"/>
    </xf>
    <xf numFmtId="4" fontId="17" fillId="13" borderId="60" xfId="0" applyNumberFormat="1" applyFont="1" applyFill="1" applyBorder="1" applyAlignment="1">
      <alignment horizontal="right" vertical="top"/>
    </xf>
    <xf numFmtId="4" fontId="17" fillId="13" borderId="2" xfId="0" applyNumberFormat="1" applyFont="1" applyFill="1" applyBorder="1" applyAlignment="1">
      <alignment horizontal="right" vertical="top"/>
    </xf>
    <xf numFmtId="4" fontId="17" fillId="13" borderId="12" xfId="0" applyNumberFormat="1" applyFont="1" applyFill="1" applyBorder="1" applyAlignment="1">
      <alignment horizontal="right" vertical="top"/>
    </xf>
    <xf numFmtId="4" fontId="17" fillId="13" borderId="14" xfId="0" applyNumberFormat="1" applyFont="1" applyFill="1" applyBorder="1" applyAlignment="1">
      <alignment horizontal="right" vertical="top"/>
    </xf>
    <xf numFmtId="4" fontId="9" fillId="13" borderId="5" xfId="0" applyNumberFormat="1" applyFont="1" applyFill="1" applyBorder="1" applyAlignment="1">
      <alignment horizontal="right" vertical="top"/>
    </xf>
    <xf numFmtId="4" fontId="9" fillId="13" borderId="60" xfId="0" applyNumberFormat="1" applyFont="1" applyFill="1" applyBorder="1" applyAlignment="1">
      <alignment horizontal="right" vertical="top"/>
    </xf>
    <xf numFmtId="4" fontId="9" fillId="18" borderId="70" xfId="0" applyNumberFormat="1" applyFont="1" applyFill="1" applyBorder="1" applyAlignment="1">
      <alignment horizontal="right" vertical="top"/>
    </xf>
    <xf numFmtId="4" fontId="9" fillId="14" borderId="17" xfId="0" applyNumberFormat="1" applyFont="1" applyFill="1" applyBorder="1" applyAlignment="1">
      <alignment horizontal="right" vertical="top"/>
    </xf>
    <xf numFmtId="4" fontId="9" fillId="18" borderId="17" xfId="0" applyNumberFormat="1" applyFont="1" applyFill="1" applyBorder="1" applyAlignment="1">
      <alignment horizontal="right" vertical="top"/>
    </xf>
    <xf numFmtId="4" fontId="9" fillId="14" borderId="5" xfId="0" applyNumberFormat="1" applyFont="1" applyFill="1" applyBorder="1" applyAlignment="1">
      <alignment horizontal="right" vertical="top"/>
    </xf>
    <xf numFmtId="4" fontId="9" fillId="14" borderId="13" xfId="0" applyNumberFormat="1" applyFont="1" applyFill="1" applyBorder="1" applyAlignment="1">
      <alignment horizontal="right" vertical="top"/>
    </xf>
    <xf numFmtId="4" fontId="9" fillId="15" borderId="34" xfId="0" applyNumberFormat="1" applyFont="1" applyFill="1" applyBorder="1" applyAlignment="1">
      <alignment horizontal="right" vertical="top"/>
    </xf>
    <xf numFmtId="4" fontId="9" fillId="18" borderId="5" xfId="0" applyNumberFormat="1" applyFont="1" applyFill="1" applyBorder="1" applyAlignment="1">
      <alignment horizontal="right" vertical="top"/>
    </xf>
    <xf numFmtId="4" fontId="9" fillId="15" borderId="5" xfId="0" applyNumberFormat="1" applyFont="1" applyFill="1" applyBorder="1" applyAlignment="1">
      <alignment horizontal="right" vertical="top"/>
    </xf>
    <xf numFmtId="4" fontId="17" fillId="15" borderId="5" xfId="0" applyNumberFormat="1" applyFont="1" applyFill="1" applyBorder="1" applyAlignment="1">
      <alignment horizontal="right" vertical="top"/>
    </xf>
    <xf numFmtId="4" fontId="17" fillId="18" borderId="13" xfId="0" applyNumberFormat="1" applyFont="1" applyFill="1" applyBorder="1" applyAlignment="1">
      <alignment horizontal="right" vertical="top"/>
    </xf>
    <xf numFmtId="4" fontId="17" fillId="18" borderId="72" xfId="0" applyNumberFormat="1" applyFont="1" applyFill="1" applyBorder="1" applyAlignment="1">
      <alignment horizontal="right" vertical="top"/>
    </xf>
    <xf numFmtId="4" fontId="9" fillId="13" borderId="32" xfId="0" applyNumberFormat="1" applyFont="1" applyFill="1" applyBorder="1" applyAlignment="1">
      <alignment horizontal="right" vertical="top"/>
    </xf>
    <xf numFmtId="4" fontId="17" fillId="18" borderId="3" xfId="0" applyNumberFormat="1" applyFont="1" applyFill="1" applyBorder="1" applyAlignment="1">
      <alignment horizontal="right" vertical="top"/>
    </xf>
    <xf numFmtId="4" fontId="17" fillId="13" borderId="58" xfId="0" applyNumberFormat="1" applyFont="1" applyFill="1" applyBorder="1" applyAlignment="1">
      <alignment horizontal="right" vertical="top"/>
    </xf>
    <xf numFmtId="4" fontId="17" fillId="18" borderId="2" xfId="0" applyNumberFormat="1" applyFont="1" applyFill="1" applyBorder="1" applyAlignment="1">
      <alignment horizontal="right" vertical="top"/>
    </xf>
    <xf numFmtId="4" fontId="17" fillId="13" borderId="15" xfId="0" applyNumberFormat="1" applyFont="1" applyFill="1" applyBorder="1" applyAlignment="1">
      <alignment horizontal="right" vertical="top"/>
    </xf>
    <xf numFmtId="4" fontId="17" fillId="13" borderId="3" xfId="0" applyNumberFormat="1" applyFont="1" applyFill="1" applyBorder="1" applyAlignment="1">
      <alignment horizontal="right" vertical="top"/>
    </xf>
    <xf numFmtId="4" fontId="9" fillId="13" borderId="3" xfId="0" applyNumberFormat="1" applyFont="1" applyFill="1" applyBorder="1" applyAlignment="1">
      <alignment horizontal="right" vertical="top"/>
    </xf>
    <xf numFmtId="4" fontId="9" fillId="13" borderId="58" xfId="0" applyNumberFormat="1" applyFont="1" applyFill="1" applyBorder="1" applyAlignment="1">
      <alignment horizontal="right" vertical="top"/>
    </xf>
    <xf numFmtId="4" fontId="9" fillId="18" borderId="71" xfId="0" applyNumberFormat="1" applyFont="1" applyFill="1" applyBorder="1" applyAlignment="1">
      <alignment horizontal="right" vertical="top"/>
    </xf>
    <xf numFmtId="4" fontId="9" fillId="14" borderId="3" xfId="0" applyNumberFormat="1" applyFont="1" applyFill="1" applyBorder="1" applyAlignment="1">
      <alignment horizontal="right" vertical="top"/>
    </xf>
    <xf numFmtId="4" fontId="9" fillId="14" borderId="2" xfId="0" applyNumberFormat="1" applyFont="1" applyFill="1" applyBorder="1" applyAlignment="1">
      <alignment horizontal="right" vertical="top"/>
    </xf>
    <xf numFmtId="4" fontId="9" fillId="14" borderId="10" xfId="0" applyNumberFormat="1" applyFont="1" applyFill="1" applyBorder="1" applyAlignment="1">
      <alignment horizontal="right" vertical="top"/>
    </xf>
    <xf numFmtId="4" fontId="9" fillId="15" borderId="32" xfId="0" applyNumberFormat="1" applyFont="1" applyFill="1" applyBorder="1" applyAlignment="1">
      <alignment horizontal="right" vertical="top"/>
    </xf>
    <xf numFmtId="4" fontId="9" fillId="18" borderId="3" xfId="0" applyNumberFormat="1" applyFont="1" applyFill="1" applyBorder="1" applyAlignment="1">
      <alignment horizontal="right" vertical="top"/>
    </xf>
    <xf numFmtId="4" fontId="9" fillId="15" borderId="3" xfId="0" applyNumberFormat="1" applyFont="1" applyFill="1" applyBorder="1" applyAlignment="1">
      <alignment horizontal="right" vertical="top"/>
    </xf>
    <xf numFmtId="4" fontId="9" fillId="18" borderId="10" xfId="0" applyNumberFormat="1" applyFont="1" applyFill="1" applyBorder="1" applyAlignment="1">
      <alignment horizontal="right" vertical="top"/>
    </xf>
    <xf numFmtId="4" fontId="9" fillId="18" borderId="69" xfId="0" applyNumberFormat="1" applyFont="1" applyFill="1" applyBorder="1" applyAlignment="1">
      <alignment horizontal="right" vertical="top"/>
    </xf>
    <xf numFmtId="4" fontId="9" fillId="13" borderId="102" xfId="0" applyNumberFormat="1" applyFont="1" applyFill="1" applyBorder="1" applyAlignment="1">
      <alignment horizontal="right" vertical="top"/>
    </xf>
    <xf numFmtId="4" fontId="17" fillId="13" borderId="89" xfId="0" applyNumberFormat="1" applyFont="1" applyFill="1" applyBorder="1" applyAlignment="1">
      <alignment horizontal="right" vertical="top"/>
    </xf>
    <xf numFmtId="4" fontId="17" fillId="18" borderId="103" xfId="0" applyNumberFormat="1" applyFont="1" applyFill="1" applyBorder="1" applyAlignment="1">
      <alignment horizontal="right" vertical="top"/>
    </xf>
    <xf numFmtId="4" fontId="17" fillId="18" borderId="48" xfId="0" applyNumberFormat="1" applyFont="1" applyFill="1" applyBorder="1" applyAlignment="1">
      <alignment horizontal="right" vertical="top"/>
    </xf>
    <xf numFmtId="4" fontId="17" fillId="13" borderId="103" xfId="0" applyNumberFormat="1" applyFont="1" applyFill="1" applyBorder="1" applyAlignment="1">
      <alignment horizontal="right" vertical="top"/>
    </xf>
    <xf numFmtId="4" fontId="17" fillId="13" borderId="104" xfId="0" applyNumberFormat="1" applyFont="1" applyFill="1" applyBorder="1" applyAlignment="1">
      <alignment horizontal="right" vertical="top"/>
    </xf>
    <xf numFmtId="4" fontId="17" fillId="13" borderId="90" xfId="0" applyNumberFormat="1" applyFont="1" applyFill="1" applyBorder="1" applyAlignment="1">
      <alignment horizontal="right" vertical="top"/>
    </xf>
    <xf numFmtId="4" fontId="17" fillId="13" borderId="106" xfId="0" applyNumberFormat="1" applyFont="1" applyFill="1" applyBorder="1" applyAlignment="1">
      <alignment horizontal="right" vertical="top"/>
    </xf>
    <xf numFmtId="4" fontId="17" fillId="13" borderId="93" xfId="0" applyNumberFormat="1" applyFont="1" applyFill="1" applyBorder="1" applyAlignment="1">
      <alignment horizontal="right" vertical="top"/>
    </xf>
    <xf numFmtId="4" fontId="17" fillId="13" borderId="48" xfId="0" applyNumberFormat="1" applyFont="1" applyFill="1" applyBorder="1" applyAlignment="1">
      <alignment horizontal="right" vertical="top"/>
    </xf>
    <xf numFmtId="4" fontId="9" fillId="13" borderId="103" xfId="0" applyNumberFormat="1" applyFont="1" applyFill="1" applyBorder="1" applyAlignment="1">
      <alignment horizontal="right" vertical="top"/>
    </xf>
    <xf numFmtId="4" fontId="9" fillId="13" borderId="104" xfId="0" applyNumberFormat="1" applyFont="1" applyFill="1" applyBorder="1" applyAlignment="1">
      <alignment horizontal="right" vertical="top"/>
    </xf>
    <xf numFmtId="4" fontId="17" fillId="13" borderId="80" xfId="0" applyNumberFormat="1" applyFont="1" applyFill="1" applyBorder="1" applyAlignment="1">
      <alignment horizontal="right" vertical="top"/>
    </xf>
    <xf numFmtId="4" fontId="9" fillId="18" borderId="108" xfId="0" applyNumberFormat="1" applyFont="1" applyFill="1" applyBorder="1" applyAlignment="1">
      <alignment horizontal="right" vertical="top"/>
    </xf>
    <xf numFmtId="4" fontId="17" fillId="18" borderId="94" xfId="0" applyNumberFormat="1" applyFont="1" applyFill="1" applyBorder="1" applyAlignment="1">
      <alignment horizontal="right" vertical="top"/>
    </xf>
    <xf numFmtId="4" fontId="9" fillId="14" borderId="103" xfId="0" applyNumberFormat="1" applyFont="1" applyFill="1" applyBorder="1" applyAlignment="1">
      <alignment horizontal="right" vertical="top"/>
    </xf>
    <xf numFmtId="4" fontId="9" fillId="14" borderId="107" xfId="0" applyNumberFormat="1" applyFont="1" applyFill="1" applyBorder="1" applyAlignment="1">
      <alignment horizontal="right" vertical="top"/>
    </xf>
    <xf numFmtId="4" fontId="17" fillId="14" borderId="95" xfId="0" applyNumberFormat="1" applyFont="1" applyFill="1" applyBorder="1" applyAlignment="1">
      <alignment horizontal="right" vertical="top"/>
    </xf>
    <xf numFmtId="4" fontId="9" fillId="15" borderId="102" xfId="0" applyNumberFormat="1" applyFont="1" applyFill="1" applyBorder="1" applyAlignment="1">
      <alignment horizontal="right" vertical="top"/>
    </xf>
    <xf numFmtId="4" fontId="17" fillId="15" borderId="89" xfId="0" applyNumberFormat="1" applyFont="1" applyFill="1" applyBorder="1" applyAlignment="1">
      <alignment horizontal="right" vertical="top"/>
    </xf>
    <xf numFmtId="4" fontId="9" fillId="18" borderId="103" xfId="0" applyNumberFormat="1" applyFont="1" applyFill="1" applyBorder="1" applyAlignment="1">
      <alignment horizontal="right" vertical="top"/>
    </xf>
    <xf numFmtId="4" fontId="9" fillId="15" borderId="103" xfId="0" applyNumberFormat="1" applyFont="1" applyFill="1" applyBorder="1" applyAlignment="1">
      <alignment horizontal="right" vertical="top"/>
    </xf>
    <xf numFmtId="4" fontId="17" fillId="15" borderId="48" xfId="0" applyNumberFormat="1" applyFont="1" applyFill="1" applyBorder="1" applyAlignment="1">
      <alignment horizontal="right" vertical="top"/>
    </xf>
    <xf numFmtId="4" fontId="9" fillId="18" borderId="107" xfId="0" applyNumberFormat="1" applyFont="1" applyFill="1" applyBorder="1" applyAlignment="1">
      <alignment horizontal="right" vertical="top"/>
    </xf>
    <xf numFmtId="4" fontId="17" fillId="18" borderId="95" xfId="0" applyNumberFormat="1" applyFont="1" applyFill="1" applyBorder="1" applyAlignment="1">
      <alignment horizontal="right" vertical="top"/>
    </xf>
    <xf numFmtId="4" fontId="17" fillId="18" borderId="96" xfId="0" applyNumberFormat="1" applyFont="1" applyFill="1" applyBorder="1" applyAlignment="1">
      <alignment horizontal="right" vertical="top"/>
    </xf>
    <xf numFmtId="4" fontId="9" fillId="18" borderId="105" xfId="0" applyNumberFormat="1" applyFont="1" applyFill="1" applyBorder="1" applyAlignment="1">
      <alignment horizontal="right" vertical="top" wrapText="1"/>
    </xf>
    <xf numFmtId="4" fontId="17" fillId="18" borderId="97" xfId="0" applyNumberFormat="1" applyFont="1" applyFill="1" applyBorder="1" applyAlignment="1">
      <alignment horizontal="right" vertical="top" wrapText="1"/>
    </xf>
    <xf numFmtId="4" fontId="9" fillId="13" borderId="38" xfId="0" applyNumberFormat="1" applyFont="1" applyFill="1" applyBorder="1" applyAlignment="1">
      <alignment horizontal="right" vertical="top"/>
    </xf>
    <xf numFmtId="4" fontId="17" fillId="18" borderId="17" xfId="0" applyNumberFormat="1" applyFont="1" applyFill="1" applyBorder="1" applyAlignment="1">
      <alignment horizontal="right" vertical="top"/>
    </xf>
    <xf numFmtId="4" fontId="17" fillId="13" borderId="81" xfId="0" applyNumberFormat="1" applyFont="1" applyFill="1" applyBorder="1" applyAlignment="1">
      <alignment horizontal="right" vertical="top"/>
    </xf>
    <xf numFmtId="4" fontId="17" fillId="13" borderId="82" xfId="0" applyNumberFormat="1" applyFont="1" applyFill="1" applyBorder="1" applyAlignment="1">
      <alignment horizontal="right" vertical="top"/>
    </xf>
    <xf numFmtId="4" fontId="17" fillId="13" borderId="4" xfId="0" applyNumberFormat="1" applyFont="1" applyFill="1" applyBorder="1" applyAlignment="1">
      <alignment horizontal="right" vertical="top"/>
    </xf>
    <xf numFmtId="4" fontId="17" fillId="13" borderId="17" xfId="0" applyNumberFormat="1" applyFont="1" applyFill="1" applyBorder="1" applyAlignment="1">
      <alignment horizontal="right" vertical="top"/>
    </xf>
    <xf numFmtId="4" fontId="9" fillId="13" borderId="17" xfId="0" applyNumberFormat="1" applyFont="1" applyFill="1" applyBorder="1" applyAlignment="1">
      <alignment horizontal="right" vertical="top"/>
    </xf>
    <xf numFmtId="4" fontId="9" fillId="13" borderId="2" xfId="0" applyNumberFormat="1" applyFont="1" applyFill="1" applyBorder="1" applyAlignment="1">
      <alignment horizontal="right" vertical="top"/>
    </xf>
    <xf numFmtId="4" fontId="9" fillId="13" borderId="0" xfId="0" applyNumberFormat="1" applyFont="1" applyFill="1" applyBorder="1" applyAlignment="1">
      <alignment horizontal="right" vertical="top"/>
    </xf>
    <xf numFmtId="4" fontId="9" fillId="13" borderId="7" xfId="0" applyNumberFormat="1" applyFont="1" applyFill="1" applyBorder="1" applyAlignment="1">
      <alignment horizontal="right" vertical="top"/>
    </xf>
    <xf numFmtId="4" fontId="9" fillId="18" borderId="83" xfId="0" applyNumberFormat="1" applyFont="1" applyFill="1" applyBorder="1" applyAlignment="1">
      <alignment horizontal="right" vertical="top"/>
    </xf>
    <xf numFmtId="4" fontId="9" fillId="14" borderId="18" xfId="0" applyNumberFormat="1" applyFont="1" applyFill="1" applyBorder="1" applyAlignment="1">
      <alignment horizontal="right" vertical="top"/>
    </xf>
    <xf numFmtId="4" fontId="9" fillId="14" borderId="6" xfId="0" applyNumberFormat="1" applyFont="1" applyFill="1" applyBorder="1" applyAlignment="1">
      <alignment horizontal="right" vertical="top"/>
    </xf>
    <xf numFmtId="4" fontId="9" fillId="15" borderId="38" xfId="0" applyNumberFormat="1" applyFont="1" applyFill="1" applyBorder="1" applyAlignment="1">
      <alignment horizontal="right" vertical="top"/>
    </xf>
    <xf numFmtId="4" fontId="9" fillId="15" borderId="20" xfId="0" applyNumberFormat="1" applyFont="1" applyFill="1" applyBorder="1" applyAlignment="1">
      <alignment horizontal="right" vertical="top"/>
    </xf>
    <xf numFmtId="4" fontId="9" fillId="18" borderId="2" xfId="0" applyNumberFormat="1" applyFont="1" applyFill="1" applyBorder="1" applyAlignment="1">
      <alignment horizontal="right" vertical="top"/>
    </xf>
    <xf numFmtId="4" fontId="9" fillId="15" borderId="17" xfId="0" applyNumberFormat="1" applyFont="1" applyFill="1" applyBorder="1" applyAlignment="1">
      <alignment horizontal="right" vertical="top"/>
    </xf>
    <xf numFmtId="4" fontId="9" fillId="15" borderId="2" xfId="0" applyNumberFormat="1" applyFont="1" applyFill="1" applyBorder="1" applyAlignment="1">
      <alignment horizontal="right" vertical="top"/>
    </xf>
    <xf numFmtId="4" fontId="9" fillId="18" borderId="18" xfId="0" applyNumberFormat="1" applyFont="1" applyFill="1" applyBorder="1" applyAlignment="1">
      <alignment horizontal="right" vertical="top"/>
    </xf>
    <xf numFmtId="4" fontId="9" fillId="18" borderId="6" xfId="0" applyNumberFormat="1" applyFont="1" applyFill="1" applyBorder="1" applyAlignment="1">
      <alignment horizontal="right" vertical="top"/>
    </xf>
    <xf numFmtId="0" fontId="4" fillId="0" borderId="0" xfId="0" applyFont="1"/>
    <xf numFmtId="4" fontId="2" fillId="16" borderId="48" xfId="0" applyNumberFormat="1" applyFont="1" applyFill="1" applyBorder="1" applyAlignment="1">
      <alignment horizontal="right" vertical="top" wrapText="1"/>
    </xf>
    <xf numFmtId="0" fontId="43" fillId="19" borderId="2" xfId="0" applyFont="1" applyFill="1" applyBorder="1" applyAlignment="1">
      <alignment vertical="top" wrapText="1"/>
    </xf>
    <xf numFmtId="0" fontId="41" fillId="19" borderId="2" xfId="0" applyFont="1" applyFill="1" applyBorder="1" applyAlignment="1">
      <alignment vertical="top"/>
    </xf>
    <xf numFmtId="4" fontId="41" fillId="19" borderId="2" xfId="0" applyNumberFormat="1" applyFont="1" applyFill="1" applyBorder="1" applyAlignment="1">
      <alignment horizontal="right" vertical="top"/>
    </xf>
    <xf numFmtId="0" fontId="41" fillId="0" borderId="0" xfId="0" applyFont="1"/>
    <xf numFmtId="0" fontId="46" fillId="0" borderId="0" xfId="0" applyFont="1"/>
    <xf numFmtId="0" fontId="9" fillId="21" borderId="25" xfId="0" applyFont="1" applyFill="1" applyBorder="1" applyAlignment="1">
      <alignment horizontal="left" vertical="top"/>
    </xf>
    <xf numFmtId="0" fontId="4" fillId="21" borderId="25" xfId="0" applyFont="1" applyFill="1" applyBorder="1" applyAlignment="1">
      <alignment vertical="top" wrapText="1"/>
    </xf>
    <xf numFmtId="0" fontId="47" fillId="21" borderId="2" xfId="0" applyFont="1" applyFill="1" applyBorder="1" applyAlignment="1">
      <alignment vertical="top"/>
    </xf>
    <xf numFmtId="4" fontId="27" fillId="16" borderId="19" xfId="0" applyNumberFormat="1" applyFont="1" applyFill="1" applyBorder="1" applyAlignment="1">
      <alignment horizontal="right" vertical="top" wrapText="1"/>
    </xf>
    <xf numFmtId="4" fontId="27" fillId="16" borderId="34" xfId="0" applyNumberFormat="1" applyFont="1" applyFill="1" applyBorder="1" applyAlignment="1">
      <alignment horizontal="right" vertical="top" wrapText="1"/>
    </xf>
    <xf numFmtId="10" fontId="48" fillId="13" borderId="2" xfId="0" applyNumberFormat="1" applyFont="1" applyFill="1" applyBorder="1" applyAlignment="1">
      <alignment horizontal="right" vertical="top"/>
    </xf>
    <xf numFmtId="10" fontId="48" fillId="13" borderId="25" xfId="0" applyNumberFormat="1" applyFont="1" applyFill="1" applyBorder="1" applyAlignment="1">
      <alignment horizontal="right" vertical="top"/>
    </xf>
    <xf numFmtId="10" fontId="48" fillId="16" borderId="2" xfId="0" applyNumberFormat="1" applyFont="1" applyFill="1" applyBorder="1" applyAlignment="1">
      <alignment horizontal="right" vertical="top"/>
    </xf>
    <xf numFmtId="10" fontId="48" fillId="16" borderId="25" xfId="0" applyNumberFormat="1" applyFont="1" applyFill="1" applyBorder="1" applyAlignment="1">
      <alignment horizontal="right" vertical="top"/>
    </xf>
    <xf numFmtId="0" fontId="4" fillId="16" borderId="4" xfId="0" applyFont="1" applyFill="1" applyBorder="1" applyAlignment="1">
      <alignment horizontal="left" vertical="top" wrapText="1"/>
    </xf>
    <xf numFmtId="0" fontId="9" fillId="16" borderId="2" xfId="0" applyFont="1" applyFill="1" applyBorder="1" applyAlignment="1">
      <alignment horizontal="left" vertical="top" wrapText="1"/>
    </xf>
    <xf numFmtId="0" fontId="9" fillId="16" borderId="11" xfId="0" applyFont="1" applyFill="1" applyBorder="1" applyAlignment="1">
      <alignment horizontal="left" vertical="top" wrapText="1"/>
    </xf>
    <xf numFmtId="0" fontId="9" fillId="16" borderId="4" xfId="0" applyFont="1" applyFill="1" applyBorder="1" applyAlignment="1">
      <alignment horizontal="left" vertical="top" wrapText="1"/>
    </xf>
    <xf numFmtId="0" fontId="9" fillId="13" borderId="6" xfId="0" applyFont="1" applyFill="1" applyBorder="1" applyAlignment="1">
      <alignment horizontal="left" vertical="top" wrapText="1"/>
    </xf>
    <xf numFmtId="10" fontId="9" fillId="16" borderId="7" xfId="6" applyNumberFormat="1" applyFont="1" applyFill="1" applyBorder="1" applyAlignment="1">
      <alignment horizontal="left" vertical="top" wrapText="1"/>
    </xf>
    <xf numFmtId="10" fontId="9" fillId="16" borderId="12" xfId="6" applyNumberFormat="1" applyFont="1" applyFill="1" applyBorder="1" applyAlignment="1">
      <alignment horizontal="left" vertical="top" wrapText="1"/>
    </xf>
    <xf numFmtId="0" fontId="9" fillId="16" borderId="6" xfId="0" applyFont="1" applyFill="1" applyBorder="1" applyAlignment="1">
      <alignment horizontal="left" vertical="top" wrapText="1"/>
    </xf>
    <xf numFmtId="49" fontId="9" fillId="16" borderId="7" xfId="0" applyNumberFormat="1" applyFont="1" applyFill="1" applyBorder="1" applyAlignment="1">
      <alignment horizontal="left" vertical="top" wrapText="1"/>
    </xf>
    <xf numFmtId="0" fontId="9" fillId="16" borderId="12" xfId="0" applyFont="1" applyFill="1" applyBorder="1" applyAlignment="1">
      <alignment horizontal="left" vertical="top" wrapText="1"/>
    </xf>
    <xf numFmtId="0" fontId="9" fillId="15" borderId="20" xfId="0" applyFont="1" applyFill="1" applyBorder="1" applyAlignment="1">
      <alignment horizontal="left" vertical="top" wrapText="1"/>
    </xf>
    <xf numFmtId="0" fontId="9" fillId="15" borderId="2" xfId="0" applyFont="1" applyFill="1" applyBorder="1" applyAlignment="1">
      <alignment horizontal="left" vertical="top" wrapText="1"/>
    </xf>
    <xf numFmtId="0" fontId="9" fillId="16" borderId="10" xfId="0" applyFont="1" applyFill="1" applyBorder="1" applyAlignment="1">
      <alignment horizontal="center" vertical="top" wrapText="1"/>
    </xf>
    <xf numFmtId="0" fontId="9" fillId="16" borderId="18" xfId="0" applyFont="1" applyFill="1" applyBorder="1" applyAlignment="1">
      <alignment horizontal="center" vertical="top" wrapText="1"/>
    </xf>
    <xf numFmtId="0" fontId="9" fillId="16" borderId="13" xfId="0" applyFont="1" applyFill="1" applyBorder="1" applyAlignment="1">
      <alignment horizontal="center" vertical="top" wrapText="1"/>
    </xf>
    <xf numFmtId="10" fontId="9" fillId="13" borderId="6" xfId="6" applyNumberFormat="1" applyFont="1" applyFill="1" applyBorder="1" applyAlignment="1">
      <alignment vertical="top" wrapText="1"/>
    </xf>
    <xf numFmtId="0" fontId="9" fillId="15" borderId="2" xfId="0" applyFont="1" applyFill="1" applyBorder="1" applyAlignment="1">
      <alignment horizontal="center" vertical="top"/>
    </xf>
    <xf numFmtId="10" fontId="9" fillId="13" borderId="7" xfId="6" applyNumberFormat="1" applyFont="1" applyFill="1" applyBorder="1" applyAlignment="1">
      <alignment vertical="top" wrapText="1"/>
    </xf>
    <xf numFmtId="49" fontId="4" fillId="0" borderId="2" xfId="3" applyNumberFormat="1" applyFont="1" applyFill="1" applyBorder="1" applyAlignment="1">
      <alignment horizontal="center" vertical="center" wrapText="1"/>
    </xf>
    <xf numFmtId="164" fontId="4" fillId="0" borderId="8" xfId="3" applyNumberFormat="1" applyFont="1" applyFill="1" applyBorder="1" applyAlignment="1">
      <alignment horizontal="center" vertical="center" wrapText="1"/>
    </xf>
    <xf numFmtId="164" fontId="4" fillId="0" borderId="2" xfId="3" applyNumberFormat="1" applyFont="1" applyFill="1" applyBorder="1" applyAlignment="1">
      <alignment horizontal="center" vertical="center" wrapText="1"/>
    </xf>
    <xf numFmtId="164" fontId="4" fillId="0" borderId="9" xfId="3" applyNumberFormat="1" applyFont="1" applyFill="1" applyBorder="1" applyAlignment="1">
      <alignment horizontal="center" vertical="center" wrapText="1"/>
    </xf>
    <xf numFmtId="0" fontId="9" fillId="21" borderId="25" xfId="0" applyFont="1" applyFill="1" applyBorder="1" applyAlignment="1">
      <alignment vertical="top"/>
    </xf>
    <xf numFmtId="4" fontId="9" fillId="21" borderId="47" xfId="0" applyNumberFormat="1" applyFont="1" applyFill="1" applyBorder="1" applyAlignment="1">
      <alignment vertical="top"/>
    </xf>
    <xf numFmtId="4" fontId="9" fillId="21" borderId="88" xfId="0" applyNumberFormat="1" applyFont="1" applyFill="1" applyBorder="1" applyAlignment="1">
      <alignment vertical="top"/>
    </xf>
    <xf numFmtId="4" fontId="9" fillId="21" borderId="110" xfId="0" applyNumberFormat="1" applyFont="1" applyFill="1" applyBorder="1" applyAlignment="1">
      <alignment vertical="top"/>
    </xf>
    <xf numFmtId="4" fontId="17" fillId="21" borderId="88" xfId="0" applyNumberFormat="1" applyFont="1" applyFill="1" applyBorder="1" applyAlignment="1">
      <alignment vertical="top"/>
    </xf>
    <xf numFmtId="49" fontId="9" fillId="13" borderId="11" xfId="0" applyNumberFormat="1" applyFont="1" applyFill="1" applyBorder="1" applyAlignment="1">
      <alignment vertical="top" wrapText="1"/>
    </xf>
    <xf numFmtId="10" fontId="9" fillId="13" borderId="11" xfId="6" applyNumberFormat="1" applyFont="1" applyFill="1" applyBorder="1" applyAlignment="1">
      <alignment vertical="top" wrapText="1"/>
    </xf>
    <xf numFmtId="10" fontId="9" fillId="13" borderId="59" xfId="6" applyNumberFormat="1" applyFont="1" applyFill="1" applyBorder="1" applyAlignment="1">
      <alignment vertical="top" wrapText="1"/>
    </xf>
    <xf numFmtId="49" fontId="9" fillId="13" borderId="7" xfId="0" applyNumberFormat="1" applyFont="1" applyFill="1" applyBorder="1" applyAlignment="1">
      <alignment vertical="top" wrapText="1"/>
    </xf>
    <xf numFmtId="49" fontId="9" fillId="13" borderId="59" xfId="0" applyNumberFormat="1" applyFont="1" applyFill="1" applyBorder="1" applyAlignment="1">
      <alignment vertical="top" wrapText="1"/>
    </xf>
    <xf numFmtId="10" fontId="17" fillId="13" borderId="2" xfId="6" applyNumberFormat="1" applyFont="1" applyFill="1" applyBorder="1" applyAlignment="1">
      <alignment vertical="top" wrapText="1"/>
    </xf>
    <xf numFmtId="0" fontId="9" fillId="13" borderId="2" xfId="0" applyFont="1" applyFill="1" applyBorder="1" applyAlignment="1">
      <alignment vertical="top" wrapText="1"/>
    </xf>
    <xf numFmtId="10" fontId="9" fillId="14" borderId="2" xfId="6" applyNumberFormat="1" applyFont="1" applyFill="1" applyBorder="1" applyAlignment="1">
      <alignment vertical="top" wrapText="1"/>
    </xf>
    <xf numFmtId="10" fontId="9" fillId="14" borderId="6" xfId="6" applyNumberFormat="1" applyFont="1" applyFill="1" applyBorder="1" applyAlignment="1">
      <alignment vertical="top" wrapText="1"/>
    </xf>
    <xf numFmtId="10" fontId="9" fillId="14" borderId="7" xfId="6" applyNumberFormat="1" applyFont="1" applyFill="1" applyBorder="1" applyAlignment="1">
      <alignment vertical="top" wrapText="1"/>
    </xf>
    <xf numFmtId="49" fontId="9" fillId="14" borderId="6" xfId="0" applyNumberFormat="1" applyFont="1" applyFill="1" applyBorder="1" applyAlignment="1">
      <alignment vertical="top" wrapText="1"/>
    </xf>
    <xf numFmtId="3" fontId="17" fillId="13" borderId="20" xfId="0" applyNumberFormat="1" applyFont="1" applyFill="1" applyBorder="1" applyAlignment="1">
      <alignment horizontal="right" vertical="top"/>
    </xf>
    <xf numFmtId="3" fontId="17" fillId="13" borderId="21" xfId="0" applyNumberFormat="1" applyFont="1" applyFill="1" applyBorder="1" applyAlignment="1">
      <alignment horizontal="right" vertical="top"/>
    </xf>
    <xf numFmtId="10" fontId="17" fillId="13" borderId="32" xfId="0" applyNumberFormat="1" applyFont="1" applyFill="1" applyBorder="1" applyAlignment="1">
      <alignment horizontal="right" vertical="top"/>
    </xf>
    <xf numFmtId="10" fontId="9" fillId="13" borderId="20" xfId="0" applyNumberFormat="1" applyFont="1" applyFill="1" applyBorder="1" applyAlignment="1">
      <alignment horizontal="right" vertical="top"/>
    </xf>
    <xf numFmtId="10" fontId="9" fillId="13" borderId="32" xfId="0" applyNumberFormat="1" applyFont="1" applyFill="1" applyBorder="1" applyAlignment="1">
      <alignment horizontal="right" vertical="top"/>
    </xf>
    <xf numFmtId="10" fontId="9" fillId="13" borderId="113" xfId="0" applyNumberFormat="1" applyFont="1" applyFill="1" applyBorder="1" applyAlignment="1">
      <alignment horizontal="right" vertical="top"/>
    </xf>
    <xf numFmtId="10" fontId="2" fillId="13" borderId="21" xfId="0" applyNumberFormat="1" applyFont="1" applyFill="1" applyBorder="1" applyAlignment="1">
      <alignment horizontal="right" vertical="top"/>
    </xf>
    <xf numFmtId="3" fontId="17" fillId="13" borderId="6" xfId="0" applyNumberFormat="1" applyFont="1" applyFill="1" applyBorder="1" applyAlignment="1">
      <alignment horizontal="right" vertical="top"/>
    </xf>
    <xf numFmtId="3" fontId="17" fillId="13" borderId="2" xfId="0" applyNumberFormat="1" applyFont="1" applyFill="1" applyBorder="1" applyAlignment="1">
      <alignment horizontal="right" vertical="top"/>
    </xf>
    <xf numFmtId="3" fontId="17" fillId="13" borderId="23" xfId="0" applyNumberFormat="1" applyFont="1" applyFill="1" applyBorder="1" applyAlignment="1">
      <alignment horizontal="right" vertical="top"/>
    </xf>
    <xf numFmtId="10" fontId="17" fillId="13" borderId="3" xfId="0" applyNumberFormat="1" applyFont="1" applyFill="1" applyBorder="1" applyAlignment="1">
      <alignment horizontal="right" vertical="top"/>
    </xf>
    <xf numFmtId="10" fontId="9" fillId="13" borderId="2" xfId="0" applyNumberFormat="1" applyFont="1" applyFill="1" applyBorder="1" applyAlignment="1">
      <alignment horizontal="right" vertical="top"/>
    </xf>
    <xf numFmtId="3" fontId="9" fillId="13" borderId="2" xfId="0" applyNumberFormat="1" applyFont="1" applyFill="1" applyBorder="1" applyAlignment="1">
      <alignment horizontal="right" vertical="top"/>
    </xf>
    <xf numFmtId="10" fontId="17" fillId="13" borderId="9" xfId="0" applyNumberFormat="1" applyFont="1" applyFill="1" applyBorder="1" applyAlignment="1">
      <alignment horizontal="right" vertical="top"/>
    </xf>
    <xf numFmtId="10" fontId="2" fillId="13" borderId="23" xfId="0" applyNumberFormat="1" applyFont="1" applyFill="1" applyBorder="1" applyAlignment="1">
      <alignment horizontal="right" vertical="top"/>
    </xf>
    <xf numFmtId="3" fontId="17" fillId="13" borderId="12" xfId="0" applyNumberFormat="1" applyFont="1" applyFill="1" applyBorder="1" applyAlignment="1">
      <alignment horizontal="right" vertical="top"/>
    </xf>
    <xf numFmtId="3" fontId="17" fillId="13" borderId="62" xfId="0" applyNumberFormat="1" applyFont="1" applyFill="1" applyBorder="1" applyAlignment="1">
      <alignment horizontal="right" vertical="top"/>
    </xf>
    <xf numFmtId="10" fontId="17" fillId="13" borderId="58" xfId="0" applyNumberFormat="1" applyFont="1" applyFill="1" applyBorder="1" applyAlignment="1">
      <alignment horizontal="right" vertical="top"/>
    </xf>
    <xf numFmtId="10" fontId="9" fillId="13" borderId="12" xfId="0" applyNumberFormat="1" applyFont="1" applyFill="1" applyBorder="1" applyAlignment="1">
      <alignment horizontal="right" vertical="top"/>
    </xf>
    <xf numFmtId="3" fontId="9" fillId="13" borderId="58" xfId="0" applyNumberFormat="1" applyFont="1" applyFill="1" applyBorder="1" applyAlignment="1">
      <alignment horizontal="right" vertical="top"/>
    </xf>
    <xf numFmtId="10" fontId="17" fillId="13" borderId="114" xfId="0" applyNumberFormat="1" applyFont="1" applyFill="1" applyBorder="1" applyAlignment="1">
      <alignment horizontal="right" vertical="top"/>
    </xf>
    <xf numFmtId="10" fontId="2" fillId="13" borderId="62" xfId="0" applyNumberFormat="1" applyFont="1" applyFill="1" applyBorder="1" applyAlignment="1">
      <alignment horizontal="right" vertical="top"/>
    </xf>
    <xf numFmtId="3" fontId="9" fillId="13" borderId="12" xfId="0" applyNumberFormat="1" applyFont="1" applyFill="1" applyBorder="1" applyAlignment="1">
      <alignment horizontal="right" vertical="top"/>
    </xf>
    <xf numFmtId="3" fontId="19" fillId="13" borderId="2" xfId="0" applyNumberFormat="1" applyFont="1" applyFill="1" applyBorder="1" applyAlignment="1">
      <alignment horizontal="right" vertical="top"/>
    </xf>
    <xf numFmtId="3" fontId="17" fillId="13" borderId="29" xfId="0" applyNumberFormat="1" applyFont="1" applyFill="1" applyBorder="1" applyAlignment="1">
      <alignment horizontal="right" vertical="top"/>
    </xf>
    <xf numFmtId="3" fontId="17" fillId="13" borderId="4" xfId="0" applyNumberFormat="1" applyFont="1" applyFill="1" applyBorder="1" applyAlignment="1">
      <alignment horizontal="right" vertical="top"/>
    </xf>
    <xf numFmtId="10" fontId="17" fillId="13" borderId="4" xfId="0" applyNumberFormat="1" applyFont="1" applyFill="1" applyBorder="1" applyAlignment="1">
      <alignment horizontal="right" vertical="top"/>
    </xf>
    <xf numFmtId="10" fontId="17" fillId="13" borderId="15" xfId="0" applyNumberFormat="1" applyFont="1" applyFill="1" applyBorder="1" applyAlignment="1">
      <alignment horizontal="right" vertical="top"/>
    </xf>
    <xf numFmtId="10" fontId="9" fillId="13" borderId="4" xfId="0" applyNumberFormat="1" applyFont="1" applyFill="1" applyBorder="1" applyAlignment="1">
      <alignment horizontal="right" vertical="top"/>
    </xf>
    <xf numFmtId="3" fontId="9" fillId="13" borderId="15" xfId="0" applyNumberFormat="1" applyFont="1" applyFill="1" applyBorder="1" applyAlignment="1">
      <alignment horizontal="right" vertical="top"/>
    </xf>
    <xf numFmtId="10" fontId="17" fillId="13" borderId="57" xfId="0" applyNumberFormat="1" applyFont="1" applyFill="1" applyBorder="1" applyAlignment="1">
      <alignment horizontal="right" vertical="top"/>
    </xf>
    <xf numFmtId="10" fontId="2" fillId="13" borderId="29" xfId="0" applyNumberFormat="1" applyFont="1" applyFill="1" applyBorder="1" applyAlignment="1">
      <alignment horizontal="right" vertical="top"/>
    </xf>
    <xf numFmtId="3" fontId="9" fillId="13" borderId="3" xfId="0" applyNumberFormat="1" applyFont="1" applyFill="1" applyBorder="1" applyAlignment="1">
      <alignment horizontal="right" vertical="top"/>
    </xf>
    <xf numFmtId="10" fontId="9" fillId="13" borderId="9" xfId="0" applyNumberFormat="1" applyFont="1" applyFill="1" applyBorder="1" applyAlignment="1">
      <alignment horizontal="right" vertical="top"/>
    </xf>
    <xf numFmtId="10" fontId="9" fillId="13" borderId="114" xfId="0" applyNumberFormat="1" applyFont="1" applyFill="1" applyBorder="1" applyAlignment="1">
      <alignment horizontal="right" vertical="top"/>
    </xf>
    <xf numFmtId="10" fontId="2" fillId="13" borderId="67" xfId="0" applyNumberFormat="1" applyFont="1" applyFill="1" applyBorder="1" applyAlignment="1">
      <alignment horizontal="right" vertical="top"/>
    </xf>
    <xf numFmtId="3" fontId="17" fillId="18" borderId="2" xfId="0" applyNumberFormat="1" applyFont="1" applyFill="1" applyBorder="1" applyAlignment="1">
      <alignment horizontal="right" vertical="top"/>
    </xf>
    <xf numFmtId="3" fontId="17" fillId="18" borderId="23" xfId="0" applyNumberFormat="1" applyFont="1" applyFill="1" applyBorder="1" applyAlignment="1">
      <alignment horizontal="right" vertical="top"/>
    </xf>
    <xf numFmtId="10" fontId="17" fillId="18" borderId="3" xfId="0" applyNumberFormat="1" applyFont="1" applyFill="1" applyBorder="1" applyAlignment="1">
      <alignment horizontal="right" vertical="top"/>
    </xf>
    <xf numFmtId="10" fontId="9" fillId="18" borderId="3" xfId="0" applyNumberFormat="1" applyFont="1" applyFill="1" applyBorder="1" applyAlignment="1">
      <alignment horizontal="right" vertical="top"/>
    </xf>
    <xf numFmtId="10" fontId="17" fillId="18" borderId="9" xfId="0" applyNumberFormat="1" applyFont="1" applyFill="1" applyBorder="1" applyAlignment="1">
      <alignment horizontal="right" vertical="top"/>
    </xf>
    <xf numFmtId="10" fontId="2" fillId="18" borderId="23" xfId="0" applyNumberFormat="1" applyFont="1" applyFill="1" applyBorder="1" applyAlignment="1">
      <alignment horizontal="right" vertical="top"/>
    </xf>
    <xf numFmtId="3" fontId="17" fillId="18" borderId="6" xfId="0" applyNumberFormat="1" applyFont="1" applyFill="1" applyBorder="1" applyAlignment="1">
      <alignment horizontal="right" vertical="top"/>
    </xf>
    <xf numFmtId="3" fontId="17" fillId="18" borderId="69" xfId="0" applyNumberFormat="1" applyFont="1" applyFill="1" applyBorder="1" applyAlignment="1">
      <alignment horizontal="right" vertical="top"/>
    </xf>
    <xf numFmtId="3" fontId="17" fillId="18" borderId="68" xfId="0" applyNumberFormat="1" applyFont="1" applyFill="1" applyBorder="1" applyAlignment="1">
      <alignment horizontal="right" vertical="top"/>
    </xf>
    <xf numFmtId="10" fontId="17" fillId="18" borderId="71" xfId="0" applyNumberFormat="1" applyFont="1" applyFill="1" applyBorder="1" applyAlignment="1">
      <alignment horizontal="right" vertical="top"/>
    </xf>
    <xf numFmtId="3" fontId="9" fillId="18" borderId="71" xfId="0" applyNumberFormat="1" applyFont="1" applyFill="1" applyBorder="1" applyAlignment="1">
      <alignment horizontal="right" vertical="top"/>
    </xf>
    <xf numFmtId="10" fontId="9" fillId="18" borderId="116" xfId="0" applyNumberFormat="1" applyFont="1" applyFill="1" applyBorder="1" applyAlignment="1">
      <alignment horizontal="right" vertical="top"/>
    </xf>
    <xf numFmtId="10" fontId="2" fillId="18" borderId="68" xfId="0" applyNumberFormat="1" applyFont="1" applyFill="1" applyBorder="1" applyAlignment="1">
      <alignment horizontal="right" vertical="top"/>
    </xf>
    <xf numFmtId="4" fontId="9" fillId="18" borderId="48" xfId="0" applyNumberFormat="1" applyFont="1" applyFill="1" applyBorder="1" applyAlignment="1">
      <alignment horizontal="right" vertical="top"/>
    </xf>
    <xf numFmtId="10" fontId="9" fillId="18" borderId="15" xfId="0" applyNumberFormat="1" applyFont="1" applyFill="1" applyBorder="1" applyAlignment="1">
      <alignment horizontal="right" vertical="top"/>
    </xf>
    <xf numFmtId="3" fontId="9" fillId="18" borderId="3" xfId="0" applyNumberFormat="1" applyFont="1" applyFill="1" applyBorder="1" applyAlignment="1">
      <alignment horizontal="right" vertical="top"/>
    </xf>
    <xf numFmtId="10" fontId="9" fillId="18" borderId="9" xfId="0" applyNumberFormat="1" applyFont="1" applyFill="1" applyBorder="1" applyAlignment="1">
      <alignment horizontal="right" vertical="top"/>
    </xf>
    <xf numFmtId="3" fontId="17" fillId="14" borderId="2" xfId="0" applyNumberFormat="1" applyFont="1" applyFill="1" applyBorder="1" applyAlignment="1">
      <alignment horizontal="right" vertical="top"/>
    </xf>
    <xf numFmtId="3" fontId="17" fillId="14" borderId="23" xfId="0" applyNumberFormat="1" applyFont="1" applyFill="1" applyBorder="1" applyAlignment="1">
      <alignment horizontal="right" vertical="top"/>
    </xf>
    <xf numFmtId="10" fontId="17" fillId="14" borderId="2" xfId="0" applyNumberFormat="1" applyFont="1" applyFill="1" applyBorder="1" applyAlignment="1">
      <alignment horizontal="right" vertical="top"/>
    </xf>
    <xf numFmtId="10" fontId="17" fillId="14" borderId="3" xfId="0" applyNumberFormat="1" applyFont="1" applyFill="1" applyBorder="1" applyAlignment="1">
      <alignment horizontal="right" vertical="top"/>
    </xf>
    <xf numFmtId="10" fontId="9" fillId="14" borderId="2" xfId="0" applyNumberFormat="1" applyFont="1" applyFill="1" applyBorder="1" applyAlignment="1">
      <alignment horizontal="right" vertical="top"/>
    </xf>
    <xf numFmtId="3" fontId="9" fillId="14" borderId="3" xfId="0" applyNumberFormat="1" applyFont="1" applyFill="1" applyBorder="1" applyAlignment="1">
      <alignment horizontal="right" vertical="top"/>
    </xf>
    <xf numFmtId="10" fontId="9" fillId="14" borderId="9" xfId="0" applyNumberFormat="1" applyFont="1" applyFill="1" applyBorder="1" applyAlignment="1">
      <alignment horizontal="right" vertical="top"/>
    </xf>
    <xf numFmtId="10" fontId="2" fillId="14" borderId="23" xfId="0" applyNumberFormat="1" applyFont="1" applyFill="1" applyBorder="1" applyAlignment="1">
      <alignment horizontal="right" vertical="top"/>
    </xf>
    <xf numFmtId="3" fontId="17" fillId="14" borderId="6" xfId="0" applyNumberFormat="1" applyFont="1" applyFill="1" applyBorder="1" applyAlignment="1">
      <alignment horizontal="right" vertical="top"/>
    </xf>
    <xf numFmtId="3" fontId="17" fillId="14" borderId="27" xfId="0" applyNumberFormat="1" applyFont="1" applyFill="1" applyBorder="1" applyAlignment="1">
      <alignment horizontal="right" vertical="top"/>
    </xf>
    <xf numFmtId="10" fontId="17" fillId="14" borderId="6" xfId="0" applyNumberFormat="1" applyFont="1" applyFill="1" applyBorder="1" applyAlignment="1">
      <alignment horizontal="right" vertical="top"/>
    </xf>
    <xf numFmtId="10" fontId="17" fillId="14" borderId="10" xfId="0" applyNumberFormat="1" applyFont="1" applyFill="1" applyBorder="1" applyAlignment="1">
      <alignment horizontal="right" vertical="top"/>
    </xf>
    <xf numFmtId="10" fontId="9" fillId="14" borderId="6" xfId="0" applyNumberFormat="1" applyFont="1" applyFill="1" applyBorder="1" applyAlignment="1">
      <alignment horizontal="right" vertical="top"/>
    </xf>
    <xf numFmtId="3" fontId="9" fillId="14" borderId="10" xfId="0" applyNumberFormat="1" applyFont="1" applyFill="1" applyBorder="1" applyAlignment="1">
      <alignment horizontal="right" vertical="top"/>
    </xf>
    <xf numFmtId="10" fontId="9" fillId="14" borderId="76" xfId="0" applyNumberFormat="1" applyFont="1" applyFill="1" applyBorder="1" applyAlignment="1">
      <alignment horizontal="right" vertical="top"/>
    </xf>
    <xf numFmtId="10" fontId="2" fillId="14" borderId="27" xfId="0" applyNumberFormat="1" applyFont="1" applyFill="1" applyBorder="1" applyAlignment="1">
      <alignment horizontal="right" vertical="top"/>
    </xf>
    <xf numFmtId="3" fontId="17" fillId="15" borderId="20" xfId="0" applyNumberFormat="1" applyFont="1" applyFill="1" applyBorder="1" applyAlignment="1">
      <alignment horizontal="right" vertical="top"/>
    </xf>
    <xf numFmtId="0" fontId="17" fillId="15" borderId="20" xfId="0" applyFont="1" applyFill="1" applyBorder="1" applyAlignment="1">
      <alignment horizontal="right" vertical="top"/>
    </xf>
    <xf numFmtId="0" fontId="17" fillId="15" borderId="21" xfId="0" applyFont="1" applyFill="1" applyBorder="1" applyAlignment="1">
      <alignment horizontal="right" vertical="top"/>
    </xf>
    <xf numFmtId="10" fontId="17" fillId="15" borderId="20" xfId="0" applyNumberFormat="1" applyFont="1" applyFill="1" applyBorder="1" applyAlignment="1">
      <alignment horizontal="right" vertical="top"/>
    </xf>
    <xf numFmtId="10" fontId="17" fillId="15" borderId="32" xfId="0" applyNumberFormat="1" applyFont="1" applyFill="1" applyBorder="1" applyAlignment="1">
      <alignment horizontal="right" vertical="top"/>
    </xf>
    <xf numFmtId="0" fontId="9" fillId="15" borderId="32" xfId="0" applyFont="1" applyFill="1" applyBorder="1" applyAlignment="1">
      <alignment horizontal="right" vertical="top"/>
    </xf>
    <xf numFmtId="10" fontId="9" fillId="15" borderId="113" xfId="0" applyNumberFormat="1" applyFont="1" applyFill="1" applyBorder="1" applyAlignment="1">
      <alignment horizontal="right" vertical="top"/>
    </xf>
    <xf numFmtId="10" fontId="2" fillId="15" borderId="21" xfId="0" applyNumberFormat="1" applyFont="1" applyFill="1" applyBorder="1" applyAlignment="1">
      <alignment horizontal="right" vertical="top"/>
    </xf>
    <xf numFmtId="3" fontId="17" fillId="15" borderId="2" xfId="0" applyNumberFormat="1" applyFont="1" applyFill="1" applyBorder="1" applyAlignment="1">
      <alignment horizontal="right" vertical="top"/>
    </xf>
    <xf numFmtId="3" fontId="17" fillId="15" borderId="23" xfId="0" applyNumberFormat="1" applyFont="1" applyFill="1" applyBorder="1" applyAlignment="1">
      <alignment horizontal="right" vertical="top"/>
    </xf>
    <xf numFmtId="10" fontId="17" fillId="15" borderId="2" xfId="0" applyNumberFormat="1" applyFont="1" applyFill="1" applyBorder="1" applyAlignment="1">
      <alignment horizontal="right" vertical="top"/>
    </xf>
    <xf numFmtId="10" fontId="17" fillId="15" borderId="3" xfId="0" applyNumberFormat="1" applyFont="1" applyFill="1" applyBorder="1" applyAlignment="1">
      <alignment horizontal="right" vertical="top"/>
    </xf>
    <xf numFmtId="10" fontId="9" fillId="15" borderId="3" xfId="0" applyNumberFormat="1" applyFont="1" applyFill="1" applyBorder="1" applyAlignment="1">
      <alignment horizontal="right" vertical="top"/>
    </xf>
    <xf numFmtId="10" fontId="9" fillId="15" borderId="9" xfId="0" applyNumberFormat="1" applyFont="1" applyFill="1" applyBorder="1" applyAlignment="1">
      <alignment horizontal="right" vertical="top"/>
    </xf>
    <xf numFmtId="10" fontId="2" fillId="15" borderId="23" xfId="0" applyNumberFormat="1" applyFont="1" applyFill="1" applyBorder="1" applyAlignment="1">
      <alignment horizontal="right" vertical="top"/>
    </xf>
    <xf numFmtId="0" fontId="17" fillId="15" borderId="2" xfId="0" applyFont="1" applyFill="1" applyBorder="1" applyAlignment="1">
      <alignment horizontal="right" vertical="top"/>
    </xf>
    <xf numFmtId="0" fontId="17" fillId="15" borderId="23" xfId="0" applyFont="1" applyFill="1" applyBorder="1" applyAlignment="1">
      <alignment horizontal="right" vertical="top"/>
    </xf>
    <xf numFmtId="9" fontId="17" fillId="15" borderId="2" xfId="0" applyNumberFormat="1" applyFont="1" applyFill="1" applyBorder="1" applyAlignment="1">
      <alignment horizontal="right" vertical="top"/>
    </xf>
    <xf numFmtId="9" fontId="17" fillId="15" borderId="23" xfId="0" applyNumberFormat="1" applyFont="1" applyFill="1" applyBorder="1" applyAlignment="1">
      <alignment horizontal="right" vertical="top"/>
    </xf>
    <xf numFmtId="10" fontId="17" fillId="16" borderId="2" xfId="0" applyNumberFormat="1" applyFont="1" applyFill="1" applyBorder="1" applyAlignment="1">
      <alignment horizontal="right" vertical="top"/>
    </xf>
    <xf numFmtId="10" fontId="9" fillId="16" borderId="2" xfId="0" applyNumberFormat="1" applyFont="1" applyFill="1" applyBorder="1" applyAlignment="1">
      <alignment horizontal="right" vertical="top"/>
    </xf>
    <xf numFmtId="3" fontId="17" fillId="18" borderId="27" xfId="0" applyNumberFormat="1" applyFont="1" applyFill="1" applyBorder="1" applyAlignment="1">
      <alignment horizontal="right" vertical="top"/>
    </xf>
    <xf numFmtId="10" fontId="17" fillId="18" borderId="6" xfId="0" applyNumberFormat="1" applyFont="1" applyFill="1" applyBorder="1" applyAlignment="1">
      <alignment horizontal="right" vertical="top"/>
    </xf>
    <xf numFmtId="10" fontId="17" fillId="18" borderId="10" xfId="0" applyNumberFormat="1" applyFont="1" applyFill="1" applyBorder="1" applyAlignment="1">
      <alignment horizontal="right" vertical="top"/>
    </xf>
    <xf numFmtId="10" fontId="9" fillId="18" borderId="6" xfId="0" applyNumberFormat="1" applyFont="1" applyFill="1" applyBorder="1" applyAlignment="1">
      <alignment horizontal="right" vertical="top"/>
    </xf>
    <xf numFmtId="10" fontId="9" fillId="18" borderId="76" xfId="0" applyNumberFormat="1" applyFont="1" applyFill="1" applyBorder="1" applyAlignment="1">
      <alignment horizontal="right" vertical="top"/>
    </xf>
    <xf numFmtId="10" fontId="2" fillId="18" borderId="27" xfId="0" applyNumberFormat="1" applyFont="1" applyFill="1" applyBorder="1" applyAlignment="1">
      <alignment horizontal="right" vertical="top"/>
    </xf>
    <xf numFmtId="3" fontId="17" fillId="18" borderId="71" xfId="0" applyNumberFormat="1" applyFont="1" applyFill="1" applyBorder="1" applyAlignment="1">
      <alignment horizontal="right" vertical="top"/>
    </xf>
    <xf numFmtId="0" fontId="4" fillId="18" borderId="69" xfId="0" applyFont="1" applyFill="1" applyBorder="1" applyAlignment="1">
      <alignment horizontal="left" vertical="top" wrapText="1"/>
    </xf>
    <xf numFmtId="0" fontId="4" fillId="18" borderId="6" xfId="0" applyFont="1" applyFill="1" applyBorder="1" applyAlignment="1">
      <alignment horizontal="left" vertical="top" wrapText="1"/>
    </xf>
    <xf numFmtId="0" fontId="9" fillId="16" borderId="7" xfId="0" applyFont="1" applyFill="1" applyBorder="1" applyAlignment="1">
      <alignment vertical="top" wrapText="1"/>
    </xf>
    <xf numFmtId="16" fontId="9" fillId="16" borderId="7" xfId="0" applyNumberFormat="1" applyFont="1" applyFill="1" applyBorder="1" applyAlignment="1">
      <alignment vertical="top" wrapText="1"/>
    </xf>
    <xf numFmtId="0" fontId="18" fillId="16" borderId="36" xfId="0" applyFont="1" applyFill="1" applyBorder="1" applyAlignment="1">
      <alignment vertical="top" wrapText="1"/>
    </xf>
    <xf numFmtId="0" fontId="4" fillId="16" borderId="36" xfId="0" applyFont="1" applyFill="1" applyBorder="1" applyAlignment="1">
      <alignment vertical="top" wrapText="1"/>
    </xf>
    <xf numFmtId="0" fontId="4" fillId="16" borderId="7" xfId="0" applyFont="1" applyFill="1" applyBorder="1" applyAlignment="1">
      <alignment vertical="top" wrapText="1"/>
    </xf>
    <xf numFmtId="16" fontId="4" fillId="16" borderId="7" xfId="0" applyNumberFormat="1" applyFont="1" applyFill="1" applyBorder="1" applyAlignment="1">
      <alignment vertical="top" wrapText="1"/>
    </xf>
    <xf numFmtId="49" fontId="4" fillId="16" borderId="7" xfId="0" applyNumberFormat="1" applyFont="1" applyFill="1" applyBorder="1" applyAlignment="1">
      <alignment vertical="top" wrapText="1"/>
    </xf>
    <xf numFmtId="10" fontId="4" fillId="16" borderId="7" xfId="6" applyNumberFormat="1" applyFont="1" applyFill="1" applyBorder="1" applyAlignment="1">
      <alignment vertical="top" wrapText="1"/>
    </xf>
    <xf numFmtId="0" fontId="4" fillId="16" borderId="6" xfId="0" applyFont="1" applyFill="1" applyBorder="1" applyAlignment="1">
      <alignment horizontal="left" vertical="top" wrapText="1"/>
    </xf>
    <xf numFmtId="4" fontId="4" fillId="16" borderId="13" xfId="0" applyNumberFormat="1" applyFont="1" applyFill="1" applyBorder="1" applyAlignment="1">
      <alignment horizontal="right" vertical="top" wrapText="1"/>
    </xf>
    <xf numFmtId="4" fontId="4" fillId="16" borderId="75" xfId="0" applyNumberFormat="1" applyFont="1" applyFill="1" applyBorder="1" applyAlignment="1">
      <alignment horizontal="right" vertical="top" wrapText="1"/>
    </xf>
    <xf numFmtId="4" fontId="4" fillId="16" borderId="10" xfId="0" applyNumberFormat="1" applyFont="1" applyFill="1" applyBorder="1" applyAlignment="1">
      <alignment horizontal="right" vertical="top" wrapText="1"/>
    </xf>
    <xf numFmtId="4" fontId="4" fillId="16" borderId="107" xfId="0" applyNumberFormat="1" applyFont="1" applyFill="1" applyBorder="1" applyAlignment="1">
      <alignment horizontal="right" vertical="top" wrapText="1"/>
    </xf>
    <xf numFmtId="4" fontId="4" fillId="16" borderId="95" xfId="0" applyNumberFormat="1" applyFont="1" applyFill="1" applyBorder="1" applyAlignment="1">
      <alignment horizontal="right" vertical="top" wrapText="1"/>
    </xf>
    <xf numFmtId="0" fontId="4" fillId="16" borderId="35" xfId="0" applyFont="1" applyFill="1" applyBorder="1" applyAlignment="1">
      <alignment vertical="top" wrapText="1"/>
    </xf>
    <xf numFmtId="0" fontId="4" fillId="16" borderId="31" xfId="0" applyFont="1" applyFill="1" applyBorder="1" applyAlignment="1">
      <alignment vertical="top" wrapText="1"/>
    </xf>
    <xf numFmtId="16" fontId="4" fillId="16" borderId="31" xfId="0" applyNumberFormat="1" applyFont="1" applyFill="1" applyBorder="1" applyAlignment="1">
      <alignment vertical="top" wrapText="1"/>
    </xf>
    <xf numFmtId="3" fontId="17" fillId="16" borderId="7" xfId="0" applyNumberFormat="1" applyFont="1" applyFill="1" applyBorder="1" applyAlignment="1">
      <alignment horizontal="right" vertical="top" wrapText="1"/>
    </xf>
    <xf numFmtId="4" fontId="17" fillId="16" borderId="7" xfId="0" applyNumberFormat="1" applyFont="1" applyFill="1" applyBorder="1" applyAlignment="1">
      <alignment horizontal="right" vertical="top" wrapText="1"/>
    </xf>
    <xf numFmtId="4" fontId="17" fillId="16" borderId="67" xfId="0" applyNumberFormat="1" applyFont="1" applyFill="1" applyBorder="1" applyAlignment="1">
      <alignment horizontal="right" vertical="top" wrapText="1"/>
    </xf>
    <xf numFmtId="4" fontId="9" fillId="16" borderId="16" xfId="0" applyNumberFormat="1" applyFont="1" applyFill="1" applyBorder="1" applyAlignment="1">
      <alignment horizontal="right" vertical="top" wrapText="1"/>
    </xf>
    <xf numFmtId="10" fontId="17" fillId="16" borderId="7" xfId="0" applyNumberFormat="1" applyFont="1" applyFill="1" applyBorder="1" applyAlignment="1">
      <alignment horizontal="right" vertical="top"/>
    </xf>
    <xf numFmtId="10" fontId="17" fillId="16" borderId="74" xfId="0" applyNumberFormat="1" applyFont="1" applyFill="1" applyBorder="1" applyAlignment="1">
      <alignment horizontal="right" vertical="top" wrapText="1"/>
    </xf>
    <xf numFmtId="4" fontId="9" fillId="16" borderId="78" xfId="0" applyNumberFormat="1" applyFont="1" applyFill="1" applyBorder="1" applyAlignment="1">
      <alignment horizontal="right" vertical="top" wrapText="1"/>
    </xf>
    <xf numFmtId="10" fontId="9" fillId="16" borderId="7" xfId="0" applyNumberFormat="1" applyFont="1" applyFill="1" applyBorder="1" applyAlignment="1">
      <alignment horizontal="right" vertical="top"/>
    </xf>
    <xf numFmtId="4" fontId="9" fillId="16" borderId="74" xfId="0" applyNumberFormat="1" applyFont="1" applyFill="1" applyBorder="1" applyAlignment="1">
      <alignment horizontal="right" vertical="top" wrapText="1"/>
    </xf>
    <xf numFmtId="10" fontId="9" fillId="16" borderId="77" xfId="0" applyNumberFormat="1" applyFont="1" applyFill="1" applyBorder="1" applyAlignment="1">
      <alignment horizontal="right" vertical="top" wrapText="1"/>
    </xf>
    <xf numFmtId="4" fontId="9" fillId="16" borderId="117" xfId="0" applyNumberFormat="1" applyFont="1" applyFill="1" applyBorder="1" applyAlignment="1">
      <alignment horizontal="right" vertical="top" wrapText="1"/>
    </xf>
    <xf numFmtId="4" fontId="17" fillId="16" borderId="80" xfId="0" applyNumberFormat="1" applyFont="1" applyFill="1" applyBorder="1" applyAlignment="1">
      <alignment horizontal="right" vertical="top" wrapText="1"/>
    </xf>
    <xf numFmtId="10" fontId="2" fillId="16" borderId="67" xfId="0" applyNumberFormat="1" applyFont="1" applyFill="1" applyBorder="1" applyAlignment="1">
      <alignment horizontal="right" vertical="top" wrapText="1"/>
    </xf>
    <xf numFmtId="4" fontId="9" fillId="16" borderId="0" xfId="0" applyNumberFormat="1" applyFont="1" applyFill="1" applyBorder="1" applyAlignment="1">
      <alignment horizontal="right" vertical="top" wrapText="1"/>
    </xf>
    <xf numFmtId="4" fontId="9" fillId="16" borderId="7" xfId="0" applyNumberFormat="1" applyFont="1" applyFill="1" applyBorder="1" applyAlignment="1">
      <alignment horizontal="right" vertical="top" wrapText="1"/>
    </xf>
    <xf numFmtId="4" fontId="17" fillId="16" borderId="4" xfId="0" applyNumberFormat="1" applyFont="1" applyFill="1" applyBorder="1" applyAlignment="1">
      <alignment horizontal="right" vertical="top" wrapText="1"/>
    </xf>
    <xf numFmtId="4" fontId="17" fillId="16" borderId="29" xfId="0" applyNumberFormat="1" applyFont="1" applyFill="1" applyBorder="1" applyAlignment="1">
      <alignment horizontal="right" vertical="top" wrapText="1"/>
    </xf>
    <xf numFmtId="10" fontId="17" fillId="16" borderId="4" xfId="0" applyNumberFormat="1" applyFont="1" applyFill="1" applyBorder="1" applyAlignment="1">
      <alignment horizontal="right" vertical="top"/>
    </xf>
    <xf numFmtId="10" fontId="17" fillId="16" borderId="15" xfId="0" applyNumberFormat="1" applyFont="1" applyFill="1" applyBorder="1" applyAlignment="1">
      <alignment horizontal="right" vertical="top" wrapText="1"/>
    </xf>
    <xf numFmtId="10" fontId="9" fillId="16" borderId="4" xfId="0" applyNumberFormat="1" applyFont="1" applyFill="1" applyBorder="1" applyAlignment="1">
      <alignment horizontal="right" vertical="top"/>
    </xf>
    <xf numFmtId="10" fontId="9" fillId="16" borderId="57" xfId="0" applyNumberFormat="1" applyFont="1" applyFill="1" applyBorder="1" applyAlignment="1">
      <alignment horizontal="right" vertical="top" wrapText="1"/>
    </xf>
    <xf numFmtId="10" fontId="2" fillId="16" borderId="29" xfId="0" applyNumberFormat="1" applyFont="1" applyFill="1" applyBorder="1" applyAlignment="1">
      <alignment horizontal="right" vertical="top" wrapText="1"/>
    </xf>
    <xf numFmtId="4" fontId="4" fillId="16" borderId="18" xfId="0" applyNumberFormat="1" applyFont="1" applyFill="1" applyBorder="1" applyAlignment="1">
      <alignment horizontal="right" vertical="top" wrapText="1"/>
    </xf>
    <xf numFmtId="4" fontId="4" fillId="16" borderId="6" xfId="0" applyNumberFormat="1" applyFont="1" applyFill="1" applyBorder="1" applyAlignment="1">
      <alignment horizontal="right" vertical="top" wrapText="1"/>
    </xf>
    <xf numFmtId="3" fontId="17" fillId="16" borderId="2" xfId="0" applyNumberFormat="1" applyFont="1" applyFill="1" applyBorder="1" applyAlignment="1">
      <alignment horizontal="right" vertical="top" wrapText="1"/>
    </xf>
    <xf numFmtId="4" fontId="17" fillId="16" borderId="2" xfId="0" applyNumberFormat="1" applyFont="1" applyFill="1" applyBorder="1" applyAlignment="1">
      <alignment horizontal="right" vertical="top" wrapText="1"/>
    </xf>
    <xf numFmtId="4" fontId="17" fillId="16" borderId="23" xfId="0" applyNumberFormat="1" applyFont="1" applyFill="1" applyBorder="1" applyAlignment="1">
      <alignment horizontal="right" vertical="top" wrapText="1"/>
    </xf>
    <xf numFmtId="10" fontId="17" fillId="16" borderId="3" xfId="0" applyNumberFormat="1" applyFont="1" applyFill="1" applyBorder="1" applyAlignment="1">
      <alignment horizontal="right" vertical="top" wrapText="1"/>
    </xf>
    <xf numFmtId="10" fontId="9" fillId="16" borderId="9" xfId="0" applyNumberFormat="1" applyFont="1" applyFill="1" applyBorder="1" applyAlignment="1">
      <alignment horizontal="right" vertical="top" wrapText="1"/>
    </xf>
    <xf numFmtId="10" fontId="2" fillId="16" borderId="23" xfId="0" applyNumberFormat="1" applyFont="1" applyFill="1" applyBorder="1" applyAlignment="1">
      <alignment horizontal="right" vertical="top" wrapText="1"/>
    </xf>
    <xf numFmtId="3" fontId="17" fillId="18" borderId="2" xfId="0" applyNumberFormat="1" applyFont="1" applyFill="1" applyBorder="1" applyAlignment="1">
      <alignment horizontal="right" vertical="top" wrapText="1"/>
    </xf>
    <xf numFmtId="4" fontId="17" fillId="18" borderId="2" xfId="0" applyNumberFormat="1" applyFont="1" applyFill="1" applyBorder="1" applyAlignment="1">
      <alignment horizontal="right" vertical="top" wrapText="1"/>
    </xf>
    <xf numFmtId="4" fontId="17" fillId="18" borderId="23" xfId="0" applyNumberFormat="1" applyFont="1" applyFill="1" applyBorder="1" applyAlignment="1">
      <alignment horizontal="right" vertical="top" wrapText="1"/>
    </xf>
    <xf numFmtId="10" fontId="17" fillId="18" borderId="3" xfId="0" applyNumberFormat="1" applyFont="1" applyFill="1" applyBorder="1" applyAlignment="1">
      <alignment horizontal="right" vertical="top" wrapText="1"/>
    </xf>
    <xf numFmtId="10" fontId="9" fillId="18" borderId="9" xfId="0" applyNumberFormat="1" applyFont="1" applyFill="1" applyBorder="1" applyAlignment="1">
      <alignment horizontal="right" vertical="top" wrapText="1"/>
    </xf>
    <xf numFmtId="10" fontId="2" fillId="18" borderId="23" xfId="0" applyNumberFormat="1" applyFont="1" applyFill="1" applyBorder="1" applyAlignment="1">
      <alignment horizontal="right" vertical="top" wrapText="1"/>
    </xf>
    <xf numFmtId="0" fontId="17" fillId="16" borderId="2" xfId="0" applyFont="1" applyFill="1" applyBorder="1" applyAlignment="1">
      <alignment horizontal="right" vertical="top" wrapText="1"/>
    </xf>
    <xf numFmtId="0" fontId="17" fillId="16" borderId="23" xfId="0" applyFont="1" applyFill="1" applyBorder="1" applyAlignment="1">
      <alignment horizontal="right" vertical="top" wrapText="1"/>
    </xf>
    <xf numFmtId="10" fontId="9" fillId="16" borderId="3" xfId="0" applyNumberFormat="1" applyFont="1" applyFill="1" applyBorder="1" applyAlignment="1">
      <alignment horizontal="right" vertical="top" wrapText="1"/>
    </xf>
    <xf numFmtId="0" fontId="9" fillId="16" borderId="3" xfId="0" applyFont="1" applyFill="1" applyBorder="1" applyAlignment="1">
      <alignment horizontal="right" vertical="top" wrapText="1"/>
    </xf>
    <xf numFmtId="3" fontId="4" fillId="16" borderId="6" xfId="0" applyNumberFormat="1" applyFont="1" applyFill="1" applyBorder="1" applyAlignment="1">
      <alignment horizontal="right" vertical="top" wrapText="1"/>
    </xf>
    <xf numFmtId="0" fontId="4" fillId="16" borderId="6" xfId="0" applyFont="1" applyFill="1" applyBorder="1" applyAlignment="1">
      <alignment horizontal="right" vertical="top" wrapText="1"/>
    </xf>
    <xf numFmtId="0" fontId="4" fillId="16" borderId="27" xfId="0" applyFont="1" applyFill="1" applyBorder="1" applyAlignment="1">
      <alignment horizontal="right" vertical="top" wrapText="1"/>
    </xf>
    <xf numFmtId="10" fontId="4" fillId="16" borderId="6" xfId="0" applyNumberFormat="1" applyFont="1" applyFill="1" applyBorder="1" applyAlignment="1">
      <alignment horizontal="right" vertical="top"/>
    </xf>
    <xf numFmtId="10" fontId="4" fillId="16" borderId="10" xfId="0" applyNumberFormat="1" applyFont="1" applyFill="1" applyBorder="1" applyAlignment="1">
      <alignment horizontal="right" vertical="top" wrapText="1"/>
    </xf>
    <xf numFmtId="10" fontId="4" fillId="16" borderId="7" xfId="0" applyNumberFormat="1" applyFont="1" applyFill="1" applyBorder="1" applyAlignment="1">
      <alignment horizontal="right" vertical="top"/>
    </xf>
    <xf numFmtId="0" fontId="4" fillId="16" borderId="10" xfId="0" applyFont="1" applyFill="1" applyBorder="1" applyAlignment="1">
      <alignment horizontal="right" vertical="top" wrapText="1"/>
    </xf>
    <xf numFmtId="10" fontId="4" fillId="16" borderId="76" xfId="0" applyNumberFormat="1" applyFont="1" applyFill="1" applyBorder="1" applyAlignment="1">
      <alignment horizontal="right" vertical="top" wrapText="1"/>
    </xf>
    <xf numFmtId="10" fontId="4" fillId="16" borderId="27" xfId="0" applyNumberFormat="1" applyFont="1" applyFill="1" applyBorder="1" applyAlignment="1">
      <alignment horizontal="right" vertical="top" wrapText="1"/>
    </xf>
    <xf numFmtId="3" fontId="2" fillId="18" borderId="11" xfId="0" applyNumberFormat="1" applyFont="1" applyFill="1" applyBorder="1" applyAlignment="1">
      <alignment horizontal="right" vertical="top" wrapText="1"/>
    </xf>
    <xf numFmtId="1" fontId="17" fillId="18" borderId="11" xfId="0" applyNumberFormat="1" applyFont="1" applyFill="1" applyBorder="1" applyAlignment="1">
      <alignment horizontal="right" vertical="top" wrapText="1"/>
    </xf>
    <xf numFmtId="1" fontId="17" fillId="18" borderId="63" xfId="0" applyNumberFormat="1" applyFont="1" applyFill="1" applyBorder="1" applyAlignment="1">
      <alignment horizontal="right" vertical="top" wrapText="1"/>
    </xf>
    <xf numFmtId="10" fontId="17" fillId="18" borderId="11" xfId="0" applyNumberFormat="1" applyFont="1" applyFill="1" applyBorder="1" applyAlignment="1">
      <alignment horizontal="right" vertical="top"/>
    </xf>
    <xf numFmtId="10" fontId="17" fillId="18" borderId="73" xfId="0" applyNumberFormat="1" applyFont="1" applyFill="1" applyBorder="1" applyAlignment="1">
      <alignment horizontal="right" vertical="top" wrapText="1"/>
    </xf>
    <xf numFmtId="10" fontId="9" fillId="18" borderId="11" xfId="0" applyNumberFormat="1" applyFont="1" applyFill="1" applyBorder="1" applyAlignment="1">
      <alignment horizontal="right" vertical="top"/>
    </xf>
    <xf numFmtId="10" fontId="9" fillId="18" borderId="73" xfId="0" applyNumberFormat="1" applyFont="1" applyFill="1" applyBorder="1" applyAlignment="1">
      <alignment horizontal="right" vertical="top" wrapText="1"/>
    </xf>
    <xf numFmtId="10" fontId="9" fillId="18" borderId="115" xfId="0" applyNumberFormat="1" applyFont="1" applyFill="1" applyBorder="1" applyAlignment="1">
      <alignment horizontal="right" vertical="top" wrapText="1"/>
    </xf>
    <xf numFmtId="10" fontId="2" fillId="18" borderId="63" xfId="0" applyNumberFormat="1" applyFont="1" applyFill="1" applyBorder="1" applyAlignment="1">
      <alignment horizontal="right" vertical="top" wrapText="1"/>
    </xf>
    <xf numFmtId="4" fontId="17" fillId="18" borderId="63" xfId="0" applyNumberFormat="1" applyFont="1" applyFill="1" applyBorder="1" applyAlignment="1">
      <alignment horizontal="right" vertical="top" wrapText="1"/>
    </xf>
    <xf numFmtId="3" fontId="4" fillId="16" borderId="2" xfId="0" applyNumberFormat="1" applyFont="1" applyFill="1" applyBorder="1" applyAlignment="1">
      <alignment horizontal="right" vertical="top" wrapText="1"/>
    </xf>
    <xf numFmtId="0" fontId="4" fillId="16" borderId="2" xfId="0" applyFont="1" applyFill="1" applyBorder="1" applyAlignment="1">
      <alignment horizontal="right" vertical="top" wrapText="1"/>
    </xf>
    <xf numFmtId="0" fontId="4" fillId="16" borderId="23" xfId="0" applyFont="1" applyFill="1" applyBorder="1" applyAlignment="1">
      <alignment horizontal="right" vertical="top" wrapText="1"/>
    </xf>
    <xf numFmtId="10" fontId="4" fillId="16" borderId="2" xfId="0" applyNumberFormat="1" applyFont="1" applyFill="1" applyBorder="1" applyAlignment="1">
      <alignment horizontal="right" vertical="top"/>
    </xf>
    <xf numFmtId="10" fontId="4" fillId="16" borderId="3" xfId="0" applyNumberFormat="1" applyFont="1" applyFill="1" applyBorder="1" applyAlignment="1">
      <alignment horizontal="right" vertical="top" wrapText="1"/>
    </xf>
    <xf numFmtId="0" fontId="4" fillId="16" borderId="3" xfId="0" applyFont="1" applyFill="1" applyBorder="1" applyAlignment="1">
      <alignment horizontal="right" vertical="top" wrapText="1"/>
    </xf>
    <xf numFmtId="10" fontId="4" fillId="16" borderId="9" xfId="0" applyNumberFormat="1" applyFont="1" applyFill="1" applyBorder="1" applyAlignment="1">
      <alignment horizontal="right" vertical="top" wrapText="1"/>
    </xf>
    <xf numFmtId="10" fontId="4" fillId="16" borderId="23" xfId="0" applyNumberFormat="1" applyFont="1" applyFill="1" applyBorder="1" applyAlignment="1">
      <alignment horizontal="right" vertical="top" wrapText="1"/>
    </xf>
    <xf numFmtId="0" fontId="4" fillId="16" borderId="12" xfId="0" applyFont="1" applyFill="1" applyBorder="1" applyAlignment="1">
      <alignment horizontal="right" vertical="top" wrapText="1"/>
    </xf>
    <xf numFmtId="0" fontId="4" fillId="16" borderId="62" xfId="0" applyFont="1" applyFill="1" applyBorder="1" applyAlignment="1">
      <alignment horizontal="right" vertical="top" wrapText="1"/>
    </xf>
    <xf numFmtId="10" fontId="4" fillId="16" borderId="12" xfId="0" applyNumberFormat="1" applyFont="1" applyFill="1" applyBorder="1" applyAlignment="1">
      <alignment horizontal="right" vertical="top"/>
    </xf>
    <xf numFmtId="10" fontId="4" fillId="16" borderId="58" xfId="0" applyNumberFormat="1" applyFont="1" applyFill="1" applyBorder="1" applyAlignment="1">
      <alignment horizontal="right" vertical="top" wrapText="1"/>
    </xf>
    <xf numFmtId="0" fontId="4" fillId="16" borderId="58" xfId="0" applyFont="1" applyFill="1" applyBorder="1" applyAlignment="1">
      <alignment horizontal="right" vertical="top" wrapText="1"/>
    </xf>
    <xf numFmtId="10" fontId="4" fillId="16" borderId="114" xfId="0" applyNumberFormat="1" applyFont="1" applyFill="1" applyBorder="1" applyAlignment="1">
      <alignment horizontal="right" vertical="top" wrapText="1"/>
    </xf>
    <xf numFmtId="10" fontId="4" fillId="16" borderId="62" xfId="0" applyNumberFormat="1" applyFont="1" applyFill="1" applyBorder="1" applyAlignment="1">
      <alignment horizontal="right" vertical="top" wrapText="1"/>
    </xf>
    <xf numFmtId="3" fontId="17" fillId="16" borderId="11" xfId="0" applyNumberFormat="1" applyFont="1" applyFill="1" applyBorder="1" applyAlignment="1">
      <alignment horizontal="right" vertical="top" wrapText="1"/>
    </xf>
    <xf numFmtId="0" fontId="17" fillId="16" borderId="11" xfId="0" applyFont="1" applyFill="1" applyBorder="1" applyAlignment="1">
      <alignment horizontal="right" vertical="top" wrapText="1"/>
    </xf>
    <xf numFmtId="0" fontId="17" fillId="16" borderId="63" xfId="0" applyFont="1" applyFill="1" applyBorder="1" applyAlignment="1">
      <alignment horizontal="right" vertical="top" wrapText="1"/>
    </xf>
    <xf numFmtId="10" fontId="17" fillId="16" borderId="11" xfId="0" applyNumberFormat="1" applyFont="1" applyFill="1" applyBorder="1" applyAlignment="1">
      <alignment horizontal="right" vertical="top"/>
    </xf>
    <xf numFmtId="10" fontId="17" fillId="16" borderId="73" xfId="0" applyNumberFormat="1" applyFont="1" applyFill="1" applyBorder="1" applyAlignment="1">
      <alignment horizontal="right" vertical="top" wrapText="1"/>
    </xf>
    <xf numFmtId="10" fontId="9" fillId="16" borderId="11" xfId="0" applyNumberFormat="1" applyFont="1" applyFill="1" applyBorder="1" applyAlignment="1">
      <alignment horizontal="right" vertical="top"/>
    </xf>
    <xf numFmtId="0" fontId="9" fillId="16" borderId="73" xfId="0" applyFont="1" applyFill="1" applyBorder="1" applyAlignment="1">
      <alignment horizontal="right" vertical="top" wrapText="1"/>
    </xf>
    <xf numFmtId="10" fontId="9" fillId="16" borderId="115" xfId="0" applyNumberFormat="1" applyFont="1" applyFill="1" applyBorder="1" applyAlignment="1">
      <alignment horizontal="right" vertical="top" wrapText="1"/>
    </xf>
    <xf numFmtId="10" fontId="2" fillId="16" borderId="63" xfId="0" applyNumberFormat="1" applyFont="1" applyFill="1" applyBorder="1" applyAlignment="1">
      <alignment horizontal="right" vertical="top" wrapText="1"/>
    </xf>
    <xf numFmtId="3" fontId="2" fillId="16" borderId="2" xfId="0" applyNumberFormat="1" applyFont="1" applyFill="1" applyBorder="1" applyAlignment="1">
      <alignment horizontal="right" vertical="top" wrapText="1"/>
    </xf>
    <xf numFmtId="3" fontId="4" fillId="16" borderId="12" xfId="0" applyNumberFormat="1" applyFont="1" applyFill="1" applyBorder="1" applyAlignment="1">
      <alignment horizontal="right" vertical="top" wrapText="1"/>
    </xf>
    <xf numFmtId="3" fontId="2" fillId="16" borderId="11" xfId="0" applyNumberFormat="1" applyFont="1" applyFill="1" applyBorder="1" applyAlignment="1">
      <alignment horizontal="right" vertical="top" wrapText="1"/>
    </xf>
    <xf numFmtId="4" fontId="17" fillId="16" borderId="11" xfId="0" applyNumberFormat="1" applyFont="1" applyFill="1" applyBorder="1" applyAlignment="1">
      <alignment horizontal="right" vertical="top" wrapText="1"/>
    </xf>
    <xf numFmtId="4" fontId="17" fillId="16" borderId="63" xfId="0" applyNumberFormat="1" applyFont="1" applyFill="1" applyBorder="1" applyAlignment="1">
      <alignment horizontal="right" vertical="top" wrapText="1"/>
    </xf>
    <xf numFmtId="4" fontId="4" fillId="16" borderId="23" xfId="0" applyNumberFormat="1" applyFont="1" applyFill="1" applyBorder="1" applyAlignment="1">
      <alignment horizontal="right" vertical="top" wrapText="1"/>
    </xf>
    <xf numFmtId="4" fontId="2" fillId="18" borderId="2" xfId="0" applyNumberFormat="1" applyFont="1" applyFill="1" applyBorder="1" applyAlignment="1">
      <alignment horizontal="right" vertical="top" wrapText="1"/>
    </xf>
    <xf numFmtId="4" fontId="2" fillId="18" borderId="23" xfId="0" applyNumberFormat="1" applyFont="1" applyFill="1" applyBorder="1" applyAlignment="1">
      <alignment horizontal="right" vertical="top" wrapText="1"/>
    </xf>
    <xf numFmtId="10" fontId="9" fillId="18" borderId="3" xfId="0" applyNumberFormat="1" applyFont="1" applyFill="1" applyBorder="1" applyAlignment="1">
      <alignment horizontal="right" vertical="top" wrapText="1"/>
    </xf>
    <xf numFmtId="1" fontId="17" fillId="16" borderId="11" xfId="0" applyNumberFormat="1" applyFont="1" applyFill="1" applyBorder="1" applyAlignment="1">
      <alignment horizontal="right" vertical="top" wrapText="1"/>
    </xf>
    <xf numFmtId="1" fontId="17" fillId="16" borderId="2" xfId="0" applyNumberFormat="1" applyFont="1" applyFill="1" applyBorder="1" applyAlignment="1">
      <alignment horizontal="right" vertical="top" wrapText="1"/>
    </xf>
    <xf numFmtId="1" fontId="17" fillId="16" borderId="12" xfId="0" applyNumberFormat="1" applyFont="1" applyFill="1" applyBorder="1" applyAlignment="1">
      <alignment horizontal="right" vertical="top" wrapText="1"/>
    </xf>
    <xf numFmtId="4" fontId="17" fillId="16" borderId="12" xfId="0" applyNumberFormat="1" applyFont="1" applyFill="1" applyBorder="1" applyAlignment="1">
      <alignment horizontal="right" vertical="top" wrapText="1"/>
    </xf>
    <xf numFmtId="4" fontId="17" fillId="16" borderId="62" xfId="0" applyNumberFormat="1" applyFont="1" applyFill="1" applyBorder="1" applyAlignment="1">
      <alignment horizontal="right" vertical="top" wrapText="1"/>
    </xf>
    <xf numFmtId="10" fontId="17" fillId="16" borderId="12" xfId="0" applyNumberFormat="1" applyFont="1" applyFill="1" applyBorder="1" applyAlignment="1">
      <alignment horizontal="right" vertical="top"/>
    </xf>
    <xf numFmtId="10" fontId="17" fillId="16" borderId="58" xfId="0" applyNumberFormat="1" applyFont="1" applyFill="1" applyBorder="1" applyAlignment="1">
      <alignment horizontal="right" vertical="top" wrapText="1"/>
    </xf>
    <xf numFmtId="10" fontId="9" fillId="16" borderId="12" xfId="0" applyNumberFormat="1" applyFont="1" applyFill="1" applyBorder="1" applyAlignment="1">
      <alignment horizontal="right" vertical="top"/>
    </xf>
    <xf numFmtId="10" fontId="9" fillId="16" borderId="114" xfId="0" applyNumberFormat="1" applyFont="1" applyFill="1" applyBorder="1" applyAlignment="1">
      <alignment horizontal="right" vertical="top" wrapText="1"/>
    </xf>
    <xf numFmtId="10" fontId="2" fillId="16" borderId="62" xfId="0" applyNumberFormat="1" applyFont="1" applyFill="1" applyBorder="1" applyAlignment="1">
      <alignment horizontal="right" vertical="top" wrapText="1"/>
    </xf>
    <xf numFmtId="1" fontId="17" fillId="16" borderId="4" xfId="0" applyNumberFormat="1" applyFont="1" applyFill="1" applyBorder="1" applyAlignment="1">
      <alignment horizontal="right" vertical="top" wrapText="1"/>
    </xf>
    <xf numFmtId="4" fontId="2" fillId="16" borderId="2" xfId="0" applyNumberFormat="1" applyFont="1" applyFill="1" applyBorder="1" applyAlignment="1">
      <alignment horizontal="right" vertical="top" wrapText="1"/>
    </xf>
    <xf numFmtId="4" fontId="2" fillId="16" borderId="23" xfId="0" applyNumberFormat="1" applyFont="1" applyFill="1" applyBorder="1" applyAlignment="1">
      <alignment horizontal="right" vertical="top" wrapText="1"/>
    </xf>
    <xf numFmtId="10" fontId="2" fillId="16" borderId="2" xfId="0" applyNumberFormat="1" applyFont="1" applyFill="1" applyBorder="1" applyAlignment="1">
      <alignment horizontal="right" vertical="top"/>
    </xf>
    <xf numFmtId="10" fontId="2" fillId="16" borderId="3" xfId="0" applyNumberFormat="1" applyFont="1" applyFill="1" applyBorder="1" applyAlignment="1">
      <alignment horizontal="right" vertical="top" wrapText="1"/>
    </xf>
    <xf numFmtId="3" fontId="17" fillId="16" borderId="6" xfId="0" applyNumberFormat="1" applyFont="1" applyFill="1" applyBorder="1" applyAlignment="1">
      <alignment horizontal="right" vertical="top" wrapText="1"/>
    </xf>
    <xf numFmtId="4" fontId="17" fillId="16" borderId="6" xfId="0" applyNumberFormat="1" applyFont="1" applyFill="1" applyBorder="1" applyAlignment="1">
      <alignment horizontal="right" vertical="top" wrapText="1"/>
    </xf>
    <xf numFmtId="4" fontId="17" fillId="16" borderId="27" xfId="0" applyNumberFormat="1" applyFont="1" applyFill="1" applyBorder="1" applyAlignment="1">
      <alignment horizontal="right" vertical="top" wrapText="1"/>
    </xf>
    <xf numFmtId="10" fontId="17" fillId="16" borderId="6" xfId="0" applyNumberFormat="1" applyFont="1" applyFill="1" applyBorder="1" applyAlignment="1">
      <alignment horizontal="right" vertical="top"/>
    </xf>
    <xf numFmtId="10" fontId="17" fillId="16" borderId="10" xfId="0" applyNumberFormat="1" applyFont="1" applyFill="1" applyBorder="1" applyAlignment="1">
      <alignment horizontal="right" vertical="top" wrapText="1"/>
    </xf>
    <xf numFmtId="10" fontId="9" fillId="16" borderId="6" xfId="0" applyNumberFormat="1" applyFont="1" applyFill="1" applyBorder="1" applyAlignment="1">
      <alignment horizontal="right" vertical="top"/>
    </xf>
    <xf numFmtId="10" fontId="9" fillId="16" borderId="76" xfId="0" applyNumberFormat="1" applyFont="1" applyFill="1" applyBorder="1" applyAlignment="1">
      <alignment horizontal="right" vertical="top" wrapText="1"/>
    </xf>
    <xf numFmtId="10" fontId="2" fillId="16" borderId="27" xfId="0" applyNumberFormat="1" applyFont="1" applyFill="1" applyBorder="1" applyAlignment="1">
      <alignment horizontal="right" vertical="top" wrapText="1"/>
    </xf>
    <xf numFmtId="168" fontId="2" fillId="18" borderId="11" xfId="0" applyNumberFormat="1" applyFont="1" applyFill="1" applyBorder="1" applyAlignment="1">
      <alignment horizontal="right" vertical="top" wrapText="1"/>
    </xf>
    <xf numFmtId="10" fontId="17" fillId="18" borderId="64" xfId="0" applyNumberFormat="1" applyFont="1" applyFill="1" applyBorder="1" applyAlignment="1">
      <alignment horizontal="right" vertical="top"/>
    </xf>
    <xf numFmtId="10" fontId="9" fillId="18" borderId="64" xfId="0" applyNumberFormat="1" applyFont="1" applyFill="1" applyBorder="1" applyAlignment="1">
      <alignment horizontal="right" vertical="top"/>
    </xf>
    <xf numFmtId="10" fontId="2" fillId="18" borderId="66" xfId="0" applyNumberFormat="1" applyFont="1" applyFill="1" applyBorder="1" applyAlignment="1">
      <alignment vertical="top" wrapText="1"/>
    </xf>
    <xf numFmtId="3" fontId="2" fillId="18" borderId="25" xfId="0" applyNumberFormat="1" applyFont="1" applyFill="1" applyBorder="1" applyAlignment="1">
      <alignment horizontal="right" vertical="top" wrapText="1"/>
    </xf>
    <xf numFmtId="168" fontId="2" fillId="18" borderId="25" xfId="0" applyNumberFormat="1" applyFont="1" applyFill="1" applyBorder="1" applyAlignment="1">
      <alignment horizontal="right" vertical="top" wrapText="1"/>
    </xf>
    <xf numFmtId="10" fontId="2" fillId="18" borderId="26" xfId="0" applyNumberFormat="1" applyFont="1" applyFill="1" applyBorder="1" applyAlignment="1">
      <alignment vertical="top" wrapText="1"/>
    </xf>
    <xf numFmtId="0" fontId="9" fillId="21" borderId="20" xfId="0" applyFont="1" applyFill="1" applyBorder="1" applyAlignment="1">
      <alignment vertical="top"/>
    </xf>
    <xf numFmtId="3" fontId="17" fillId="21" borderId="20" xfId="0" applyNumberFormat="1" applyFont="1" applyFill="1" applyBorder="1" applyAlignment="1">
      <alignment horizontal="right" vertical="top"/>
    </xf>
    <xf numFmtId="4" fontId="17" fillId="21" borderId="20" xfId="0" applyNumberFormat="1" applyFont="1" applyFill="1" applyBorder="1" applyAlignment="1">
      <alignment horizontal="right" vertical="top"/>
    </xf>
    <xf numFmtId="4" fontId="17" fillId="21" borderId="21" xfId="0" applyNumberFormat="1" applyFont="1" applyFill="1" applyBorder="1" applyAlignment="1">
      <alignment horizontal="right" vertical="top"/>
    </xf>
    <xf numFmtId="4" fontId="9" fillId="21" borderId="34" xfId="0" applyNumberFormat="1" applyFont="1" applyFill="1" applyBorder="1" applyAlignment="1">
      <alignment horizontal="right" vertical="top"/>
    </xf>
    <xf numFmtId="10" fontId="17" fillId="21" borderId="20" xfId="0" applyNumberFormat="1" applyFont="1" applyFill="1" applyBorder="1" applyAlignment="1">
      <alignment horizontal="right" vertical="top"/>
    </xf>
    <xf numFmtId="10" fontId="17" fillId="21" borderId="32" xfId="0" applyNumberFormat="1" applyFont="1" applyFill="1" applyBorder="1" applyAlignment="1">
      <alignment horizontal="right" vertical="top"/>
    </xf>
    <xf numFmtId="4" fontId="9" fillId="21" borderId="99" xfId="0" applyNumberFormat="1" applyFont="1" applyFill="1" applyBorder="1" applyAlignment="1">
      <alignment horizontal="right" vertical="top"/>
    </xf>
    <xf numFmtId="10" fontId="9" fillId="21" borderId="20" xfId="0" applyNumberFormat="1" applyFont="1" applyFill="1" applyBorder="1" applyAlignment="1">
      <alignment horizontal="right" vertical="top"/>
    </xf>
    <xf numFmtId="4" fontId="9" fillId="21" borderId="20" xfId="0" applyNumberFormat="1" applyFont="1" applyFill="1" applyBorder="1" applyAlignment="1">
      <alignment horizontal="right" vertical="top"/>
    </xf>
    <xf numFmtId="10" fontId="9" fillId="21" borderId="113" xfId="0" applyNumberFormat="1" applyFont="1" applyFill="1" applyBorder="1" applyAlignment="1">
      <alignment horizontal="right" vertical="top"/>
    </xf>
    <xf numFmtId="4" fontId="9" fillId="21" borderId="102" xfId="0" applyNumberFormat="1" applyFont="1" applyFill="1" applyBorder="1" applyAlignment="1">
      <alignment horizontal="right" vertical="top"/>
    </xf>
    <xf numFmtId="4" fontId="17" fillId="21" borderId="99" xfId="0" applyNumberFormat="1" applyFont="1" applyFill="1" applyBorder="1" applyAlignment="1">
      <alignment horizontal="right" vertical="top"/>
    </xf>
    <xf numFmtId="10" fontId="2" fillId="21" borderId="21" xfId="0" applyNumberFormat="1" applyFont="1" applyFill="1" applyBorder="1" applyAlignment="1">
      <alignment horizontal="right" vertical="top"/>
    </xf>
    <xf numFmtId="0" fontId="4" fillId="21" borderId="2" xfId="0" applyFont="1" applyFill="1" applyBorder="1" applyAlignment="1">
      <alignment vertical="top" wrapText="1"/>
    </xf>
    <xf numFmtId="3" fontId="17" fillId="21" borderId="2" xfId="0" applyNumberFormat="1" applyFont="1" applyFill="1" applyBorder="1" applyAlignment="1">
      <alignment horizontal="right" vertical="top"/>
    </xf>
    <xf numFmtId="4" fontId="17" fillId="21" borderId="2" xfId="0" applyNumberFormat="1" applyFont="1" applyFill="1" applyBorder="1" applyAlignment="1">
      <alignment horizontal="right" vertical="top"/>
    </xf>
    <xf numFmtId="4" fontId="17" fillId="21" borderId="23" xfId="0" applyNumberFormat="1" applyFont="1" applyFill="1" applyBorder="1" applyAlignment="1">
      <alignment horizontal="right" vertical="top"/>
    </xf>
    <xf numFmtId="4" fontId="9" fillId="21" borderId="5" xfId="0" applyNumberFormat="1" applyFont="1" applyFill="1" applyBorder="1" applyAlignment="1">
      <alignment horizontal="right" vertical="top"/>
    </xf>
    <xf numFmtId="10" fontId="17" fillId="21" borderId="2" xfId="0" applyNumberFormat="1" applyFont="1" applyFill="1" applyBorder="1" applyAlignment="1">
      <alignment horizontal="right" vertical="top"/>
    </xf>
    <xf numFmtId="10" fontId="17" fillId="21" borderId="3" xfId="0" applyNumberFormat="1" applyFont="1" applyFill="1" applyBorder="1" applyAlignment="1">
      <alignment horizontal="right" vertical="top"/>
    </xf>
    <xf numFmtId="4" fontId="9" fillId="21" borderId="8" xfId="0" applyNumberFormat="1" applyFont="1" applyFill="1" applyBorder="1" applyAlignment="1">
      <alignment horizontal="right" vertical="top"/>
    </xf>
    <xf numFmtId="10" fontId="9" fillId="21" borderId="2" xfId="0" applyNumberFormat="1" applyFont="1" applyFill="1" applyBorder="1" applyAlignment="1">
      <alignment horizontal="right" vertical="top"/>
    </xf>
    <xf numFmtId="4" fontId="9" fillId="21" borderId="2" xfId="0" applyNumberFormat="1" applyFont="1" applyFill="1" applyBorder="1" applyAlignment="1">
      <alignment horizontal="right" vertical="top"/>
    </xf>
    <xf numFmtId="10" fontId="9" fillId="21" borderId="9" xfId="0" applyNumberFormat="1" applyFont="1" applyFill="1" applyBorder="1" applyAlignment="1">
      <alignment horizontal="right" vertical="top"/>
    </xf>
    <xf numFmtId="4" fontId="9" fillId="21" borderId="103" xfId="0" applyNumberFormat="1" applyFont="1" applyFill="1" applyBorder="1" applyAlignment="1">
      <alignment horizontal="right" vertical="top"/>
    </xf>
    <xf numFmtId="4" fontId="17" fillId="21" borderId="8" xfId="0" applyNumberFormat="1" applyFont="1" applyFill="1" applyBorder="1" applyAlignment="1">
      <alignment horizontal="right" vertical="top"/>
    </xf>
    <xf numFmtId="10" fontId="2" fillId="21" borderId="23" xfId="0" applyNumberFormat="1" applyFont="1" applyFill="1" applyBorder="1" applyAlignment="1">
      <alignment horizontal="right" vertical="top"/>
    </xf>
    <xf numFmtId="10" fontId="9" fillId="21" borderId="5" xfId="0" applyNumberFormat="1" applyFont="1" applyFill="1" applyBorder="1" applyAlignment="1">
      <alignment horizontal="right" vertical="top"/>
    </xf>
    <xf numFmtId="10" fontId="9" fillId="21" borderId="8" xfId="0" applyNumberFormat="1" applyFont="1" applyFill="1" applyBorder="1" applyAlignment="1">
      <alignment horizontal="right" vertical="top"/>
    </xf>
    <xf numFmtId="10" fontId="17" fillId="21" borderId="8" xfId="0" applyNumberFormat="1" applyFont="1" applyFill="1" applyBorder="1" applyAlignment="1">
      <alignment horizontal="right" vertical="top"/>
    </xf>
    <xf numFmtId="0" fontId="41" fillId="21" borderId="2" xfId="0" applyFont="1" applyFill="1" applyBorder="1" applyAlignment="1">
      <alignment vertical="top"/>
    </xf>
    <xf numFmtId="3" fontId="31" fillId="21" borderId="2" xfId="0" applyNumberFormat="1" applyFont="1" applyFill="1" applyBorder="1" applyAlignment="1">
      <alignment horizontal="right" vertical="top"/>
    </xf>
    <xf numFmtId="4" fontId="31" fillId="21" borderId="2" xfId="0" applyNumberFormat="1" applyFont="1" applyFill="1" applyBorder="1" applyAlignment="1">
      <alignment horizontal="right" vertical="top"/>
    </xf>
    <xf numFmtId="4" fontId="31" fillId="21" borderId="23" xfId="0" applyNumberFormat="1" applyFont="1" applyFill="1" applyBorder="1" applyAlignment="1">
      <alignment horizontal="right" vertical="top"/>
    </xf>
    <xf numFmtId="4" fontId="41" fillId="21" borderId="5" xfId="0" applyNumberFormat="1" applyFont="1" applyFill="1" applyBorder="1" applyAlignment="1">
      <alignment horizontal="right" vertical="top"/>
    </xf>
    <xf numFmtId="10" fontId="31" fillId="21" borderId="2" xfId="0" applyNumberFormat="1" applyFont="1" applyFill="1" applyBorder="1" applyAlignment="1">
      <alignment horizontal="right" vertical="top"/>
    </xf>
    <xf numFmtId="10" fontId="31" fillId="21" borderId="3" xfId="0" applyNumberFormat="1" applyFont="1" applyFill="1" applyBorder="1" applyAlignment="1">
      <alignment horizontal="right" vertical="top"/>
    </xf>
    <xf numFmtId="4" fontId="41" fillId="21" borderId="8" xfId="0" applyNumberFormat="1" applyFont="1" applyFill="1" applyBorder="1" applyAlignment="1">
      <alignment horizontal="right" vertical="top"/>
    </xf>
    <xf numFmtId="10" fontId="41" fillId="21" borderId="2" xfId="0" applyNumberFormat="1" applyFont="1" applyFill="1" applyBorder="1" applyAlignment="1">
      <alignment horizontal="right" vertical="top"/>
    </xf>
    <xf numFmtId="4" fontId="41" fillId="21" borderId="2" xfId="0" applyNumberFormat="1" applyFont="1" applyFill="1" applyBorder="1" applyAlignment="1">
      <alignment horizontal="right" vertical="top"/>
    </xf>
    <xf numFmtId="10" fontId="41" fillId="21" borderId="9" xfId="0" applyNumberFormat="1" applyFont="1" applyFill="1" applyBorder="1" applyAlignment="1">
      <alignment horizontal="right" vertical="top"/>
    </xf>
    <xf numFmtId="4" fontId="41" fillId="21" borderId="103" xfId="0" applyNumberFormat="1" applyFont="1" applyFill="1" applyBorder="1" applyAlignment="1">
      <alignment horizontal="right" vertical="top"/>
    </xf>
    <xf numFmtId="4" fontId="31" fillId="21" borderId="8" xfId="0" applyNumberFormat="1" applyFont="1" applyFill="1" applyBorder="1" applyAlignment="1">
      <alignment horizontal="right" vertical="top"/>
    </xf>
    <xf numFmtId="10" fontId="32" fillId="21" borderId="23" xfId="0" applyNumberFormat="1" applyFont="1" applyFill="1" applyBorder="1" applyAlignment="1">
      <alignment horizontal="right" vertical="top"/>
    </xf>
    <xf numFmtId="0" fontId="9" fillId="21" borderId="2" xfId="0" applyFont="1" applyFill="1" applyBorder="1" applyAlignment="1">
      <alignment vertical="top"/>
    </xf>
    <xf numFmtId="0" fontId="17" fillId="21" borderId="25" xfId="0" applyFont="1" applyFill="1" applyBorder="1" applyAlignment="1">
      <alignment horizontal="right" vertical="top"/>
    </xf>
    <xf numFmtId="0" fontId="17" fillId="21" borderId="26" xfId="0" applyFont="1" applyFill="1" applyBorder="1" applyAlignment="1">
      <alignment vertical="top"/>
    </xf>
    <xf numFmtId="10" fontId="17" fillId="21" borderId="25" xfId="0" applyNumberFormat="1" applyFont="1" applyFill="1" applyBorder="1" applyAlignment="1">
      <alignment horizontal="right" vertical="top"/>
    </xf>
    <xf numFmtId="0" fontId="17" fillId="21" borderId="33" xfId="0" applyFont="1" applyFill="1" applyBorder="1" applyAlignment="1">
      <alignment vertical="top"/>
    </xf>
    <xf numFmtId="10" fontId="9" fillId="21" borderId="25" xfId="0" applyNumberFormat="1" applyFont="1" applyFill="1" applyBorder="1" applyAlignment="1">
      <alignment horizontal="right" vertical="top"/>
    </xf>
    <xf numFmtId="10" fontId="17" fillId="21" borderId="25" xfId="0" applyNumberFormat="1" applyFont="1" applyFill="1" applyBorder="1" applyAlignment="1">
      <alignment vertical="top"/>
    </xf>
    <xf numFmtId="10" fontId="9" fillId="21" borderId="112" xfId="0" applyNumberFormat="1" applyFont="1" applyFill="1" applyBorder="1" applyAlignment="1">
      <alignment vertical="top"/>
    </xf>
    <xf numFmtId="10" fontId="2" fillId="21" borderId="26" xfId="0" applyNumberFormat="1" applyFont="1" applyFill="1" applyBorder="1" applyAlignment="1">
      <alignment vertical="top"/>
    </xf>
    <xf numFmtId="164" fontId="4" fillId="4" borderId="12" xfId="2" applyNumberFormat="1" applyFont="1" applyFill="1" applyBorder="1" applyAlignment="1">
      <alignment horizontal="right" vertical="center" wrapText="1"/>
    </xf>
    <xf numFmtId="164" fontId="4" fillId="4" borderId="20" xfId="2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/>
    </xf>
    <xf numFmtId="3" fontId="10" fillId="0" borderId="2" xfId="0" applyNumberFormat="1" applyFont="1" applyBorder="1"/>
    <xf numFmtId="165" fontId="4" fillId="0" borderId="3" xfId="0" applyNumberFormat="1" applyFont="1" applyBorder="1" applyAlignment="1">
      <alignment horizontal="right"/>
    </xf>
    <xf numFmtId="0" fontId="2" fillId="0" borderId="7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164" fontId="2" fillId="0" borderId="56" xfId="3" applyNumberFormat="1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4" fillId="7" borderId="8" xfId="3" applyNumberFormat="1" applyFont="1" applyFill="1" applyBorder="1" applyAlignment="1">
      <alignment horizontal="center" vertical="center" wrapText="1"/>
    </xf>
    <xf numFmtId="0" fontId="49" fillId="0" borderId="2" xfId="4" applyFont="1" applyBorder="1" applyAlignment="1">
      <alignment vertical="center"/>
    </xf>
    <xf numFmtId="166" fontId="4" fillId="0" borderId="3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8" xfId="3" applyNumberFormat="1" applyFont="1" applyFill="1" applyBorder="1" applyAlignment="1">
      <alignment horizontal="center" vertical="center" wrapText="1"/>
    </xf>
    <xf numFmtId="4" fontId="50" fillId="0" borderId="2" xfId="0" applyNumberFormat="1" applyFont="1" applyBorder="1" applyAlignment="1">
      <alignment horizontal="right"/>
    </xf>
    <xf numFmtId="4" fontId="50" fillId="0" borderId="2" xfId="0" applyNumberFormat="1" applyFont="1" applyFill="1" applyBorder="1" applyAlignment="1">
      <alignment horizontal="right"/>
    </xf>
    <xf numFmtId="4" fontId="50" fillId="0" borderId="3" xfId="0" applyNumberFormat="1" applyFont="1" applyBorder="1" applyAlignment="1">
      <alignment horizontal="right"/>
    </xf>
    <xf numFmtId="0" fontId="4" fillId="16" borderId="37" xfId="0" applyFont="1" applyFill="1" applyBorder="1" applyAlignment="1">
      <alignment vertical="top" wrapText="1"/>
    </xf>
    <xf numFmtId="0" fontId="4" fillId="16" borderId="41" xfId="0" applyFont="1" applyFill="1" applyBorder="1" applyAlignment="1">
      <alignment horizontal="center" vertical="top" wrapText="1"/>
    </xf>
    <xf numFmtId="0" fontId="4" fillId="16" borderId="53" xfId="0" applyFont="1" applyFill="1" applyBorder="1" applyAlignment="1">
      <alignment horizontal="center" vertical="top" wrapText="1"/>
    </xf>
    <xf numFmtId="0" fontId="4" fillId="16" borderId="42" xfId="0" applyFont="1" applyFill="1" applyBorder="1" applyAlignment="1">
      <alignment horizontal="center" vertical="top" wrapText="1"/>
    </xf>
    <xf numFmtId="0" fontId="4" fillId="18" borderId="25" xfId="0" applyFont="1" applyFill="1" applyBorder="1" applyAlignment="1">
      <alignment horizontal="left" vertical="top" wrapText="1"/>
    </xf>
    <xf numFmtId="0" fontId="4" fillId="18" borderId="25" xfId="0" applyFont="1" applyFill="1" applyBorder="1" applyAlignment="1">
      <alignment horizontal="center" vertical="top" wrapText="1"/>
    </xf>
    <xf numFmtId="4" fontId="2" fillId="18" borderId="26" xfId="0" applyNumberFormat="1" applyFont="1" applyFill="1" applyBorder="1" applyAlignment="1">
      <alignment horizontal="right" vertical="top" wrapText="1"/>
    </xf>
    <xf numFmtId="4" fontId="4" fillId="18" borderId="47" xfId="0" applyNumberFormat="1" applyFont="1" applyFill="1" applyBorder="1" applyAlignment="1">
      <alignment horizontal="right" vertical="top" wrapText="1"/>
    </xf>
    <xf numFmtId="10" fontId="2" fillId="18" borderId="25" xfId="0" applyNumberFormat="1" applyFont="1" applyFill="1" applyBorder="1" applyAlignment="1">
      <alignment horizontal="right" vertical="top"/>
    </xf>
    <xf numFmtId="10" fontId="2" fillId="18" borderId="33" xfId="0" applyNumberFormat="1" applyFont="1" applyFill="1" applyBorder="1" applyAlignment="1">
      <alignment horizontal="right" vertical="top" wrapText="1"/>
    </xf>
    <xf numFmtId="4" fontId="4" fillId="18" borderId="88" xfId="0" applyNumberFormat="1" applyFont="1" applyFill="1" applyBorder="1" applyAlignment="1">
      <alignment horizontal="right" vertical="top" wrapText="1"/>
    </xf>
    <xf numFmtId="10" fontId="4" fillId="18" borderId="25" xfId="0" applyNumberFormat="1" applyFont="1" applyFill="1" applyBorder="1" applyAlignment="1">
      <alignment horizontal="right" vertical="top"/>
    </xf>
    <xf numFmtId="4" fontId="4" fillId="18" borderId="33" xfId="0" applyNumberFormat="1" applyFont="1" applyFill="1" applyBorder="1" applyAlignment="1">
      <alignment horizontal="right" vertical="top" wrapText="1"/>
    </xf>
    <xf numFmtId="10" fontId="4" fillId="18" borderId="112" xfId="0" applyNumberFormat="1" applyFont="1" applyFill="1" applyBorder="1" applyAlignment="1">
      <alignment horizontal="right" vertical="top" wrapText="1"/>
    </xf>
    <xf numFmtId="4" fontId="4" fillId="18" borderId="110" xfId="0" applyNumberFormat="1" applyFont="1" applyFill="1" applyBorder="1" applyAlignment="1">
      <alignment vertical="top" wrapText="1"/>
    </xf>
    <xf numFmtId="4" fontId="2" fillId="18" borderId="88" xfId="0" applyNumberFormat="1" applyFont="1" applyFill="1" applyBorder="1" applyAlignment="1">
      <alignment vertical="top" wrapText="1"/>
    </xf>
    <xf numFmtId="4" fontId="4" fillId="18" borderId="47" xfId="0" applyNumberFormat="1" applyFont="1" applyFill="1" applyBorder="1" applyAlignment="1">
      <alignment vertical="top" wrapText="1"/>
    </xf>
    <xf numFmtId="4" fontId="4" fillId="18" borderId="25" xfId="0" applyNumberFormat="1" applyFont="1" applyFill="1" applyBorder="1" applyAlignment="1">
      <alignment vertical="top" wrapText="1"/>
    </xf>
    <xf numFmtId="4" fontId="4" fillId="18" borderId="109" xfId="0" applyNumberFormat="1" applyFont="1" applyFill="1" applyBorder="1" applyAlignment="1">
      <alignment vertical="top" wrapText="1"/>
    </xf>
    <xf numFmtId="4" fontId="2" fillId="18" borderId="98" xfId="0" applyNumberFormat="1" applyFont="1" applyFill="1" applyBorder="1" applyAlignment="1">
      <alignment vertical="top" wrapText="1"/>
    </xf>
    <xf numFmtId="0" fontId="17" fillId="13" borderId="35" xfId="0" applyFont="1" applyFill="1" applyBorder="1" applyAlignment="1">
      <alignment horizontal="center" vertical="top" wrapText="1"/>
    </xf>
    <xf numFmtId="0" fontId="17" fillId="13" borderId="36" xfId="0" applyFont="1" applyFill="1" applyBorder="1" applyAlignment="1">
      <alignment horizontal="center" vertical="top" wrapText="1"/>
    </xf>
    <xf numFmtId="0" fontId="17" fillId="13" borderId="37" xfId="0" applyFont="1" applyFill="1" applyBorder="1" applyAlignment="1">
      <alignment horizontal="center" vertical="top" wrapText="1"/>
    </xf>
    <xf numFmtId="0" fontId="4" fillId="16" borderId="31" xfId="0" applyFont="1" applyFill="1" applyBorder="1" applyAlignment="1">
      <alignment horizontal="left" vertical="top" wrapText="1"/>
    </xf>
    <xf numFmtId="0" fontId="4" fillId="16" borderId="7" xfId="0" applyFont="1" applyFill="1" applyBorder="1" applyAlignment="1">
      <alignment horizontal="left" vertical="top" wrapText="1"/>
    </xf>
    <xf numFmtId="0" fontId="4" fillId="16" borderId="30" xfId="0" applyFont="1" applyFill="1" applyBorder="1" applyAlignment="1">
      <alignment horizontal="left" vertical="top" wrapText="1"/>
    </xf>
    <xf numFmtId="0" fontId="4" fillId="16" borderId="35" xfId="0" applyFont="1" applyFill="1" applyBorder="1" applyAlignment="1">
      <alignment horizontal="left" vertical="top" wrapText="1"/>
    </xf>
    <xf numFmtId="0" fontId="4" fillId="16" borderId="36" xfId="0" applyFont="1" applyFill="1" applyBorder="1" applyAlignment="1">
      <alignment horizontal="left" vertical="top" wrapText="1"/>
    </xf>
    <xf numFmtId="0" fontId="4" fillId="16" borderId="37" xfId="0" applyFont="1" applyFill="1" applyBorder="1" applyAlignment="1">
      <alignment horizontal="left" vertical="top" wrapText="1"/>
    </xf>
    <xf numFmtId="0" fontId="2" fillId="14" borderId="31" xfId="0" applyFont="1" applyFill="1" applyBorder="1" applyAlignment="1">
      <alignment horizontal="left" vertical="top" wrapText="1"/>
    </xf>
    <xf numFmtId="0" fontId="2" fillId="14" borderId="30" xfId="0" applyFont="1" applyFill="1" applyBorder="1" applyAlignment="1">
      <alignment horizontal="left" vertical="top" wrapText="1"/>
    </xf>
    <xf numFmtId="16" fontId="4" fillId="16" borderId="3" xfId="0" applyNumberFormat="1" applyFont="1" applyFill="1" applyBorder="1" applyAlignment="1">
      <alignment horizontal="left" vertical="top" wrapText="1"/>
    </xf>
    <xf numFmtId="16" fontId="4" fillId="16" borderId="17" xfId="0" applyNumberFormat="1" applyFont="1" applyFill="1" applyBorder="1" applyAlignment="1">
      <alignment horizontal="left" vertical="top" wrapText="1"/>
    </xf>
    <xf numFmtId="16" fontId="4" fillId="16" borderId="5" xfId="0" applyNumberFormat="1" applyFont="1" applyFill="1" applyBorder="1" applyAlignment="1">
      <alignment horizontal="left" vertical="top" wrapText="1"/>
    </xf>
    <xf numFmtId="0" fontId="4" fillId="15" borderId="10" xfId="0" applyFont="1" applyFill="1" applyBorder="1" applyAlignment="1">
      <alignment horizontal="left" vertical="top"/>
    </xf>
    <xf numFmtId="0" fontId="4" fillId="15" borderId="18" xfId="0" applyFont="1" applyFill="1" applyBorder="1" applyAlignment="1">
      <alignment horizontal="left" vertical="top"/>
    </xf>
    <xf numFmtId="0" fontId="4" fillId="15" borderId="13" xfId="0" applyFont="1" applyFill="1" applyBorder="1" applyAlignment="1">
      <alignment horizontal="left" vertical="top"/>
    </xf>
    <xf numFmtId="16" fontId="4" fillId="15" borderId="31" xfId="0" applyNumberFormat="1" applyFont="1" applyFill="1" applyBorder="1" applyAlignment="1">
      <alignment horizontal="left" vertical="top"/>
    </xf>
    <xf numFmtId="16" fontId="4" fillId="15" borderId="7" xfId="0" applyNumberFormat="1" applyFont="1" applyFill="1" applyBorder="1" applyAlignment="1">
      <alignment horizontal="left" vertical="top"/>
    </xf>
    <xf numFmtId="16" fontId="4" fillId="15" borderId="4" xfId="0" applyNumberFormat="1" applyFont="1" applyFill="1" applyBorder="1" applyAlignment="1">
      <alignment horizontal="left" vertical="top"/>
    </xf>
    <xf numFmtId="0" fontId="4" fillId="15" borderId="31" xfId="0" applyFont="1" applyFill="1" applyBorder="1" applyAlignment="1">
      <alignment horizontal="left" vertical="top" wrapText="1"/>
    </xf>
    <xf numFmtId="0" fontId="4" fillId="15" borderId="7" xfId="0" applyFont="1" applyFill="1" applyBorder="1" applyAlignment="1">
      <alignment horizontal="left" vertical="top" wrapText="1"/>
    </xf>
    <xf numFmtId="0" fontId="4" fillId="15" borderId="4" xfId="0" applyFont="1" applyFill="1" applyBorder="1" applyAlignment="1">
      <alignment horizontal="left" vertical="top" wrapText="1"/>
    </xf>
    <xf numFmtId="0" fontId="4" fillId="16" borderId="33" xfId="0" applyFont="1" applyFill="1" applyBorder="1" applyAlignment="1">
      <alignment horizontal="left" vertical="top" wrapText="1"/>
    </xf>
    <xf numFmtId="0" fontId="4" fillId="16" borderId="45" xfId="0" applyFont="1" applyFill="1" applyBorder="1" applyAlignment="1">
      <alignment horizontal="left" vertical="top" wrapText="1"/>
    </xf>
    <xf numFmtId="0" fontId="4" fillId="16" borderId="47" xfId="0" applyFont="1" applyFill="1" applyBorder="1" applyAlignment="1">
      <alignment horizontal="left" vertical="top" wrapText="1"/>
    </xf>
    <xf numFmtId="16" fontId="4" fillId="16" borderId="31" xfId="0" applyNumberFormat="1" applyFont="1" applyFill="1" applyBorder="1" applyAlignment="1">
      <alignment horizontal="left" vertical="top" wrapText="1"/>
    </xf>
    <xf numFmtId="16" fontId="4" fillId="16" borderId="4" xfId="0" applyNumberFormat="1" applyFont="1" applyFill="1" applyBorder="1" applyAlignment="1">
      <alignment horizontal="left" vertical="top" wrapText="1"/>
    </xf>
    <xf numFmtId="0" fontId="4" fillId="16" borderId="4" xfId="0" applyFont="1" applyFill="1" applyBorder="1" applyAlignment="1">
      <alignment horizontal="left" vertical="top" wrapText="1"/>
    </xf>
    <xf numFmtId="0" fontId="4" fillId="15" borderId="35" xfId="0" applyFont="1" applyFill="1" applyBorder="1" applyAlignment="1">
      <alignment horizontal="left" vertical="top" wrapText="1"/>
    </xf>
    <xf numFmtId="0" fontId="4" fillId="15" borderId="36" xfId="0" applyFont="1" applyFill="1" applyBorder="1" applyAlignment="1">
      <alignment horizontal="left" vertical="top" wrapText="1"/>
    </xf>
    <xf numFmtId="0" fontId="4" fillId="15" borderId="31" xfId="0" applyFont="1" applyFill="1" applyBorder="1" applyAlignment="1">
      <alignment horizontal="left" vertical="top"/>
    </xf>
    <xf numFmtId="0" fontId="4" fillId="15" borderId="7" xfId="0" applyFont="1" applyFill="1" applyBorder="1" applyAlignment="1">
      <alignment horizontal="left" vertical="top"/>
    </xf>
    <xf numFmtId="0" fontId="4" fillId="14" borderId="35" xfId="0" applyFont="1" applyFill="1" applyBorder="1" applyAlignment="1">
      <alignment horizontal="left" vertical="top" wrapText="1"/>
    </xf>
    <xf numFmtId="0" fontId="4" fillId="14" borderId="37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7" fillId="17" borderId="43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4" xfId="0" applyBorder="1"/>
    <xf numFmtId="0" fontId="0" fillId="0" borderId="42" xfId="0" applyBorder="1"/>
    <xf numFmtId="0" fontId="17" fillId="17" borderId="39" xfId="0" applyFont="1" applyFill="1" applyBorder="1" applyAlignment="1">
      <alignment horizontal="center" vertical="center"/>
    </xf>
    <xf numFmtId="0" fontId="0" fillId="0" borderId="41" xfId="0" applyBorder="1"/>
    <xf numFmtId="10" fontId="17" fillId="17" borderId="39" xfId="6" applyNumberFormat="1" applyFont="1" applyFill="1" applyBorder="1" applyAlignment="1">
      <alignment horizontal="center" vertical="center"/>
    </xf>
    <xf numFmtId="0" fontId="17" fillId="17" borderId="39" xfId="0" applyFont="1" applyFill="1" applyBorder="1" applyAlignment="1">
      <alignment horizontal="center" vertical="center" wrapText="1"/>
    </xf>
    <xf numFmtId="10" fontId="17" fillId="17" borderId="39" xfId="6" applyNumberFormat="1" applyFont="1" applyFill="1" applyBorder="1" applyAlignment="1">
      <alignment horizontal="center" vertical="center" wrapText="1"/>
    </xf>
    <xf numFmtId="10" fontId="17" fillId="17" borderId="31" xfId="6" applyNumberFormat="1" applyFont="1" applyFill="1" applyBorder="1" applyAlignment="1">
      <alignment horizontal="center" vertical="center" wrapText="1"/>
    </xf>
    <xf numFmtId="0" fontId="0" fillId="0" borderId="30" xfId="0" applyBorder="1"/>
    <xf numFmtId="10" fontId="17" fillId="9" borderId="31" xfId="6" applyNumberFormat="1" applyFont="1" applyFill="1" applyBorder="1" applyAlignment="1">
      <alignment horizontal="center" vertical="center" wrapText="1"/>
    </xf>
    <xf numFmtId="10" fontId="17" fillId="22" borderId="31" xfId="6" applyNumberFormat="1" applyFont="1" applyFill="1" applyBorder="1" applyAlignment="1">
      <alignment horizontal="center" vertical="center" wrapText="1"/>
    </xf>
    <xf numFmtId="0" fontId="17" fillId="3" borderId="65" xfId="0" applyFont="1" applyFill="1" applyBorder="1" applyAlignment="1">
      <alignment horizontal="center" vertical="center" wrapText="1"/>
    </xf>
    <xf numFmtId="0" fontId="0" fillId="0" borderId="55" xfId="0" applyBorder="1"/>
    <xf numFmtId="10" fontId="17" fillId="6" borderId="50" xfId="6" applyNumberFormat="1" applyFont="1" applyFill="1" applyBorder="1" applyAlignment="1">
      <alignment horizontal="center" vertical="center" wrapText="1"/>
    </xf>
    <xf numFmtId="10" fontId="17" fillId="6" borderId="38" xfId="6" applyNumberFormat="1" applyFont="1" applyFill="1" applyBorder="1" applyAlignment="1">
      <alignment horizontal="center" vertical="center" wrapText="1"/>
    </xf>
    <xf numFmtId="10" fontId="17" fillId="6" borderId="46" xfId="6" applyNumberFormat="1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10" fontId="17" fillId="0" borderId="33" xfId="6" applyNumberFormat="1" applyFont="1" applyFill="1" applyBorder="1" applyAlignment="1">
      <alignment horizontal="center" vertical="center" wrapText="1"/>
    </xf>
    <xf numFmtId="10" fontId="17" fillId="0" borderId="79" xfId="6" applyNumberFormat="1" applyFont="1" applyFill="1" applyBorder="1" applyAlignment="1">
      <alignment horizontal="center" vertical="center" wrapText="1"/>
    </xf>
    <xf numFmtId="0" fontId="17" fillId="13" borderId="31" xfId="0" applyFont="1" applyFill="1" applyBorder="1" applyAlignment="1">
      <alignment horizontal="left" vertical="top" wrapText="1"/>
    </xf>
    <xf numFmtId="0" fontId="17" fillId="13" borderId="7" xfId="0" applyFont="1" applyFill="1" applyBorder="1" applyAlignment="1">
      <alignment horizontal="left" vertical="top" wrapText="1"/>
    </xf>
    <xf numFmtId="0" fontId="17" fillId="13" borderId="30" xfId="0" applyFont="1" applyFill="1" applyBorder="1" applyAlignment="1">
      <alignment horizontal="left" vertical="top" wrapText="1"/>
    </xf>
    <xf numFmtId="0" fontId="4" fillId="14" borderId="33" xfId="0" applyFont="1" applyFill="1" applyBorder="1" applyAlignment="1">
      <alignment horizontal="left" vertical="top" wrapText="1"/>
    </xf>
    <xf numFmtId="0" fontId="4" fillId="14" borderId="45" xfId="0" applyFont="1" applyFill="1" applyBorder="1" applyAlignment="1">
      <alignment horizontal="left" vertical="top" wrapText="1"/>
    </xf>
    <xf numFmtId="0" fontId="4" fillId="14" borderId="47" xfId="0" applyFont="1" applyFill="1" applyBorder="1" applyAlignment="1">
      <alignment horizontal="left" vertical="top" wrapText="1"/>
    </xf>
    <xf numFmtId="10" fontId="39" fillId="13" borderId="65" xfId="0" applyNumberFormat="1" applyFont="1" applyFill="1" applyBorder="1" applyAlignment="1">
      <alignment horizontal="center" vertical="center"/>
    </xf>
    <xf numFmtId="10" fontId="39" fillId="13" borderId="67" xfId="0" applyNumberFormat="1" applyFont="1" applyFill="1" applyBorder="1" applyAlignment="1">
      <alignment horizontal="center" vertical="center"/>
    </xf>
    <xf numFmtId="10" fontId="39" fillId="13" borderId="55" xfId="0" applyNumberFormat="1" applyFont="1" applyFill="1" applyBorder="1" applyAlignment="1">
      <alignment horizontal="center" vertical="center"/>
    </xf>
    <xf numFmtId="16" fontId="4" fillId="13" borderId="33" xfId="0" applyNumberFormat="1" applyFont="1" applyFill="1" applyBorder="1" applyAlignment="1">
      <alignment horizontal="left" vertical="top" wrapText="1"/>
    </xf>
    <xf numFmtId="16" fontId="4" fillId="13" borderId="45" xfId="0" applyNumberFormat="1" applyFont="1" applyFill="1" applyBorder="1" applyAlignment="1">
      <alignment horizontal="left" vertical="top" wrapText="1"/>
    </xf>
    <xf numFmtId="16" fontId="4" fillId="13" borderId="47" xfId="0" applyNumberFormat="1" applyFont="1" applyFill="1" applyBorder="1" applyAlignment="1">
      <alignment horizontal="left" vertical="top" wrapText="1"/>
    </xf>
    <xf numFmtId="10" fontId="39" fillId="16" borderId="65" xfId="0" applyNumberFormat="1" applyFont="1" applyFill="1" applyBorder="1" applyAlignment="1">
      <alignment horizontal="center" vertical="center" wrapText="1"/>
    </xf>
    <xf numFmtId="10" fontId="39" fillId="16" borderId="67" xfId="0" applyNumberFormat="1" applyFont="1" applyFill="1" applyBorder="1" applyAlignment="1">
      <alignment horizontal="center" vertical="center" wrapText="1"/>
    </xf>
    <xf numFmtId="10" fontId="39" fillId="16" borderId="55" xfId="0" applyNumberFormat="1" applyFont="1" applyFill="1" applyBorder="1" applyAlignment="1">
      <alignment horizontal="center" vertical="center" wrapText="1"/>
    </xf>
    <xf numFmtId="10" fontId="39" fillId="14" borderId="65" xfId="6" applyNumberFormat="1" applyFont="1" applyFill="1" applyBorder="1" applyAlignment="1">
      <alignment horizontal="center" vertical="center"/>
    </xf>
    <xf numFmtId="10" fontId="39" fillId="14" borderId="55" xfId="6" applyNumberFormat="1" applyFont="1" applyFill="1" applyBorder="1" applyAlignment="1">
      <alignment horizontal="center" vertical="center"/>
    </xf>
    <xf numFmtId="10" fontId="17" fillId="6" borderId="35" xfId="6" applyNumberFormat="1" applyFont="1" applyFill="1" applyBorder="1" applyAlignment="1">
      <alignment horizontal="center" vertical="center" wrapText="1"/>
    </xf>
    <xf numFmtId="10" fontId="17" fillId="6" borderId="31" xfId="6" applyNumberFormat="1" applyFont="1" applyFill="1" applyBorder="1" applyAlignment="1">
      <alignment horizontal="center" vertical="center" wrapText="1"/>
    </xf>
    <xf numFmtId="10" fontId="17" fillId="6" borderId="39" xfId="6" applyNumberFormat="1" applyFont="1" applyFill="1" applyBorder="1" applyAlignment="1">
      <alignment horizontal="center" vertical="center" wrapText="1"/>
    </xf>
    <xf numFmtId="10" fontId="17" fillId="6" borderId="65" xfId="6" applyNumberFormat="1" applyFont="1" applyFill="1" applyBorder="1" applyAlignment="1">
      <alignment horizontal="center" vertical="center" wrapText="1"/>
    </xf>
    <xf numFmtId="10" fontId="25" fillId="13" borderId="31" xfId="0" applyNumberFormat="1" applyFont="1" applyFill="1" applyBorder="1" applyAlignment="1">
      <alignment horizontal="center" vertical="center" wrapText="1"/>
    </xf>
    <xf numFmtId="10" fontId="25" fillId="13" borderId="7" xfId="0" applyNumberFormat="1" applyFont="1" applyFill="1" applyBorder="1" applyAlignment="1">
      <alignment horizontal="center" vertical="center" wrapText="1"/>
    </xf>
    <xf numFmtId="10" fontId="25" fillId="13" borderId="30" xfId="0" applyNumberFormat="1" applyFont="1" applyFill="1" applyBorder="1" applyAlignment="1">
      <alignment horizontal="center" vertical="center" wrapText="1"/>
    </xf>
    <xf numFmtId="9" fontId="27" fillId="14" borderId="31" xfId="6" applyNumberFormat="1" applyFont="1" applyFill="1" applyBorder="1" applyAlignment="1">
      <alignment horizontal="center" vertical="center" wrapText="1"/>
    </xf>
    <xf numFmtId="9" fontId="27" fillId="14" borderId="30" xfId="6" applyNumberFormat="1" applyFont="1" applyFill="1" applyBorder="1" applyAlignment="1">
      <alignment horizontal="center" vertical="center" wrapText="1"/>
    </xf>
    <xf numFmtId="10" fontId="27" fillId="15" borderId="31" xfId="0" applyNumberFormat="1" applyFont="1" applyFill="1" applyBorder="1" applyAlignment="1">
      <alignment horizontal="center" vertical="center" wrapText="1"/>
    </xf>
    <xf numFmtId="10" fontId="27" fillId="15" borderId="7" xfId="0" applyNumberFormat="1" applyFont="1" applyFill="1" applyBorder="1" applyAlignment="1">
      <alignment horizontal="center" vertical="center" wrapText="1"/>
    </xf>
    <xf numFmtId="10" fontId="27" fillId="15" borderId="30" xfId="0" applyNumberFormat="1" applyFont="1" applyFill="1" applyBorder="1" applyAlignment="1">
      <alignment horizontal="center" vertical="center" wrapText="1"/>
    </xf>
    <xf numFmtId="10" fontId="27" fillId="16" borderId="31" xfId="0" applyNumberFormat="1" applyFont="1" applyFill="1" applyBorder="1" applyAlignment="1">
      <alignment horizontal="center" vertical="center" wrapText="1"/>
    </xf>
    <xf numFmtId="10" fontId="27" fillId="16" borderId="7" xfId="0" applyNumberFormat="1" applyFont="1" applyFill="1" applyBorder="1" applyAlignment="1">
      <alignment horizontal="center" vertical="center" wrapText="1"/>
    </xf>
    <xf numFmtId="10" fontId="27" fillId="16" borderId="30" xfId="0" applyNumberFormat="1" applyFont="1" applyFill="1" applyBorder="1" applyAlignment="1">
      <alignment horizontal="center" vertical="center" wrapText="1"/>
    </xf>
    <xf numFmtId="10" fontId="27" fillId="14" borderId="31" xfId="6" applyNumberFormat="1" applyFont="1" applyFill="1" applyBorder="1" applyAlignment="1">
      <alignment horizontal="center" vertical="center" wrapText="1"/>
    </xf>
    <xf numFmtId="10" fontId="27" fillId="14" borderId="30" xfId="6" applyNumberFormat="1" applyFont="1" applyFill="1" applyBorder="1" applyAlignment="1">
      <alignment horizontal="center" vertical="center" wrapText="1"/>
    </xf>
    <xf numFmtId="10" fontId="39" fillId="14" borderId="67" xfId="6" applyNumberFormat="1" applyFont="1" applyFill="1" applyBorder="1" applyAlignment="1">
      <alignment horizontal="center" vertical="center"/>
    </xf>
    <xf numFmtId="10" fontId="39" fillId="15" borderId="65" xfId="0" applyNumberFormat="1" applyFont="1" applyFill="1" applyBorder="1" applyAlignment="1">
      <alignment horizontal="center" vertical="center"/>
    </xf>
    <xf numFmtId="10" fontId="39" fillId="15" borderId="67" xfId="0" applyNumberFormat="1" applyFont="1" applyFill="1" applyBorder="1" applyAlignment="1">
      <alignment horizontal="center" vertical="center"/>
    </xf>
    <xf numFmtId="10" fontId="39" fillId="15" borderId="55" xfId="0" applyNumberFormat="1" applyFont="1" applyFill="1" applyBorder="1" applyAlignment="1">
      <alignment horizontal="center" vertical="center"/>
    </xf>
    <xf numFmtId="14" fontId="17" fillId="6" borderId="40" xfId="6" applyNumberFormat="1" applyFont="1" applyFill="1" applyBorder="1" applyAlignment="1">
      <alignment horizontal="center" vertical="center" wrapText="1"/>
    </xf>
    <xf numFmtId="14" fontId="17" fillId="6" borderId="42" xfId="6" applyNumberFormat="1" applyFont="1" applyFill="1" applyBorder="1" applyAlignment="1">
      <alignment horizontal="center" vertical="center" wrapText="1"/>
    </xf>
    <xf numFmtId="10" fontId="17" fillId="6" borderId="100" xfId="6" applyNumberFormat="1" applyFont="1" applyFill="1" applyBorder="1" applyAlignment="1">
      <alignment horizontal="center" vertical="center" wrapText="1"/>
    </xf>
    <xf numFmtId="10" fontId="17" fillId="6" borderId="101" xfId="6" applyNumberFormat="1" applyFont="1" applyFill="1" applyBorder="1" applyAlignment="1">
      <alignment horizontal="center" vertical="center" wrapText="1"/>
    </xf>
    <xf numFmtId="10" fontId="17" fillId="6" borderId="30" xfId="6" applyNumberFormat="1" applyFont="1" applyFill="1" applyBorder="1" applyAlignment="1">
      <alignment horizontal="center" vertical="center" wrapText="1"/>
    </xf>
    <xf numFmtId="10" fontId="17" fillId="6" borderId="87" xfId="6" applyNumberFormat="1" applyFont="1" applyFill="1" applyBorder="1" applyAlignment="1">
      <alignment horizontal="center" vertical="center" wrapText="1"/>
    </xf>
    <xf numFmtId="10" fontId="17" fillId="6" borderId="86" xfId="6" applyNumberFormat="1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left" vertical="top" wrapText="1"/>
    </xf>
    <xf numFmtId="0" fontId="9" fillId="13" borderId="59" xfId="0" applyFont="1" applyFill="1" applyBorder="1" applyAlignment="1">
      <alignment horizontal="left" vertical="top" wrapText="1"/>
    </xf>
    <xf numFmtId="10" fontId="9" fillId="13" borderId="6" xfId="6" applyNumberFormat="1" applyFont="1" applyFill="1" applyBorder="1" applyAlignment="1">
      <alignment horizontal="left" vertical="top" wrapText="1"/>
    </xf>
    <xf numFmtId="10" fontId="9" fillId="13" borderId="59" xfId="6" applyNumberFormat="1" applyFont="1" applyFill="1" applyBorder="1" applyAlignment="1">
      <alignment horizontal="left" vertical="top" wrapText="1"/>
    </xf>
    <xf numFmtId="10" fontId="17" fillId="22" borderId="20" xfId="6" applyNumberFormat="1" applyFont="1" applyFill="1" applyBorder="1" applyAlignment="1">
      <alignment horizontal="center" vertical="center" wrapText="1"/>
    </xf>
    <xf numFmtId="10" fontId="17" fillId="22" borderId="25" xfId="6" applyNumberFormat="1" applyFont="1" applyFill="1" applyBorder="1" applyAlignment="1">
      <alignment horizontal="center" vertical="center" wrapText="1"/>
    </xf>
    <xf numFmtId="10" fontId="17" fillId="17" borderId="20" xfId="6" applyNumberFormat="1" applyFont="1" applyFill="1" applyBorder="1" applyAlignment="1">
      <alignment horizontal="center" vertical="center" wrapText="1"/>
    </xf>
    <xf numFmtId="10" fontId="17" fillId="17" borderId="25" xfId="6" applyNumberFormat="1" applyFont="1" applyFill="1" applyBorder="1" applyAlignment="1">
      <alignment horizontal="center" vertical="center" wrapText="1"/>
    </xf>
    <xf numFmtId="10" fontId="17" fillId="17" borderId="40" xfId="6" applyNumberFormat="1" applyFont="1" applyFill="1" applyBorder="1" applyAlignment="1">
      <alignment horizontal="center" vertical="center"/>
    </xf>
    <xf numFmtId="10" fontId="17" fillId="17" borderId="41" xfId="6" applyNumberFormat="1" applyFont="1" applyFill="1" applyBorder="1" applyAlignment="1">
      <alignment horizontal="center" vertical="center"/>
    </xf>
    <xf numFmtId="10" fontId="17" fillId="17" borderId="42" xfId="6" applyNumberFormat="1" applyFont="1" applyFill="1" applyBorder="1" applyAlignment="1">
      <alignment horizontal="center" vertical="center"/>
    </xf>
    <xf numFmtId="0" fontId="17" fillId="17" borderId="20" xfId="0" applyFont="1" applyFill="1" applyBorder="1" applyAlignment="1">
      <alignment horizontal="center" vertical="center" wrapText="1"/>
    </xf>
    <xf numFmtId="0" fontId="17" fillId="17" borderId="25" xfId="0" applyFont="1" applyFill="1" applyBorder="1" applyAlignment="1">
      <alignment horizontal="center" vertical="center" wrapText="1"/>
    </xf>
    <xf numFmtId="10" fontId="9" fillId="13" borderId="31" xfId="6" applyNumberFormat="1" applyFont="1" applyFill="1" applyBorder="1" applyAlignment="1">
      <alignment horizontal="left" vertical="top" wrapText="1"/>
    </xf>
    <xf numFmtId="10" fontId="9" fillId="13" borderId="7" xfId="6" applyNumberFormat="1" applyFont="1" applyFill="1" applyBorder="1" applyAlignment="1">
      <alignment horizontal="left" vertical="top" wrapText="1"/>
    </xf>
    <xf numFmtId="49" fontId="9" fillId="13" borderId="31" xfId="0" applyNumberFormat="1" applyFont="1" applyFill="1" applyBorder="1" applyAlignment="1">
      <alignment horizontal="left" vertical="top" wrapText="1"/>
    </xf>
    <xf numFmtId="49" fontId="9" fillId="13" borderId="7" xfId="0" applyNumberFormat="1" applyFont="1" applyFill="1" applyBorder="1" applyAlignment="1">
      <alignment horizontal="left" vertical="top" wrapText="1"/>
    </xf>
    <xf numFmtId="49" fontId="9" fillId="13" borderId="59" xfId="0" applyNumberFormat="1" applyFont="1" applyFill="1" applyBorder="1" applyAlignment="1">
      <alignment horizontal="left" vertical="top" wrapText="1"/>
    </xf>
    <xf numFmtId="0" fontId="4" fillId="13" borderId="6" xfId="0" applyFont="1" applyFill="1" applyBorder="1" applyAlignment="1">
      <alignment horizontal="left" vertical="top" wrapText="1"/>
    </xf>
    <xf numFmtId="0" fontId="4" fillId="13" borderId="7" xfId="0" applyFont="1" applyFill="1" applyBorder="1" applyAlignment="1">
      <alignment horizontal="left" vertical="top" wrapText="1"/>
    </xf>
    <xf numFmtId="0" fontId="4" fillId="13" borderId="4" xfId="0" applyFont="1" applyFill="1" applyBorder="1" applyAlignment="1">
      <alignment horizontal="left" vertical="top" wrapText="1"/>
    </xf>
    <xf numFmtId="10" fontId="4" fillId="13" borderId="6" xfId="6" applyNumberFormat="1" applyFont="1" applyFill="1" applyBorder="1" applyAlignment="1">
      <alignment horizontal="left" vertical="top" wrapText="1"/>
    </xf>
    <xf numFmtId="10" fontId="4" fillId="13" borderId="7" xfId="6" applyNumberFormat="1" applyFont="1" applyFill="1" applyBorder="1" applyAlignment="1">
      <alignment horizontal="left" vertical="top" wrapText="1"/>
    </xf>
    <xf numFmtId="10" fontId="4" fillId="13" borderId="4" xfId="6" applyNumberFormat="1" applyFont="1" applyFill="1" applyBorder="1" applyAlignment="1">
      <alignment horizontal="left" vertical="top" wrapText="1"/>
    </xf>
    <xf numFmtId="10" fontId="4" fillId="13" borderId="59" xfId="6" applyNumberFormat="1" applyFont="1" applyFill="1" applyBorder="1" applyAlignment="1">
      <alignment horizontal="left" vertical="top" wrapText="1"/>
    </xf>
    <xf numFmtId="49" fontId="9" fillId="13" borderId="6" xfId="0" applyNumberFormat="1" applyFont="1" applyFill="1" applyBorder="1" applyAlignment="1">
      <alignment horizontal="left" vertical="top" wrapText="1"/>
    </xf>
    <xf numFmtId="0" fontId="9" fillId="13" borderId="4" xfId="0" applyFont="1" applyFill="1" applyBorder="1" applyAlignment="1">
      <alignment horizontal="left" vertical="top" wrapText="1"/>
    </xf>
    <xf numFmtId="10" fontId="9" fillId="13" borderId="6" xfId="6" applyNumberFormat="1" applyFont="1" applyFill="1" applyBorder="1" applyAlignment="1">
      <alignment horizontal="center" vertical="top" wrapText="1"/>
    </xf>
    <xf numFmtId="10" fontId="9" fillId="13" borderId="4" xfId="6" applyNumberFormat="1" applyFont="1" applyFill="1" applyBorder="1" applyAlignment="1">
      <alignment horizontal="center" vertical="top" wrapText="1"/>
    </xf>
    <xf numFmtId="0" fontId="9" fillId="18" borderId="2" xfId="0" applyFont="1" applyFill="1" applyBorder="1" applyAlignment="1">
      <alignment horizontal="left" vertical="center"/>
    </xf>
    <xf numFmtId="10" fontId="17" fillId="9" borderId="20" xfId="6" applyNumberFormat="1" applyFont="1" applyFill="1" applyBorder="1" applyAlignment="1">
      <alignment horizontal="center" vertical="center" wrapText="1"/>
    </xf>
    <xf numFmtId="10" fontId="17" fillId="9" borderId="25" xfId="6" applyNumberFormat="1" applyFont="1" applyFill="1" applyBorder="1" applyAlignment="1">
      <alignment horizontal="center" vertical="center" wrapText="1"/>
    </xf>
    <xf numFmtId="0" fontId="9" fillId="19" borderId="2" xfId="0" applyFont="1" applyFill="1" applyBorder="1" applyAlignment="1">
      <alignment horizontal="left" vertical="top" wrapText="1"/>
    </xf>
    <xf numFmtId="10" fontId="9" fillId="19" borderId="2" xfId="6" applyNumberFormat="1" applyFont="1" applyFill="1" applyBorder="1" applyAlignment="1">
      <alignment horizontal="left" vertical="top" wrapText="1"/>
    </xf>
    <xf numFmtId="16" fontId="9" fillId="16" borderId="6" xfId="0" applyNumberFormat="1" applyFont="1" applyFill="1" applyBorder="1" applyAlignment="1">
      <alignment horizontal="left" vertical="top" wrapText="1"/>
    </xf>
    <xf numFmtId="16" fontId="9" fillId="16" borderId="7" xfId="0" applyNumberFormat="1" applyFont="1" applyFill="1" applyBorder="1" applyAlignment="1">
      <alignment horizontal="left" vertical="top" wrapText="1"/>
    </xf>
    <xf numFmtId="49" fontId="9" fillId="16" borderId="7" xfId="0" applyNumberFormat="1" applyFont="1" applyFill="1" applyBorder="1" applyAlignment="1">
      <alignment horizontal="left" vertical="top" wrapText="1"/>
    </xf>
    <xf numFmtId="10" fontId="9" fillId="16" borderId="7" xfId="6" applyNumberFormat="1" applyFont="1" applyFill="1" applyBorder="1" applyAlignment="1">
      <alignment horizontal="left" vertical="top" wrapText="1"/>
    </xf>
    <xf numFmtId="10" fontId="9" fillId="16" borderId="4" xfId="6" applyNumberFormat="1" applyFont="1" applyFill="1" applyBorder="1" applyAlignment="1">
      <alignment horizontal="left" vertical="top" wrapText="1"/>
    </xf>
    <xf numFmtId="10" fontId="9" fillId="16" borderId="6" xfId="6" applyNumberFormat="1" applyFont="1" applyFill="1" applyBorder="1" applyAlignment="1">
      <alignment horizontal="left" vertical="top" wrapText="1"/>
    </xf>
    <xf numFmtId="0" fontId="9" fillId="19" borderId="20" xfId="0" applyFont="1" applyFill="1" applyBorder="1" applyAlignment="1">
      <alignment horizontal="left" vertical="top"/>
    </xf>
    <xf numFmtId="0" fontId="9" fillId="19" borderId="2" xfId="0" applyFont="1" applyFill="1" applyBorder="1" applyAlignment="1">
      <alignment horizontal="left" vertical="top"/>
    </xf>
    <xf numFmtId="49" fontId="9" fillId="19" borderId="20" xfId="0" applyNumberFormat="1" applyFont="1" applyFill="1" applyBorder="1" applyAlignment="1">
      <alignment horizontal="left" vertical="top"/>
    </xf>
    <xf numFmtId="49" fontId="9" fillId="19" borderId="2" xfId="0" applyNumberFormat="1" applyFont="1" applyFill="1" applyBorder="1" applyAlignment="1">
      <alignment horizontal="left" vertical="top"/>
    </xf>
    <xf numFmtId="16" fontId="9" fillId="19" borderId="20" xfId="0" applyNumberFormat="1" applyFont="1" applyFill="1" applyBorder="1" applyAlignment="1">
      <alignment horizontal="left" vertical="top"/>
    </xf>
    <xf numFmtId="16" fontId="9" fillId="19" borderId="2" xfId="0" applyNumberFormat="1" applyFont="1" applyFill="1" applyBorder="1" applyAlignment="1">
      <alignment horizontal="left" vertical="top"/>
    </xf>
    <xf numFmtId="0" fontId="17" fillId="14" borderId="33" xfId="0" applyFont="1" applyFill="1" applyBorder="1" applyAlignment="1">
      <alignment horizontal="center" vertical="top" wrapText="1"/>
    </xf>
    <xf numFmtId="0" fontId="17" fillId="14" borderId="45" xfId="0" applyFont="1" applyFill="1" applyBorder="1" applyAlignment="1">
      <alignment horizontal="center" vertical="top" wrapText="1"/>
    </xf>
    <xf numFmtId="0" fontId="17" fillId="14" borderId="47" xfId="0" applyFont="1" applyFill="1" applyBorder="1" applyAlignment="1">
      <alignment horizontal="center" vertical="top" wrapText="1"/>
    </xf>
    <xf numFmtId="0" fontId="9" fillId="15" borderId="20" xfId="0" applyFont="1" applyFill="1" applyBorder="1" applyAlignment="1">
      <alignment horizontal="left" vertical="top"/>
    </xf>
    <xf numFmtId="0" fontId="9" fillId="15" borderId="2" xfId="0" applyFont="1" applyFill="1" applyBorder="1" applyAlignment="1">
      <alignment horizontal="left" vertical="top"/>
    </xf>
    <xf numFmtId="0" fontId="9" fillId="15" borderId="6" xfId="0" applyFont="1" applyFill="1" applyBorder="1" applyAlignment="1">
      <alignment horizontal="left" vertical="top"/>
    </xf>
    <xf numFmtId="16" fontId="9" fillId="15" borderId="20" xfId="0" applyNumberFormat="1" applyFont="1" applyFill="1" applyBorder="1" applyAlignment="1">
      <alignment horizontal="center" vertical="top"/>
    </xf>
    <xf numFmtId="0" fontId="9" fillId="15" borderId="2" xfId="0" applyFont="1" applyFill="1" applyBorder="1" applyAlignment="1">
      <alignment horizontal="center" vertical="top"/>
    </xf>
    <xf numFmtId="0" fontId="9" fillId="15" borderId="6" xfId="0" applyFont="1" applyFill="1" applyBorder="1" applyAlignment="1">
      <alignment horizontal="center" vertical="top"/>
    </xf>
    <xf numFmtId="0" fontId="9" fillId="15" borderId="20" xfId="0" applyFont="1" applyFill="1" applyBorder="1" applyAlignment="1">
      <alignment horizontal="left" vertical="top" wrapText="1"/>
    </xf>
    <xf numFmtId="0" fontId="9" fillId="16" borderId="2" xfId="0" applyFont="1" applyFill="1" applyBorder="1" applyAlignment="1">
      <alignment horizontal="left" vertical="top" wrapText="1"/>
    </xf>
    <xf numFmtId="0" fontId="9" fillId="16" borderId="6" xfId="0" applyFont="1" applyFill="1" applyBorder="1" applyAlignment="1">
      <alignment horizontal="left" vertical="top" wrapText="1"/>
    </xf>
    <xf numFmtId="0" fontId="17" fillId="17" borderId="40" xfId="0" applyFont="1" applyFill="1" applyBorder="1" applyAlignment="1">
      <alignment horizontal="center" vertical="center"/>
    </xf>
    <xf numFmtId="0" fontId="17" fillId="17" borderId="44" xfId="0" applyFont="1" applyFill="1" applyBorder="1" applyAlignment="1">
      <alignment horizontal="center" vertical="center"/>
    </xf>
    <xf numFmtId="0" fontId="17" fillId="17" borderId="42" xfId="0" applyFont="1" applyFill="1" applyBorder="1" applyAlignment="1">
      <alignment horizontal="center" vertical="center"/>
    </xf>
    <xf numFmtId="10" fontId="9" fillId="13" borderId="4" xfId="6" applyNumberFormat="1" applyFont="1" applyFill="1" applyBorder="1" applyAlignment="1">
      <alignment horizontal="left" vertical="top" wrapText="1"/>
    </xf>
    <xf numFmtId="49" fontId="9" fillId="13" borderId="64" xfId="0" applyNumberFormat="1" applyFont="1" applyFill="1" applyBorder="1" applyAlignment="1">
      <alignment horizontal="left" vertical="top" wrapText="1"/>
    </xf>
    <xf numFmtId="49" fontId="9" fillId="13" borderId="4" xfId="0" applyNumberFormat="1" applyFont="1" applyFill="1" applyBorder="1" applyAlignment="1">
      <alignment horizontal="left" vertical="top" wrapText="1"/>
    </xf>
    <xf numFmtId="0" fontId="9" fillId="16" borderId="12" xfId="0" applyFont="1" applyFill="1" applyBorder="1" applyAlignment="1">
      <alignment horizontal="left" vertical="top" wrapText="1"/>
    </xf>
    <xf numFmtId="0" fontId="17" fillId="13" borderId="33" xfId="0" applyFont="1" applyFill="1" applyBorder="1" applyAlignment="1">
      <alignment horizontal="center" vertical="top" wrapText="1"/>
    </xf>
    <xf numFmtId="0" fontId="17" fillId="13" borderId="45" xfId="0" applyFont="1" applyFill="1" applyBorder="1" applyAlignment="1">
      <alignment horizontal="center" vertical="top" wrapText="1"/>
    </xf>
    <xf numFmtId="0" fontId="17" fillId="13" borderId="47" xfId="0" applyFont="1" applyFill="1" applyBorder="1" applyAlignment="1">
      <alignment horizontal="center" vertical="top" wrapText="1"/>
    </xf>
    <xf numFmtId="49" fontId="9" fillId="15" borderId="20" xfId="0" applyNumberFormat="1" applyFont="1" applyFill="1" applyBorder="1" applyAlignment="1">
      <alignment horizontal="left" vertical="top" wrapText="1"/>
    </xf>
    <xf numFmtId="49" fontId="9" fillId="15" borderId="2" xfId="0" applyNumberFormat="1" applyFont="1" applyFill="1" applyBorder="1" applyAlignment="1">
      <alignment horizontal="left" vertical="top" wrapText="1"/>
    </xf>
    <xf numFmtId="49" fontId="9" fillId="15" borderId="2" xfId="0" applyNumberFormat="1" applyFont="1" applyFill="1" applyBorder="1" applyAlignment="1">
      <alignment horizontal="left" vertical="top"/>
    </xf>
    <xf numFmtId="0" fontId="9" fillId="15" borderId="2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horizontal="left" vertical="top" wrapText="1"/>
    </xf>
    <xf numFmtId="49" fontId="9" fillId="15" borderId="6" xfId="0" applyNumberFormat="1" applyFont="1" applyFill="1" applyBorder="1" applyAlignment="1">
      <alignment horizontal="left" vertical="top"/>
    </xf>
    <xf numFmtId="0" fontId="9" fillId="15" borderId="33" xfId="0" applyFont="1" applyFill="1" applyBorder="1" applyAlignment="1">
      <alignment horizontal="center" vertical="top"/>
    </xf>
    <xf numFmtId="0" fontId="9" fillId="15" borderId="45" xfId="0" applyFont="1" applyFill="1" applyBorder="1" applyAlignment="1">
      <alignment horizontal="center" vertical="top"/>
    </xf>
    <xf numFmtId="0" fontId="9" fillId="15" borderId="47" xfId="0" applyFont="1" applyFill="1" applyBorder="1" applyAlignment="1">
      <alignment horizontal="center" vertical="top"/>
    </xf>
    <xf numFmtId="49" fontId="9" fillId="16" borderId="11" xfId="0" applyNumberFormat="1" applyFont="1" applyFill="1" applyBorder="1" applyAlignment="1">
      <alignment horizontal="left" vertical="top" wrapText="1"/>
    </xf>
    <xf numFmtId="49" fontId="9" fillId="16" borderId="4" xfId="0" applyNumberFormat="1" applyFont="1" applyFill="1" applyBorder="1" applyAlignment="1">
      <alignment horizontal="left" vertical="top" wrapText="1"/>
    </xf>
    <xf numFmtId="49" fontId="9" fillId="16" borderId="2" xfId="0" applyNumberFormat="1" applyFont="1" applyFill="1" applyBorder="1" applyAlignment="1">
      <alignment horizontal="left" vertical="top" wrapText="1"/>
    </xf>
    <xf numFmtId="10" fontId="9" fillId="16" borderId="11" xfId="6" applyNumberFormat="1" applyFont="1" applyFill="1" applyBorder="1" applyAlignment="1">
      <alignment horizontal="left" vertical="top" wrapText="1"/>
    </xf>
    <xf numFmtId="10" fontId="9" fillId="16" borderId="2" xfId="6" applyNumberFormat="1" applyFont="1" applyFill="1" applyBorder="1" applyAlignment="1">
      <alignment horizontal="left" vertical="top" wrapText="1"/>
    </xf>
    <xf numFmtId="0" fontId="4" fillId="15" borderId="35" xfId="0" applyFont="1" applyFill="1" applyBorder="1" applyAlignment="1">
      <alignment horizontal="center" vertical="top" wrapText="1"/>
    </xf>
    <xf numFmtId="0" fontId="4" fillId="15" borderId="36" xfId="0" applyFont="1" applyFill="1" applyBorder="1" applyAlignment="1">
      <alignment horizontal="center" vertical="top" wrapText="1"/>
    </xf>
    <xf numFmtId="0" fontId="4" fillId="15" borderId="37" xfId="0" applyFont="1" applyFill="1" applyBorder="1" applyAlignment="1">
      <alignment horizontal="center" vertical="top" wrapText="1"/>
    </xf>
    <xf numFmtId="0" fontId="9" fillId="13" borderId="64" xfId="0" applyFont="1" applyFill="1" applyBorder="1" applyAlignment="1">
      <alignment horizontal="left" vertical="top" wrapText="1"/>
    </xf>
    <xf numFmtId="10" fontId="9" fillId="13" borderId="64" xfId="6" applyNumberFormat="1" applyFont="1" applyFill="1" applyBorder="1" applyAlignment="1">
      <alignment horizontal="left" vertical="top" wrapText="1"/>
    </xf>
    <xf numFmtId="0" fontId="9" fillId="13" borderId="31" xfId="0" applyFont="1" applyFill="1" applyBorder="1" applyAlignment="1">
      <alignment horizontal="left" vertical="top" wrapText="1"/>
    </xf>
    <xf numFmtId="0" fontId="9" fillId="13" borderId="7" xfId="0" applyFont="1" applyFill="1" applyBorder="1" applyAlignment="1">
      <alignment horizontal="left" vertical="top" wrapText="1"/>
    </xf>
    <xf numFmtId="16" fontId="17" fillId="13" borderId="31" xfId="0" applyNumberFormat="1" applyFont="1" applyFill="1" applyBorder="1" applyAlignment="1">
      <alignment horizontal="right" vertical="top" wrapText="1"/>
    </xf>
    <xf numFmtId="16" fontId="17" fillId="13" borderId="7" xfId="0" applyNumberFormat="1" applyFont="1" applyFill="1" applyBorder="1" applyAlignment="1">
      <alignment horizontal="right" vertical="top" wrapText="1"/>
    </xf>
    <xf numFmtId="16" fontId="17" fillId="13" borderId="59" xfId="0" applyNumberFormat="1" applyFont="1" applyFill="1" applyBorder="1" applyAlignment="1">
      <alignment horizontal="right" vertical="top" wrapText="1"/>
    </xf>
    <xf numFmtId="10" fontId="9" fillId="16" borderId="12" xfId="6" applyNumberFormat="1" applyFont="1" applyFill="1" applyBorder="1" applyAlignment="1">
      <alignment horizontal="left" vertical="top" wrapText="1"/>
    </xf>
    <xf numFmtId="49" fontId="9" fillId="16" borderId="12" xfId="0" applyNumberFormat="1" applyFont="1" applyFill="1" applyBorder="1" applyAlignment="1">
      <alignment horizontal="left" vertical="top" wrapText="1"/>
    </xf>
    <xf numFmtId="16" fontId="9" fillId="16" borderId="2" xfId="0" applyNumberFormat="1" applyFont="1" applyFill="1" applyBorder="1" applyAlignment="1">
      <alignment horizontal="left" vertical="top" wrapText="1"/>
    </xf>
    <xf numFmtId="0" fontId="9" fillId="16" borderId="4" xfId="0" applyFont="1" applyFill="1" applyBorder="1" applyAlignment="1">
      <alignment horizontal="left" vertical="top" wrapText="1"/>
    </xf>
    <xf numFmtId="0" fontId="4" fillId="14" borderId="36" xfId="0" applyFont="1" applyFill="1" applyBorder="1" applyAlignment="1">
      <alignment horizontal="left" vertical="top" wrapText="1"/>
    </xf>
    <xf numFmtId="16" fontId="17" fillId="14" borderId="31" xfId="0" applyNumberFormat="1" applyFont="1" applyFill="1" applyBorder="1" applyAlignment="1">
      <alignment horizontal="left" vertical="top" wrapText="1"/>
    </xf>
    <xf numFmtId="16" fontId="17" fillId="14" borderId="7" xfId="0" applyNumberFormat="1" applyFont="1" applyFill="1" applyBorder="1" applyAlignment="1">
      <alignment horizontal="left" vertical="top" wrapText="1"/>
    </xf>
    <xf numFmtId="16" fontId="17" fillId="14" borderId="4" xfId="0" applyNumberFormat="1" applyFont="1" applyFill="1" applyBorder="1" applyAlignment="1">
      <alignment horizontal="left" vertical="top" wrapText="1"/>
    </xf>
    <xf numFmtId="0" fontId="9" fillId="14" borderId="31" xfId="0" applyFont="1" applyFill="1" applyBorder="1" applyAlignment="1">
      <alignment horizontal="left" vertical="top" wrapText="1"/>
    </xf>
    <xf numFmtId="0" fontId="9" fillId="14" borderId="7" xfId="0" applyFont="1" applyFill="1" applyBorder="1" applyAlignment="1">
      <alignment horizontal="left" vertical="top" wrapText="1"/>
    </xf>
    <xf numFmtId="0" fontId="9" fillId="14" borderId="4" xfId="0" applyFont="1" applyFill="1" applyBorder="1" applyAlignment="1">
      <alignment horizontal="left" vertical="top" wrapText="1"/>
    </xf>
    <xf numFmtId="49" fontId="9" fillId="14" borderId="31" xfId="0" applyNumberFormat="1" applyFont="1" applyFill="1" applyBorder="1" applyAlignment="1">
      <alignment horizontal="left" vertical="top" wrapText="1"/>
    </xf>
    <xf numFmtId="49" fontId="9" fillId="14" borderId="7" xfId="0" applyNumberFormat="1" applyFont="1" applyFill="1" applyBorder="1" applyAlignment="1">
      <alignment horizontal="left" vertical="top" wrapText="1"/>
    </xf>
    <xf numFmtId="49" fontId="9" fillId="14" borderId="4" xfId="0" applyNumberFormat="1" applyFont="1" applyFill="1" applyBorder="1" applyAlignment="1">
      <alignment horizontal="left" vertical="top" wrapText="1"/>
    </xf>
    <xf numFmtId="10" fontId="9" fillId="14" borderId="31" xfId="6" applyNumberFormat="1" applyFont="1" applyFill="1" applyBorder="1" applyAlignment="1">
      <alignment horizontal="left" vertical="top" wrapText="1"/>
    </xf>
    <xf numFmtId="10" fontId="9" fillId="14" borderId="7" xfId="6" applyNumberFormat="1" applyFont="1" applyFill="1" applyBorder="1" applyAlignment="1">
      <alignment horizontal="left" vertical="top" wrapText="1"/>
    </xf>
    <xf numFmtId="10" fontId="9" fillId="14" borderId="4" xfId="6" applyNumberFormat="1" applyFont="1" applyFill="1" applyBorder="1" applyAlignment="1">
      <alignment horizontal="left" vertical="top" wrapText="1"/>
    </xf>
    <xf numFmtId="4" fontId="17" fillId="21" borderId="6" xfId="0" applyNumberFormat="1" applyFont="1" applyFill="1" applyBorder="1" applyAlignment="1">
      <alignment horizontal="right" vertical="center"/>
    </xf>
    <xf numFmtId="4" fontId="17" fillId="21" borderId="4" xfId="0" applyNumberFormat="1" applyFont="1" applyFill="1" applyBorder="1" applyAlignment="1">
      <alignment horizontal="right" vertical="center"/>
    </xf>
    <xf numFmtId="10" fontId="17" fillId="6" borderId="89" xfId="6" applyNumberFormat="1" applyFont="1" applyFill="1" applyBorder="1" applyAlignment="1">
      <alignment horizontal="center" vertical="center" wrapText="1"/>
    </xf>
    <xf numFmtId="10" fontId="17" fillId="6" borderId="111" xfId="6" applyNumberFormat="1" applyFont="1" applyFill="1" applyBorder="1" applyAlignment="1">
      <alignment horizontal="center" vertical="center" wrapText="1"/>
    </xf>
    <xf numFmtId="0" fontId="9" fillId="16" borderId="11" xfId="0" applyFont="1" applyFill="1" applyBorder="1" applyAlignment="1">
      <alignment horizontal="left" vertical="top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17" borderId="20" xfId="0" applyFont="1" applyFill="1" applyBorder="1" applyAlignment="1">
      <alignment horizontal="center" vertical="center"/>
    </xf>
    <xf numFmtId="0" fontId="17" fillId="17" borderId="25" xfId="0" applyFont="1" applyFill="1" applyBorder="1" applyAlignment="1">
      <alignment horizontal="center" vertical="center"/>
    </xf>
    <xf numFmtId="16" fontId="17" fillId="13" borderId="7" xfId="0" applyNumberFormat="1" applyFont="1" applyFill="1" applyBorder="1" applyAlignment="1">
      <alignment horizontal="left" vertical="top" wrapText="1"/>
    </xf>
    <xf numFmtId="16" fontId="17" fillId="13" borderId="59" xfId="0" applyNumberFormat="1" applyFont="1" applyFill="1" applyBorder="1" applyAlignment="1">
      <alignment horizontal="left" vertical="top" wrapText="1"/>
    </xf>
    <xf numFmtId="10" fontId="9" fillId="16" borderId="64" xfId="6" applyNumberFormat="1" applyFont="1" applyFill="1" applyBorder="1" applyAlignment="1">
      <alignment horizontal="left" vertical="top" wrapText="1"/>
    </xf>
    <xf numFmtId="10" fontId="9" fillId="16" borderId="59" xfId="6" applyNumberFormat="1" applyFont="1" applyFill="1" applyBorder="1" applyAlignment="1">
      <alignment horizontal="left" vertical="top" wrapText="1"/>
    </xf>
    <xf numFmtId="0" fontId="9" fillId="19" borderId="35" xfId="0" applyFont="1" applyFill="1" applyBorder="1" applyAlignment="1">
      <alignment horizontal="left" vertical="top"/>
    </xf>
    <xf numFmtId="0" fontId="9" fillId="19" borderId="36" xfId="0" applyFont="1" applyFill="1" applyBorder="1" applyAlignment="1">
      <alignment horizontal="left" vertical="top"/>
    </xf>
    <xf numFmtId="0" fontId="9" fillId="19" borderId="37" xfId="0" applyFont="1" applyFill="1" applyBorder="1" applyAlignment="1">
      <alignment horizontal="left" vertical="top"/>
    </xf>
    <xf numFmtId="0" fontId="9" fillId="19" borderId="31" xfId="0" applyFont="1" applyFill="1" applyBorder="1" applyAlignment="1">
      <alignment horizontal="left" vertical="top"/>
    </xf>
    <xf numFmtId="0" fontId="9" fillId="19" borderId="7" xfId="0" applyFont="1" applyFill="1" applyBorder="1" applyAlignment="1">
      <alignment horizontal="left" vertical="top"/>
    </xf>
    <xf numFmtId="0" fontId="9" fillId="19" borderId="30" xfId="0" applyFont="1" applyFill="1" applyBorder="1" applyAlignment="1">
      <alignment horizontal="left" vertical="top"/>
    </xf>
    <xf numFmtId="0" fontId="9" fillId="16" borderId="64" xfId="0" applyFont="1" applyFill="1" applyBorder="1" applyAlignment="1">
      <alignment horizontal="left" vertical="top" wrapText="1"/>
    </xf>
    <xf numFmtId="0" fontId="9" fillId="16" borderId="7" xfId="0" applyFont="1" applyFill="1" applyBorder="1" applyAlignment="1">
      <alignment horizontal="left" vertical="top" wrapText="1"/>
    </xf>
    <xf numFmtId="0" fontId="9" fillId="16" borderId="59" xfId="0" applyFont="1" applyFill="1" applyBorder="1" applyAlignment="1">
      <alignment horizontal="left" vertical="top" wrapText="1"/>
    </xf>
    <xf numFmtId="10" fontId="9" fillId="16" borderId="6" xfId="6" applyNumberFormat="1" applyFont="1" applyFill="1" applyBorder="1" applyAlignment="1">
      <alignment horizontal="center" vertical="top" wrapText="1"/>
    </xf>
    <xf numFmtId="10" fontId="9" fillId="16" borderId="7" xfId="6" applyNumberFormat="1" applyFont="1" applyFill="1" applyBorder="1" applyAlignment="1">
      <alignment horizontal="center" vertical="top" wrapText="1"/>
    </xf>
    <xf numFmtId="0" fontId="4" fillId="16" borderId="6" xfId="0" applyFont="1" applyFill="1" applyBorder="1" applyAlignment="1">
      <alignment horizontal="left" vertical="top" wrapText="1"/>
    </xf>
    <xf numFmtId="10" fontId="9" fillId="16" borderId="31" xfId="6" applyNumberFormat="1" applyFont="1" applyFill="1" applyBorder="1" applyAlignment="1">
      <alignment horizontal="left" vertical="top" wrapText="1"/>
    </xf>
    <xf numFmtId="0" fontId="9" fillId="16" borderId="31" xfId="0" applyFont="1" applyFill="1" applyBorder="1" applyAlignment="1">
      <alignment horizontal="left" vertical="top" wrapText="1"/>
    </xf>
    <xf numFmtId="16" fontId="17" fillId="13" borderId="64" xfId="0" applyNumberFormat="1" applyFont="1" applyFill="1" applyBorder="1" applyAlignment="1">
      <alignment horizontal="left" vertical="top" wrapText="1"/>
    </xf>
    <xf numFmtId="16" fontId="17" fillId="13" borderId="4" xfId="0" applyNumberFormat="1" applyFont="1" applyFill="1" applyBorder="1" applyAlignment="1">
      <alignment horizontal="left" vertical="top" wrapText="1"/>
    </xf>
    <xf numFmtId="0" fontId="17" fillId="13" borderId="4" xfId="0" applyFont="1" applyFill="1" applyBorder="1" applyAlignment="1">
      <alignment horizontal="left" vertical="top" wrapText="1"/>
    </xf>
    <xf numFmtId="0" fontId="17" fillId="14" borderId="31" xfId="0" applyFont="1" applyFill="1" applyBorder="1" applyAlignment="1">
      <alignment horizontal="left" vertical="top" wrapText="1"/>
    </xf>
    <xf numFmtId="0" fontId="17" fillId="14" borderId="7" xfId="0" applyFont="1" applyFill="1" applyBorder="1" applyAlignment="1">
      <alignment horizontal="left" vertical="top" wrapText="1"/>
    </xf>
    <xf numFmtId="0" fontId="17" fillId="14" borderId="4" xfId="0" applyFont="1" applyFill="1" applyBorder="1" applyAlignment="1">
      <alignment horizontal="left" vertical="top" wrapText="1"/>
    </xf>
    <xf numFmtId="49" fontId="32" fillId="24" borderId="3" xfId="3" applyNumberFormat="1" applyFont="1" applyFill="1" applyBorder="1" applyAlignment="1">
      <alignment horizontal="center" vertical="center"/>
    </xf>
    <xf numFmtId="49" fontId="32" fillId="24" borderId="5" xfId="3" applyNumberFormat="1" applyFont="1" applyFill="1" applyBorder="1" applyAlignment="1">
      <alignment horizontal="center" vertical="center"/>
    </xf>
    <xf numFmtId="0" fontId="31" fillId="24" borderId="2" xfId="0" applyFont="1" applyFill="1" applyBorder="1" applyAlignment="1">
      <alignment horizontal="center"/>
    </xf>
    <xf numFmtId="49" fontId="4" fillId="0" borderId="48" xfId="3" applyNumberFormat="1" applyFont="1" applyFill="1" applyBorder="1" applyAlignment="1">
      <alignment horizontal="center" vertical="center" wrapText="1"/>
    </xf>
    <xf numFmtId="49" fontId="4" fillId="0" borderId="17" xfId="3" applyNumberFormat="1" applyFont="1" applyFill="1" applyBorder="1" applyAlignment="1">
      <alignment horizontal="center" vertical="center" wrapText="1"/>
    </xf>
    <xf numFmtId="49" fontId="4" fillId="0" borderId="49" xfId="3" applyNumberFormat="1" applyFont="1" applyFill="1" applyBorder="1" applyAlignment="1">
      <alignment horizontal="center" vertical="center" wrapText="1"/>
    </xf>
    <xf numFmtId="49" fontId="4" fillId="0" borderId="48" xfId="3" applyNumberFormat="1" applyFont="1" applyFill="1" applyBorder="1" applyAlignment="1">
      <alignment horizontal="center" vertical="center"/>
    </xf>
    <xf numFmtId="49" fontId="4" fillId="0" borderId="17" xfId="3" applyNumberFormat="1" applyFont="1" applyFill="1" applyBorder="1" applyAlignment="1">
      <alignment horizontal="center" vertical="center"/>
    </xf>
    <xf numFmtId="49" fontId="4" fillId="0" borderId="49" xfId="3" applyNumberFormat="1" applyFont="1" applyFill="1" applyBorder="1" applyAlignment="1">
      <alignment horizontal="center" vertical="center"/>
    </xf>
    <xf numFmtId="49" fontId="4" fillId="0" borderId="5" xfId="3" applyNumberFormat="1" applyFont="1" applyFill="1" applyBorder="1" applyAlignment="1">
      <alignment horizontal="center" vertical="center"/>
    </xf>
    <xf numFmtId="49" fontId="4" fillId="0" borderId="5" xfId="3" applyNumberFormat="1" applyFont="1" applyFill="1" applyBorder="1" applyAlignment="1">
      <alignment horizontal="center" vertical="center" wrapText="1"/>
    </xf>
    <xf numFmtId="49" fontId="4" fillId="0" borderId="3" xfId="3" applyNumberFormat="1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52" xfId="3" applyNumberFormat="1" applyFont="1" applyFill="1" applyBorder="1" applyAlignment="1">
      <alignment horizontal="center" vertical="center"/>
    </xf>
    <xf numFmtId="49" fontId="4" fillId="0" borderId="54" xfId="3" applyNumberFormat="1" applyFont="1" applyFill="1" applyBorder="1" applyAlignment="1">
      <alignment horizontal="center" vertical="center"/>
    </xf>
    <xf numFmtId="49" fontId="4" fillId="0" borderId="52" xfId="3" applyNumberFormat="1" applyFont="1" applyFill="1" applyBorder="1" applyAlignment="1">
      <alignment horizontal="center" vertical="center" wrapText="1"/>
    </xf>
    <xf numFmtId="49" fontId="4" fillId="0" borderId="54" xfId="3" applyNumberFormat="1" applyFont="1" applyFill="1" applyBorder="1" applyAlignment="1">
      <alignment horizontal="center" vertical="center" wrapText="1"/>
    </xf>
    <xf numFmtId="49" fontId="8" fillId="0" borderId="3" xfId="3" applyNumberFormat="1" applyFont="1" applyFill="1" applyBorder="1" applyAlignment="1">
      <alignment horizontal="center" vertical="center"/>
    </xf>
    <xf numFmtId="49" fontId="8" fillId="0" borderId="5" xfId="3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4" xfId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48" xfId="3" applyNumberFormat="1" applyFont="1" applyFill="1" applyBorder="1" applyAlignment="1">
      <alignment horizontal="center" vertical="center" wrapText="1"/>
    </xf>
    <xf numFmtId="49" fontId="2" fillId="0" borderId="17" xfId="3" applyNumberFormat="1" applyFont="1" applyFill="1" applyBorder="1" applyAlignment="1">
      <alignment horizontal="center" vertical="center" wrapText="1"/>
    </xf>
    <xf numFmtId="49" fontId="2" fillId="0" borderId="49" xfId="3" applyNumberFormat="1" applyFont="1" applyFill="1" applyBorder="1" applyAlignment="1">
      <alignment horizontal="center" vertical="center" wrapText="1"/>
    </xf>
    <xf numFmtId="49" fontId="2" fillId="0" borderId="48" xfId="3" applyNumberFormat="1" applyFont="1" applyFill="1" applyBorder="1" applyAlignment="1">
      <alignment horizontal="center" vertical="center"/>
    </xf>
    <xf numFmtId="49" fontId="2" fillId="0" borderId="49" xfId="3" applyNumberFormat="1" applyFont="1" applyFill="1" applyBorder="1" applyAlignment="1">
      <alignment horizontal="center" vertical="center"/>
    </xf>
    <xf numFmtId="49" fontId="2" fillId="0" borderId="56" xfId="3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49" fontId="2" fillId="0" borderId="57" xfId="3" applyNumberFormat="1" applyFont="1" applyFill="1" applyBorder="1" applyAlignment="1">
      <alignment horizontal="center" vertical="center" wrapText="1"/>
    </xf>
    <xf numFmtId="49" fontId="2" fillId="0" borderId="8" xfId="3" applyNumberFormat="1" applyFont="1" applyFill="1" applyBorder="1" applyAlignment="1">
      <alignment horizontal="center" vertical="center"/>
    </xf>
    <xf numFmtId="49" fontId="2" fillId="0" borderId="9" xfId="3" applyNumberFormat="1" applyFont="1" applyFill="1" applyBorder="1" applyAlignment="1">
      <alignment horizontal="center" vertical="center"/>
    </xf>
    <xf numFmtId="49" fontId="2" fillId="0" borderId="17" xfId="3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/>
    </xf>
    <xf numFmtId="49" fontId="2" fillId="0" borderId="5" xfId="3" applyNumberFormat="1" applyFont="1" applyFill="1" applyBorder="1" applyAlignment="1">
      <alignment horizontal="center"/>
    </xf>
    <xf numFmtId="49" fontId="2" fillId="0" borderId="3" xfId="3" applyNumberFormat="1" applyFont="1" applyFill="1" applyBorder="1" applyAlignment="1">
      <alignment horizontal="center" wrapText="1"/>
    </xf>
    <xf numFmtId="49" fontId="2" fillId="0" borderId="5" xfId="3" applyNumberFormat="1" applyFont="1" applyFill="1" applyBorder="1" applyAlignment="1">
      <alignment horizontal="center" wrapText="1"/>
    </xf>
    <xf numFmtId="49" fontId="4" fillId="0" borderId="8" xfId="3" applyNumberFormat="1" applyFont="1" applyFill="1" applyBorder="1" applyAlignment="1">
      <alignment horizontal="center" vertical="center" wrapText="1"/>
    </xf>
    <xf numFmtId="49" fontId="4" fillId="0" borderId="9" xfId="3" applyNumberFormat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center" vertical="center"/>
    </xf>
    <xf numFmtId="49" fontId="4" fillId="0" borderId="9" xfId="3" applyNumberFormat="1" applyFont="1" applyFill="1" applyBorder="1" applyAlignment="1">
      <alignment horizontal="center" vertical="center"/>
    </xf>
    <xf numFmtId="49" fontId="2" fillId="0" borderId="8" xfId="3" applyNumberFormat="1" applyFont="1" applyFill="1" applyBorder="1" applyAlignment="1">
      <alignment horizontal="center" vertical="center" wrapText="1"/>
    </xf>
    <xf numFmtId="49" fontId="2" fillId="0" borderId="9" xfId="3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/>
    </xf>
    <xf numFmtId="164" fontId="4" fillId="0" borderId="8" xfId="3" applyNumberFormat="1" applyFont="1" applyFill="1" applyBorder="1" applyAlignment="1">
      <alignment horizontal="center" vertical="center" wrapText="1"/>
    </xf>
    <xf numFmtId="164" fontId="4" fillId="0" borderId="2" xfId="3" applyNumberFormat="1" applyFont="1" applyFill="1" applyBorder="1" applyAlignment="1">
      <alignment horizontal="center" vertical="center" wrapText="1"/>
    </xf>
    <xf numFmtId="164" fontId="4" fillId="0" borderId="9" xfId="3" applyNumberFormat="1" applyFont="1" applyFill="1" applyBorder="1" applyAlignment="1">
      <alignment horizontal="center" vertical="center" wrapText="1"/>
    </xf>
    <xf numFmtId="49" fontId="34" fillId="0" borderId="48" xfId="3" applyNumberFormat="1" applyFont="1" applyFill="1" applyBorder="1" applyAlignment="1">
      <alignment horizontal="center" vertical="center" wrapText="1"/>
    </xf>
    <xf numFmtId="49" fontId="34" fillId="0" borderId="17" xfId="3" applyNumberFormat="1" applyFont="1" applyFill="1" applyBorder="1" applyAlignment="1">
      <alignment horizontal="center" vertical="center" wrapText="1"/>
    </xf>
    <xf numFmtId="49" fontId="34" fillId="0" borderId="49" xfId="3" applyNumberFormat="1" applyFont="1" applyFill="1" applyBorder="1" applyAlignment="1">
      <alignment horizontal="center" vertical="center" wrapText="1"/>
    </xf>
    <xf numFmtId="49" fontId="34" fillId="0" borderId="48" xfId="3" applyNumberFormat="1" applyFont="1" applyFill="1" applyBorder="1" applyAlignment="1">
      <alignment horizontal="center" vertical="center"/>
    </xf>
    <xf numFmtId="49" fontId="34" fillId="0" borderId="17" xfId="3" applyNumberFormat="1" applyFont="1" applyFill="1" applyBorder="1" applyAlignment="1">
      <alignment horizontal="center" vertical="center"/>
    </xf>
    <xf numFmtId="49" fontId="34" fillId="0" borderId="49" xfId="3" applyNumberFormat="1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49" fontId="34" fillId="0" borderId="8" xfId="3" applyNumberFormat="1" applyFont="1" applyFill="1" applyBorder="1" applyAlignment="1">
      <alignment horizontal="center" vertical="center" wrapText="1"/>
    </xf>
    <xf numFmtId="49" fontId="34" fillId="0" borderId="9" xfId="3" applyNumberFormat="1" applyFont="1" applyFill="1" applyBorder="1" applyAlignment="1">
      <alignment horizontal="center" vertical="center" wrapText="1"/>
    </xf>
    <xf numFmtId="0" fontId="34" fillId="0" borderId="6" xfId="1" applyFont="1" applyFill="1" applyBorder="1" applyAlignment="1">
      <alignment horizontal="center" vertical="center" wrapText="1"/>
    </xf>
    <xf numFmtId="0" fontId="34" fillId="0" borderId="7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center" vertical="center" wrapText="1"/>
    </xf>
    <xf numFmtId="49" fontId="34" fillId="0" borderId="2" xfId="3" applyNumberFormat="1" applyFont="1" applyFill="1" applyBorder="1" applyAlignment="1">
      <alignment horizontal="center" vertical="center"/>
    </xf>
    <xf numFmtId="49" fontId="34" fillId="0" borderId="8" xfId="3" applyNumberFormat="1" applyFont="1" applyFill="1" applyBorder="1" applyAlignment="1">
      <alignment horizontal="center" vertical="center"/>
    </xf>
    <xf numFmtId="49" fontId="34" fillId="0" borderId="9" xfId="3" applyNumberFormat="1" applyFont="1" applyFill="1" applyBorder="1" applyAlignment="1">
      <alignment horizontal="center" vertical="center"/>
    </xf>
    <xf numFmtId="49" fontId="34" fillId="0" borderId="2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/>
    </xf>
    <xf numFmtId="49" fontId="2" fillId="0" borderId="74" xfId="3" applyNumberFormat="1" applyFont="1" applyFill="1" applyBorder="1" applyAlignment="1">
      <alignment horizontal="center" vertical="center" wrapText="1"/>
    </xf>
    <xf numFmtId="49" fontId="2" fillId="0" borderId="0" xfId="3" applyNumberFormat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49" fontId="4" fillId="6" borderId="8" xfId="3" applyNumberFormat="1" applyFont="1" applyFill="1" applyBorder="1" applyAlignment="1">
      <alignment horizontal="center" vertical="center"/>
    </xf>
    <xf numFmtId="49" fontId="4" fillId="6" borderId="2" xfId="3" applyNumberFormat="1" applyFont="1" applyFill="1" applyBorder="1" applyAlignment="1">
      <alignment horizontal="center" vertical="center"/>
    </xf>
    <xf numFmtId="49" fontId="4" fillId="6" borderId="48" xfId="3" applyNumberFormat="1" applyFont="1" applyFill="1" applyBorder="1" applyAlignment="1">
      <alignment horizontal="center" vertical="center" wrapText="1"/>
    </xf>
    <xf numFmtId="49" fontId="4" fillId="6" borderId="17" xfId="3" applyNumberFormat="1" applyFont="1" applyFill="1" applyBorder="1" applyAlignment="1">
      <alignment horizontal="center" vertical="center" wrapText="1"/>
    </xf>
    <xf numFmtId="49" fontId="4" fillId="6" borderId="49" xfId="3" applyNumberFormat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 vertical="center" wrapText="1"/>
    </xf>
    <xf numFmtId="49" fontId="4" fillId="6" borderId="8" xfId="3" applyNumberFormat="1" applyFont="1" applyFill="1" applyBorder="1" applyAlignment="1">
      <alignment horizontal="center" vertical="center" wrapText="1"/>
    </xf>
    <xf numFmtId="49" fontId="4" fillId="6" borderId="2" xfId="3" applyNumberFormat="1" applyFont="1" applyFill="1" applyBorder="1" applyAlignment="1">
      <alignment horizontal="center" vertical="center" wrapText="1"/>
    </xf>
    <xf numFmtId="49" fontId="4" fillId="6" borderId="5" xfId="3" applyNumberFormat="1" applyFont="1" applyFill="1" applyBorder="1" applyAlignment="1">
      <alignment horizontal="center" vertical="center" wrapText="1"/>
    </xf>
    <xf numFmtId="49" fontId="4" fillId="6" borderId="5" xfId="3" applyNumberFormat="1" applyFont="1" applyFill="1" applyBorder="1" applyAlignment="1">
      <alignment horizontal="center" vertical="center"/>
    </xf>
    <xf numFmtId="49" fontId="4" fillId="6" borderId="3" xfId="3" applyNumberFormat="1" applyFont="1" applyFill="1" applyBorder="1" applyAlignment="1">
      <alignment horizontal="center" vertical="center"/>
    </xf>
    <xf numFmtId="49" fontId="4" fillId="6" borderId="17" xfId="3" applyNumberFormat="1" applyFont="1" applyFill="1" applyBorder="1" applyAlignment="1">
      <alignment horizontal="center" vertical="center"/>
    </xf>
    <xf numFmtId="49" fontId="4" fillId="6" borderId="3" xfId="3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top" wrapText="1"/>
    </xf>
  </cellXfs>
  <cellStyles count="7">
    <cellStyle name="Čiarka" xfId="5" builtinId="3"/>
    <cellStyle name="Normálna" xfId="0" builtinId="0"/>
    <cellStyle name="Normálne 2" xfId="4"/>
    <cellStyle name="normálne_Hárok1" xfId="3"/>
    <cellStyle name="normálne_Prijímatelia OPZ_280610" xfId="2"/>
    <cellStyle name="Percentá" xfId="6" builtinId="5"/>
    <cellStyle name="Výstup" xfId="1" builtinId="21"/>
  </cellStyles>
  <dxfs count="8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165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165" formatCode="#,##0.00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165" formatCode="#,##0.00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FAA306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fn411421431" displayName="fn411421431" ref="A5:CB7" totalsRowCount="1" headerRowDxfId="806" dataDxfId="804" headerRowBorderDxfId="805" tableBorderDxfId="803" totalsRowBorderDxfId="802" headerRowCellStyle="normálne_Hárok1" dataCellStyle="normálne_Hárok1">
  <autoFilter ref="A5:CB6"/>
  <tableColumns count="80">
    <tableColumn id="1" name="Stĺpec1" dataDxfId="801" totalsRowDxfId="800"/>
    <tableColumn id="2" name="Stĺpec2" dataDxfId="799" totalsRowDxfId="798"/>
    <tableColumn id="3" name="Stĺpec3" dataDxfId="797" totalsRowDxfId="796" dataCellStyle="normálne_Prijímatelia OPZ_280610"/>
    <tableColumn id="4" name="Stĺpec4" dataDxfId="795" totalsRowDxfId="794" dataCellStyle="normálne_Prijímatelia OPZ_280610"/>
    <tableColumn id="5" name="Stĺpec5" dataDxfId="793" totalsRowDxfId="792" dataCellStyle="normálne_Prijímatelia OPZ_280610"/>
    <tableColumn id="6" name="Stĺpec6" dataDxfId="791" totalsRowDxfId="790" dataCellStyle="normálne_Prijímatelia OPZ_280610"/>
    <tableColumn id="7" name="Stĺpec7" dataDxfId="789" totalsRowDxfId="788" dataCellStyle="normálne_Prijímatelia OPZ_280610"/>
    <tableColumn id="57" name="Stĺpec8" totalsRowFunction="sum" dataDxfId="787" totalsRowDxfId="786" dataCellStyle="normálne_Prijímatelia OPZ_280610"/>
    <tableColumn id="56" name="Stĺpec9" totalsRowFunction="sum" dataDxfId="785" totalsRowDxfId="784" dataCellStyle="normálne_Prijímatelia OPZ_280610"/>
    <tableColumn id="55" name="Stĺpec10" totalsRowFunction="sum" dataDxfId="783" totalsRowDxfId="782" dataCellStyle="normálne_Prijímatelia OPZ_280610"/>
    <tableColumn id="54" name="Stĺpec11" totalsRowFunction="sum" dataDxfId="781" totalsRowDxfId="780" dataCellStyle="normálne_Prijímatelia OPZ_280610"/>
    <tableColumn id="8" name="Stĺpec12" totalsRowFunction="sum" dataDxfId="779" totalsRowDxfId="778" dataCellStyle="normálne_Hárok1"/>
    <tableColumn id="9" name="Stĺpec13" totalsRowFunction="sum" dataDxfId="777" totalsRowDxfId="776" dataCellStyle="normálne_Hárok1"/>
    <tableColumn id="59" name="Stĺpec14" totalsRowFunction="custom" dataDxfId="775" totalsRowDxfId="774" dataCellStyle="normálne_Hárok1">
      <totalsRowFormula>SUM(fn411421431[Stĺpec14])</totalsRowFormula>
    </tableColumn>
    <tableColumn id="10" name="Stĺpec15" totalsRowFunction="sum" dataDxfId="773" totalsRowDxfId="772" dataCellStyle="normálne_Hárok1"/>
    <tableColumn id="11" name="Stĺpec16" totalsRowFunction="sum" dataDxfId="771" totalsRowDxfId="770" dataCellStyle="normálne_Hárok1"/>
    <tableColumn id="60" name="Stĺpec17" totalsRowFunction="custom" dataDxfId="769" totalsRowDxfId="768" dataCellStyle="normálne_Hárok1">
      <totalsRowFormula>SUM(fn411421431[Stĺpec17])</totalsRowFormula>
    </tableColumn>
    <tableColumn id="12" name="Stĺpec18" totalsRowFunction="sum" dataDxfId="767" totalsRowDxfId="766" dataCellStyle="normálne_Hárok1"/>
    <tableColumn id="13" name="Stĺpec19" totalsRowFunction="sum" dataDxfId="765" totalsRowDxfId="764" dataCellStyle="normálne_Hárok1"/>
    <tableColumn id="62" name="Stĺpec20" totalsRowFunction="custom" dataDxfId="763" totalsRowDxfId="762" dataCellStyle="normálne_Hárok1">
      <totalsRowFormula>SUM(fn411421431[Stĺpec20])</totalsRowFormula>
    </tableColumn>
    <tableColumn id="14" name="Stĺpec21" totalsRowFunction="sum" dataDxfId="761" totalsRowDxfId="760" dataCellStyle="normálne_Hárok1"/>
    <tableColumn id="15" name="Stĺpec22" totalsRowFunction="sum" dataDxfId="759" totalsRowDxfId="758" dataCellStyle="normálne_Hárok1"/>
    <tableColumn id="63" name="Stĺpec23" totalsRowFunction="custom" dataDxfId="757" totalsRowDxfId="756" dataCellStyle="normálne_Hárok1">
      <totalsRowFormula>SUM(fn411421431[Stĺpec23])</totalsRowFormula>
    </tableColumn>
    <tableColumn id="16" name="Stĺpec24" totalsRowFunction="sum" dataDxfId="755" totalsRowDxfId="754" dataCellStyle="normálne_Hárok1"/>
    <tableColumn id="17" name="Stĺpec25" totalsRowFunction="sum" dataDxfId="753" totalsRowDxfId="752" dataCellStyle="normálne_Hárok1"/>
    <tableColumn id="64" name="Stĺpec26" totalsRowFunction="custom" dataDxfId="751" totalsRowDxfId="750" dataCellStyle="normálne_Hárok1">
      <totalsRowFormula>SUM(fn411421431[Stĺpec26])</totalsRowFormula>
    </tableColumn>
    <tableColumn id="18" name="Stĺpec27" totalsRowFunction="sum" dataDxfId="749" totalsRowDxfId="748" dataCellStyle="normálne_Hárok1"/>
    <tableColumn id="19" name="Stĺpec28" totalsRowFunction="sum" dataDxfId="747" totalsRowDxfId="746" dataCellStyle="normálne_Hárok1"/>
    <tableColumn id="65" name="Stĺpec29" totalsRowFunction="custom" dataDxfId="745" totalsRowDxfId="744" dataCellStyle="normálne_Hárok1">
      <totalsRowFormula>SUM(fn411421431[Stĺpec29])</totalsRowFormula>
    </tableColumn>
    <tableColumn id="20" name="Stĺpec30" totalsRowFunction="sum" dataDxfId="743" totalsRowDxfId="742" dataCellStyle="normálne_Hárok1"/>
    <tableColumn id="21" name="Stĺpec31" totalsRowFunction="sum" dataDxfId="741" totalsRowDxfId="740" dataCellStyle="normálne_Hárok1"/>
    <tableColumn id="66" name="Stĺpec32" totalsRowFunction="custom" dataDxfId="739" totalsRowDxfId="738" dataCellStyle="normálne_Hárok1">
      <totalsRowFormula>SUM(fn411421431[Stĺpec32])</totalsRowFormula>
    </tableColumn>
    <tableColumn id="22" name="Stĺpec33" totalsRowFunction="sum" dataDxfId="737" totalsRowDxfId="736" dataCellStyle="normálne_Hárok1"/>
    <tableColumn id="23" name="Stĺpec34" totalsRowFunction="sum" dataDxfId="735" totalsRowDxfId="734" dataCellStyle="normálne_Hárok1"/>
    <tableColumn id="67" name="Stĺpec35" totalsRowFunction="custom" dataDxfId="733" totalsRowDxfId="732" dataCellStyle="normálne_Hárok1">
      <totalsRowFormula>SUM(fn411421431[Stĺpec35])</totalsRowFormula>
    </tableColumn>
    <tableColumn id="24" name="Stĺpec36" totalsRowFunction="sum" dataDxfId="731" totalsRowDxfId="730" dataCellStyle="normálne_Hárok1"/>
    <tableColumn id="25" name="Stĺpec37" totalsRowFunction="sum" dataDxfId="729" totalsRowDxfId="728" dataCellStyle="normálne_Hárok1"/>
    <tableColumn id="68" name="Stĺpec38" totalsRowFunction="custom" dataDxfId="727" totalsRowDxfId="726" dataCellStyle="normálne_Hárok1">
      <totalsRowFormula>SUM(fn411421431[Stĺpec38])</totalsRowFormula>
    </tableColumn>
    <tableColumn id="26" name="Stĺpec39" totalsRowFunction="sum" dataDxfId="725" totalsRowDxfId="724" dataCellStyle="normálne_Hárok1"/>
    <tableColumn id="27" name="Stĺpec40" totalsRowFunction="sum" dataDxfId="723" totalsRowDxfId="722" dataCellStyle="normálne_Hárok1"/>
    <tableColumn id="69" name="Stĺpec41" totalsRowFunction="custom" dataDxfId="721" totalsRowDxfId="720" dataCellStyle="normálne_Hárok1">
      <totalsRowFormula>SUM(fn411421431[Stĺpec41])</totalsRowFormula>
    </tableColumn>
    <tableColumn id="28" name="Stĺpec42" totalsRowFunction="sum" dataDxfId="719" totalsRowDxfId="718" dataCellStyle="normálne_Hárok1"/>
    <tableColumn id="29" name="Stĺpec43" totalsRowFunction="sum" dataDxfId="717" totalsRowDxfId="716" dataCellStyle="normálne_Hárok1"/>
    <tableColumn id="70" name="Stĺpec44" totalsRowFunction="custom" dataDxfId="715" totalsRowDxfId="714" dataCellStyle="normálne_Hárok1">
      <totalsRowFormula>SUM(fn411421431[Stĺpec44])</totalsRowFormula>
    </tableColumn>
    <tableColumn id="30" name="Stĺpec45" totalsRowFunction="sum" dataDxfId="713" totalsRowDxfId="712" dataCellStyle="normálne_Hárok1"/>
    <tableColumn id="31" name="Stĺpec46" totalsRowFunction="sum" dataDxfId="711" totalsRowDxfId="710" dataCellStyle="normálne_Hárok1"/>
    <tableColumn id="71" name="Stĺpec47" totalsRowFunction="custom" dataDxfId="709" totalsRowDxfId="708" dataCellStyle="normálne_Hárok1">
      <totalsRowFormula>SUM(fn411421431[Stĺpec47])</totalsRowFormula>
    </tableColumn>
    <tableColumn id="32" name="Stĺpec48" totalsRowFunction="sum" dataDxfId="707" totalsRowDxfId="706" dataCellStyle="normálne_Hárok1"/>
    <tableColumn id="33" name="Stĺpec49" totalsRowFunction="sum" dataDxfId="705" totalsRowDxfId="704" dataCellStyle="normálne_Hárok1"/>
    <tableColumn id="72" name="Stĺpec50" totalsRowFunction="custom" dataDxfId="703" totalsRowDxfId="702" dataCellStyle="normálne_Hárok1">
      <totalsRowFormula>SUM(fn411421431[Stĺpec50])</totalsRowFormula>
    </tableColumn>
    <tableColumn id="34" name="Stĺpec51" totalsRowFunction="sum" dataDxfId="701" totalsRowDxfId="700" dataCellStyle="normálne_Hárok1"/>
    <tableColumn id="35" name="Stĺpec52" totalsRowFunction="sum" dataDxfId="699" totalsRowDxfId="698" dataCellStyle="normálne_Hárok1"/>
    <tableColumn id="73" name="Stĺpec53" totalsRowFunction="custom" dataDxfId="697" totalsRowDxfId="696" dataCellStyle="normálne_Hárok1">
      <totalsRowFormula>SUM(fn411421431[Stĺpec53])</totalsRowFormula>
    </tableColumn>
    <tableColumn id="36" name="Stĺpec54" totalsRowFunction="sum" dataDxfId="695" totalsRowDxfId="694" dataCellStyle="normálne_Hárok1"/>
    <tableColumn id="37" name="Stĺpec55" totalsRowFunction="sum" dataDxfId="693" totalsRowDxfId="692" dataCellStyle="normálne_Hárok1"/>
    <tableColumn id="74" name="Stĺpec56" totalsRowFunction="custom" dataDxfId="691" totalsRowDxfId="690" dataCellStyle="normálne_Hárok1">
      <totalsRowFormula>SUM(fn411421431[Stĺpec56])</totalsRowFormula>
    </tableColumn>
    <tableColumn id="38" name="Stĺpec57" totalsRowFunction="sum" dataDxfId="689" totalsRowDxfId="688" dataCellStyle="normálne_Hárok1"/>
    <tableColumn id="39" name="Stĺpec58" totalsRowFunction="sum" dataDxfId="687" totalsRowDxfId="686" dataCellStyle="normálne_Hárok1"/>
    <tableColumn id="75" name="Stĺpec59" totalsRowFunction="custom" dataDxfId="685" totalsRowDxfId="684" dataCellStyle="normálne_Hárok1">
      <totalsRowFormula>SUM(fn411421431[Stĺpec59])</totalsRowFormula>
    </tableColumn>
    <tableColumn id="40" name="Stĺpec60" totalsRowFunction="sum" dataDxfId="683" totalsRowDxfId="682" dataCellStyle="normálne_Hárok1"/>
    <tableColumn id="41" name="Stĺpec61" totalsRowFunction="sum" dataDxfId="681" totalsRowDxfId="680" dataCellStyle="normálne_Hárok1"/>
    <tableColumn id="76" name="Stĺpec62" totalsRowFunction="custom" dataDxfId="679" totalsRowDxfId="678" dataCellStyle="normálne_Hárok1">
      <totalsRowFormula>SUM(fn411421431[Stĺpec62])</totalsRowFormula>
    </tableColumn>
    <tableColumn id="42" name="Stĺpec63" totalsRowFunction="sum" dataDxfId="677" totalsRowDxfId="676" dataCellStyle="normálne_Hárok1"/>
    <tableColumn id="43" name="Stĺpec64" totalsRowFunction="sum" dataDxfId="675" totalsRowDxfId="674" dataCellStyle="normálne_Hárok1"/>
    <tableColumn id="77" name="Stĺpec65" totalsRowFunction="custom" dataDxfId="673" totalsRowDxfId="672" dataCellStyle="normálne_Hárok1">
      <totalsRowFormula>SUM(fn411421431[Stĺpec65])</totalsRowFormula>
    </tableColumn>
    <tableColumn id="44" name="Stĺpec66" totalsRowFunction="sum" dataDxfId="671" totalsRowDxfId="670" dataCellStyle="normálne_Hárok1"/>
    <tableColumn id="45" name="Stĺpec67" totalsRowFunction="sum" dataDxfId="669" totalsRowDxfId="668" dataCellStyle="normálne_Hárok1"/>
    <tableColumn id="78" name="Stĺpec68" totalsRowFunction="custom" dataDxfId="667" totalsRowDxfId="666" dataCellStyle="normálne_Hárok1">
      <totalsRowFormula>SUM(fn411421431[Stĺpec68])</totalsRowFormula>
    </tableColumn>
    <tableColumn id="46" name="Stĺpec69" totalsRowFunction="sum" dataDxfId="665" totalsRowDxfId="664" dataCellStyle="normálne_Hárok1"/>
    <tableColumn id="47" name="Stĺpec70" totalsRowFunction="sum" dataDxfId="663" totalsRowDxfId="662" dataCellStyle="normálne_Hárok1"/>
    <tableColumn id="79" name="Stĺpec71" totalsRowFunction="custom" dataDxfId="661" totalsRowDxfId="660" dataCellStyle="normálne_Hárok1">
      <totalsRowFormula>SUM(fn411421431[Stĺpec71])</totalsRowFormula>
    </tableColumn>
    <tableColumn id="48" name="Stĺpec72" totalsRowFunction="sum" dataDxfId="659" totalsRowDxfId="658" dataCellStyle="normálne_Hárok1"/>
    <tableColumn id="49" name="Stĺpec73" totalsRowFunction="sum" dataDxfId="657" totalsRowDxfId="656" dataCellStyle="normálne_Hárok1"/>
    <tableColumn id="80" name="Stĺpec74" totalsRowFunction="custom" dataDxfId="655" totalsRowDxfId="654" dataCellStyle="normálne_Hárok1">
      <totalsRowFormula>SUM(fn411421431[Stĺpec74])</totalsRowFormula>
    </tableColumn>
    <tableColumn id="50" name="Stĺpec75" totalsRowFunction="sum" dataDxfId="653" totalsRowDxfId="652" dataCellStyle="normálne_Hárok1"/>
    <tableColumn id="51" name="Stĺpec76" totalsRowFunction="sum" dataDxfId="651" totalsRowDxfId="650" dataCellStyle="normálne_Hárok1"/>
    <tableColumn id="81" name="Stĺpec77" totalsRowFunction="custom" dataDxfId="649" totalsRowDxfId="648" dataCellStyle="normálne_Hárok1">
      <totalsRowFormula>SUM(fn411421431[Stĺpec77])</totalsRowFormula>
    </tableColumn>
    <tableColumn id="52" name="Stĺpec78" totalsRowFunction="sum" dataDxfId="647" totalsRowDxfId="646" dataCellStyle="normálne_Hárok1"/>
    <tableColumn id="53" name="Stĺpec79" totalsRowFunction="sum" dataDxfId="645" totalsRowDxfId="644" dataCellStyle="normálne_Hárok1"/>
    <tableColumn id="82" name="Stĺpec80" totalsRowFunction="sum" dataDxfId="643" totalsRowDxfId="642" dataCellStyle="normálne_Hárok1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6" name="zelenadom" displayName="zelenadom" ref="A5:AO8" totalsRowCount="1" headerRowDxfId="641" dataDxfId="639" totalsRowDxfId="637" headerRowBorderDxfId="640" tableBorderDxfId="638" headerRowCellStyle="normálne_Hárok1">
  <autoFilter ref="A5:AO7"/>
  <tableColumns count="41">
    <tableColumn id="1" name="Stĺpec1" dataDxfId="636" totalsRowDxfId="635"/>
    <tableColumn id="2" name="Stĺpec2" dataDxfId="634" totalsRowDxfId="633"/>
    <tableColumn id="3" name="Stĺpec3" dataDxfId="632" totalsRowDxfId="631"/>
    <tableColumn id="4" name="Stĺpec4" dataDxfId="630" totalsRowDxfId="629" dataCellStyle="normálne_Prijímatelia OPZ_280610"/>
    <tableColumn id="5" name="Stĺpec5" dataDxfId="628" totalsRowDxfId="627" dataCellStyle="normálne_Prijímatelia OPZ_280610"/>
    <tableColumn id="6" name="Stĺpec6" dataDxfId="626" totalsRowDxfId="625"/>
    <tableColumn id="7" name="Stĺpec7" dataDxfId="624" totalsRowDxfId="623"/>
    <tableColumn id="31" name="Stĺpec8" totalsRowFunction="sum" dataDxfId="622" totalsRowDxfId="621"/>
    <tableColumn id="30" name="Stĺpec9" totalsRowFunction="sum" dataDxfId="620" totalsRowDxfId="619"/>
    <tableColumn id="29" name="Stĺpec10" totalsRowFunction="sum" dataDxfId="618" totalsRowDxfId="617"/>
    <tableColumn id="28" name="Stĺpec11" totalsRowFunction="sum" dataDxfId="616" totalsRowDxfId="615"/>
    <tableColumn id="8" name="Stĺpec12" totalsRowFunction="sum" dataDxfId="614" totalsRowDxfId="613"/>
    <tableColumn id="9" name="Stĺpec13" totalsRowFunction="sum" dataDxfId="612" totalsRowDxfId="611" dataCellStyle="normálne_Hárok1"/>
    <tableColumn id="32" name="Stĺpec14" totalsRowFunction="custom" dataDxfId="610" totalsRowDxfId="609" dataCellStyle="normálne_Hárok1">
      <totalsRowFormula>SUM(zelenadom[Stĺpec14])</totalsRowFormula>
    </tableColumn>
    <tableColumn id="10" name="Stĺpec15" totalsRowFunction="sum" dataDxfId="608" totalsRowDxfId="607" dataCellStyle="normálne_Hárok1"/>
    <tableColumn id="11" name="Stĺpec16" totalsRowFunction="sum" dataDxfId="606" totalsRowDxfId="605" dataCellStyle="normálne_Hárok1"/>
    <tableColumn id="33" name="Stĺpec17" totalsRowFunction="custom" dataDxfId="604" totalsRowDxfId="603" dataCellStyle="normálne_Hárok1">
      <totalsRowFormula>SUM(zelenadom[[#Headers],[#Data],[Stĺpec17]])</totalsRowFormula>
    </tableColumn>
    <tableColumn id="12" name="Stĺpec18" totalsRowFunction="sum" dataDxfId="602" totalsRowDxfId="601"/>
    <tableColumn id="13" name="Stĺpec19" totalsRowFunction="sum" dataDxfId="600" totalsRowDxfId="599" dataCellStyle="normálne_Hárok1"/>
    <tableColumn id="34" name="Stĺpec20" totalsRowFunction="custom" dataDxfId="598" totalsRowDxfId="597" dataCellStyle="normálne_Hárok1">
      <totalsRowFormula>SUM(zelenadom[Stĺpec20])</totalsRowFormula>
    </tableColumn>
    <tableColumn id="14" name="Stĺpec21" totalsRowFunction="sum" dataDxfId="596" totalsRowDxfId="595" dataCellStyle="normálne_Hárok1"/>
    <tableColumn id="15" name="Stĺpec22" totalsRowFunction="sum" dataDxfId="594" totalsRowDxfId="593" dataCellStyle="normálne_Hárok1"/>
    <tableColumn id="35" name="Stĺpec23" totalsRowFunction="custom" dataDxfId="592" totalsRowDxfId="591" dataCellStyle="normálne_Hárok1">
      <totalsRowFormula>SUM(zelenadom[Stĺpec23])</totalsRowFormula>
    </tableColumn>
    <tableColumn id="16" name="Stĺpec24" totalsRowFunction="sum" dataDxfId="590" totalsRowDxfId="589" dataCellStyle="normálne_Hárok1"/>
    <tableColumn id="17" name="Stĺpec25" totalsRowFunction="sum" dataDxfId="588" totalsRowDxfId="587" dataCellStyle="normálne_Hárok1"/>
    <tableColumn id="36" name="Stĺpec26" totalsRowFunction="custom" dataDxfId="586" totalsRowDxfId="585" dataCellStyle="normálne_Hárok1">
      <totalsRowFormula>SUM(zelenadom[Stĺpec26])</totalsRowFormula>
    </tableColumn>
    <tableColumn id="18" name="Stĺpec27" totalsRowFunction="sum" dataDxfId="584" totalsRowDxfId="583"/>
    <tableColumn id="19" name="Stĺpec28" totalsRowFunction="sum" dataDxfId="582" totalsRowDxfId="581"/>
    <tableColumn id="37" name="Stĺpec29" totalsRowFunction="custom" dataDxfId="580" totalsRowDxfId="579">
      <totalsRowFormula>SUM(zelenadom[Stĺpec29])</totalsRowFormula>
    </tableColumn>
    <tableColumn id="20" name="Stĺpec30" totalsRowFunction="sum" dataDxfId="578" totalsRowDxfId="577"/>
    <tableColumn id="21" name="Stĺpec31" totalsRowFunction="sum" dataDxfId="576" totalsRowDxfId="575"/>
    <tableColumn id="38" name="Stĺpec32" totalsRowFunction="custom" dataDxfId="574" totalsRowDxfId="573">
      <totalsRowFormula>SUM(zelenadom[Stĺpec32])</totalsRowFormula>
    </tableColumn>
    <tableColumn id="22" name="Stĺpec33" totalsRowFunction="sum" dataDxfId="572" totalsRowDxfId="571"/>
    <tableColumn id="23" name="Stĺpec34" totalsRowFunction="sum" dataDxfId="570" totalsRowDxfId="569"/>
    <tableColumn id="39" name="Stĺpec35" totalsRowFunction="custom" dataDxfId="568" totalsRowDxfId="567">
      <totalsRowFormula>SUM(zelenadom[Stĺpec35])</totalsRowFormula>
    </tableColumn>
    <tableColumn id="24" name="Stĺpec36" totalsRowFunction="sum" dataDxfId="566" totalsRowDxfId="565"/>
    <tableColumn id="25" name="Stĺpec37" totalsRowFunction="sum" dataDxfId="564" totalsRowDxfId="563"/>
    <tableColumn id="40" name="Stĺpec38" totalsRowFunction="custom" dataDxfId="562" totalsRowDxfId="561">
      <totalsRowFormula>SUM(zelenadom[Stĺpec38])</totalsRowFormula>
    </tableColumn>
    <tableColumn id="26" name="Stĺpec39" totalsRowFunction="sum" dataDxfId="560" totalsRowDxfId="559"/>
    <tableColumn id="27" name="Stĺpec40" totalsRowFunction="sum" dataDxfId="558" totalsRowDxfId="557"/>
    <tableColumn id="41" name="Stĺpec41" totalsRowFunction="custom" dataDxfId="556" totalsRowDxfId="555">
      <totalsRowFormula>SUM(AO6:AO7)</totalsRowFormula>
    </tableColumn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4" name="fn41142143125" displayName="fn41142143125" ref="A5:CC7" totalsRowCount="1" headerRowDxfId="554" dataDxfId="552" headerRowBorderDxfId="553" tableBorderDxfId="551" totalsRowBorderDxfId="550" headerRowCellStyle="normálne_Hárok1" dataCellStyle="normálne_Hárok1">
  <autoFilter ref="A5:CC6"/>
  <tableColumns count="81">
    <tableColumn id="1" name="Stĺpec1" dataDxfId="549" totalsRowDxfId="548"/>
    <tableColumn id="2" name="Stĺpec2" dataDxfId="547" totalsRowDxfId="546"/>
    <tableColumn id="58" name="Stĺpec210" dataDxfId="545" totalsRowDxfId="544"/>
    <tableColumn id="3" name="Stĺpec3" dataDxfId="543" totalsRowDxfId="542" dataCellStyle="normálne_Prijímatelia OPZ_280610"/>
    <tableColumn id="4" name="Stĺpec4" dataDxfId="541" totalsRowDxfId="540" dataCellStyle="normálne_Prijímatelia OPZ_280610"/>
    <tableColumn id="5" name="Stĺpec5" dataDxfId="539" totalsRowDxfId="538" dataCellStyle="normálne_Prijímatelia OPZ_280610"/>
    <tableColumn id="6" name="Stĺpec6" dataDxfId="537" totalsRowDxfId="536" dataCellStyle="normálne_Prijímatelia OPZ_280610"/>
    <tableColumn id="7" name="Stĺpec7" dataDxfId="535" totalsRowDxfId="534" dataCellStyle="normálne_Prijímatelia OPZ_280610"/>
    <tableColumn id="57" name="Stĺpec8" totalsRowFunction="sum" dataDxfId="533" totalsRowDxfId="532" dataCellStyle="normálne_Prijímatelia OPZ_280610"/>
    <tableColumn id="56" name="Stĺpec9" totalsRowFunction="sum" dataDxfId="531" totalsRowDxfId="530" dataCellStyle="normálne_Prijímatelia OPZ_280610"/>
    <tableColumn id="55" name="Stĺpec10" totalsRowFunction="sum" dataDxfId="529" totalsRowDxfId="528" dataCellStyle="normálne_Prijímatelia OPZ_280610"/>
    <tableColumn id="54" name="Stĺpec11" totalsRowFunction="sum" dataDxfId="527" totalsRowDxfId="526" dataCellStyle="normálne_Prijímatelia OPZ_280610"/>
    <tableColumn id="8" name="Stĺpec12" totalsRowFunction="sum" dataDxfId="525" totalsRowDxfId="524" dataCellStyle="normálne_Hárok1"/>
    <tableColumn id="9" name="Stĺpec13" totalsRowFunction="sum" dataDxfId="523" totalsRowDxfId="522" dataCellStyle="normálne_Hárok1"/>
    <tableColumn id="59" name="Stĺpec14" totalsRowFunction="custom" dataDxfId="521" totalsRowDxfId="520" dataCellStyle="normálne_Hárok1">
      <totalsRowFormula>SUM(fn41142143125[Stĺpec14])</totalsRowFormula>
    </tableColumn>
    <tableColumn id="10" name="Stĺpec15" totalsRowFunction="sum" dataDxfId="519" totalsRowDxfId="518" dataCellStyle="normálne_Hárok1"/>
    <tableColumn id="11" name="Stĺpec16" totalsRowFunction="sum" dataDxfId="517" totalsRowDxfId="516" dataCellStyle="normálne_Hárok1"/>
    <tableColumn id="60" name="Stĺpec17" totalsRowFunction="custom" dataDxfId="515" totalsRowDxfId="514" dataCellStyle="normálne_Hárok1">
      <totalsRowFormula>SUM(fn41142143125[Stĺpec17])</totalsRowFormula>
    </tableColumn>
    <tableColumn id="12" name="Stĺpec18" totalsRowFunction="sum" dataDxfId="513" totalsRowDxfId="512" dataCellStyle="normálne_Hárok1"/>
    <tableColumn id="13" name="Stĺpec19" totalsRowFunction="sum" dataDxfId="511" totalsRowDxfId="510" dataCellStyle="normálne_Hárok1"/>
    <tableColumn id="62" name="Stĺpec20" totalsRowFunction="custom" dataDxfId="509" totalsRowDxfId="508" dataCellStyle="normálne_Hárok1">
      <totalsRowFormula>SUM(fn41142143125[Stĺpec20])</totalsRowFormula>
    </tableColumn>
    <tableColumn id="14" name="Stĺpec21" totalsRowFunction="sum" dataDxfId="507" totalsRowDxfId="506" dataCellStyle="normálne_Hárok1"/>
    <tableColumn id="15" name="Stĺpec22" totalsRowFunction="sum" dataDxfId="505" totalsRowDxfId="504" dataCellStyle="normálne_Hárok1"/>
    <tableColumn id="63" name="Stĺpec23" totalsRowFunction="custom" dataDxfId="503" totalsRowDxfId="502" dataCellStyle="normálne_Hárok1">
      <totalsRowFormula>SUM(fn41142143125[Stĺpec23])</totalsRowFormula>
    </tableColumn>
    <tableColumn id="16" name="Stĺpec24" totalsRowFunction="sum" dataDxfId="501" totalsRowDxfId="500" dataCellStyle="normálne_Hárok1"/>
    <tableColumn id="17" name="Stĺpec25" totalsRowFunction="sum" dataDxfId="499" totalsRowDxfId="498" dataCellStyle="normálne_Hárok1"/>
    <tableColumn id="64" name="Stĺpec26" totalsRowFunction="custom" dataDxfId="497" totalsRowDxfId="496" dataCellStyle="normálne_Hárok1">
      <totalsRowFormula>SUM(fn41142143125[Stĺpec26])</totalsRowFormula>
    </tableColumn>
    <tableColumn id="18" name="Stĺpec27" totalsRowFunction="sum" dataDxfId="495" totalsRowDxfId="494" dataCellStyle="normálne_Hárok1"/>
    <tableColumn id="19" name="Stĺpec28" totalsRowFunction="sum" dataDxfId="493" totalsRowDxfId="492" dataCellStyle="normálne_Hárok1"/>
    <tableColumn id="65" name="Stĺpec29" totalsRowFunction="custom" dataDxfId="491" totalsRowDxfId="490" dataCellStyle="normálne_Hárok1">
      <totalsRowFormula>SUM(fn41142143125[Stĺpec29])</totalsRowFormula>
    </tableColumn>
    <tableColumn id="20" name="Stĺpec30" totalsRowFunction="sum" dataDxfId="489" totalsRowDxfId="488" dataCellStyle="normálne_Hárok1"/>
    <tableColumn id="21" name="Stĺpec31" totalsRowFunction="sum" dataDxfId="487" totalsRowDxfId="486" dataCellStyle="normálne_Hárok1"/>
    <tableColumn id="66" name="Stĺpec32" totalsRowFunction="custom" dataDxfId="485" totalsRowDxfId="484" dataCellStyle="normálne_Hárok1">
      <totalsRowFormula>SUM(fn41142143125[Stĺpec32])</totalsRowFormula>
    </tableColumn>
    <tableColumn id="22" name="Stĺpec33" totalsRowFunction="sum" dataDxfId="483" totalsRowDxfId="482" dataCellStyle="normálne_Hárok1"/>
    <tableColumn id="23" name="Stĺpec34" totalsRowFunction="sum" dataDxfId="481" totalsRowDxfId="480" dataCellStyle="normálne_Hárok1"/>
    <tableColumn id="67" name="Stĺpec35" totalsRowFunction="custom" dataDxfId="479" totalsRowDxfId="478" dataCellStyle="normálne_Hárok1">
      <totalsRowFormula>SUM(fn41142143125[Stĺpec35])</totalsRowFormula>
    </tableColumn>
    <tableColumn id="24" name="Stĺpec36" totalsRowFunction="sum" dataDxfId="477" totalsRowDxfId="476" dataCellStyle="normálne_Hárok1"/>
    <tableColumn id="25" name="Stĺpec37" totalsRowFunction="sum" dataDxfId="475" totalsRowDxfId="474" dataCellStyle="normálne_Hárok1"/>
    <tableColumn id="68" name="Stĺpec38" totalsRowFunction="custom" dataDxfId="473" totalsRowDxfId="472" dataCellStyle="normálne_Hárok1">
      <totalsRowFormula>SUM(fn41142143125[Stĺpec38])</totalsRowFormula>
    </tableColumn>
    <tableColumn id="26" name="Stĺpec39" totalsRowFunction="sum" dataDxfId="471" totalsRowDxfId="470" dataCellStyle="normálne_Hárok1"/>
    <tableColumn id="27" name="Stĺpec40" totalsRowFunction="sum" dataDxfId="469" totalsRowDxfId="468" dataCellStyle="normálne_Hárok1"/>
    <tableColumn id="69" name="Stĺpec41" totalsRowFunction="custom" dataDxfId="467" totalsRowDxfId="466" dataCellStyle="normálne_Hárok1">
      <totalsRowFormula>SUM(fn41142143125[Stĺpec41])</totalsRowFormula>
    </tableColumn>
    <tableColumn id="28" name="Stĺpec42" totalsRowFunction="sum" dataDxfId="465" totalsRowDxfId="464" dataCellStyle="normálne_Hárok1"/>
    <tableColumn id="29" name="Stĺpec43" totalsRowFunction="sum" dataDxfId="463" totalsRowDxfId="462" dataCellStyle="normálne_Hárok1"/>
    <tableColumn id="70" name="Stĺpec44" totalsRowFunction="custom" dataDxfId="461" totalsRowDxfId="460" dataCellStyle="normálne_Hárok1">
      <totalsRowFormula>SUM(fn41142143125[Stĺpec44])</totalsRowFormula>
    </tableColumn>
    <tableColumn id="30" name="Stĺpec45" totalsRowFunction="sum" dataDxfId="459" totalsRowDxfId="458" dataCellStyle="normálne_Hárok1"/>
    <tableColumn id="31" name="Stĺpec46" totalsRowFunction="sum" dataDxfId="457" totalsRowDxfId="456" dataCellStyle="normálne_Hárok1"/>
    <tableColumn id="71" name="Stĺpec47" totalsRowFunction="custom" dataDxfId="455" totalsRowDxfId="454" dataCellStyle="normálne_Hárok1">
      <totalsRowFormula>SUM(fn41142143125[Stĺpec47])</totalsRowFormula>
    </tableColumn>
    <tableColumn id="32" name="Stĺpec48" totalsRowFunction="sum" dataDxfId="453" totalsRowDxfId="452" dataCellStyle="normálne_Hárok1"/>
    <tableColumn id="33" name="Stĺpec49" totalsRowFunction="sum" dataDxfId="451" totalsRowDxfId="450" dataCellStyle="normálne_Hárok1"/>
    <tableColumn id="72" name="Stĺpec50" totalsRowFunction="custom" dataDxfId="449" totalsRowDxfId="448" dataCellStyle="normálne_Hárok1">
      <totalsRowFormula>SUM(fn41142143125[Stĺpec50])</totalsRowFormula>
    </tableColumn>
    <tableColumn id="34" name="Stĺpec51" totalsRowFunction="sum" dataDxfId="447" totalsRowDxfId="446" dataCellStyle="normálne_Hárok1"/>
    <tableColumn id="35" name="Stĺpec52" totalsRowFunction="sum" dataDxfId="445" totalsRowDxfId="444" dataCellStyle="normálne_Hárok1"/>
    <tableColumn id="73" name="Stĺpec53" totalsRowFunction="custom" dataDxfId="443" totalsRowDxfId="442" dataCellStyle="normálne_Hárok1">
      <totalsRowFormula>SUM(fn41142143125[Stĺpec53])</totalsRowFormula>
    </tableColumn>
    <tableColumn id="36" name="Stĺpec54" totalsRowFunction="sum" dataDxfId="441" totalsRowDxfId="440" dataCellStyle="normálne_Hárok1"/>
    <tableColumn id="37" name="Stĺpec55" totalsRowFunction="sum" dataDxfId="439" totalsRowDxfId="438" dataCellStyle="normálne_Hárok1"/>
    <tableColumn id="74" name="Stĺpec56" totalsRowFunction="custom" dataDxfId="437" totalsRowDxfId="436" dataCellStyle="normálne_Hárok1">
      <totalsRowFormula>SUM(fn41142143125[Stĺpec56])</totalsRowFormula>
    </tableColumn>
    <tableColumn id="38" name="Stĺpec57" totalsRowFunction="sum" dataDxfId="435" totalsRowDxfId="434" dataCellStyle="normálne_Hárok1"/>
    <tableColumn id="39" name="Stĺpec58" totalsRowFunction="sum" dataDxfId="433" totalsRowDxfId="432" dataCellStyle="normálne_Hárok1"/>
    <tableColumn id="75" name="Stĺpec59" totalsRowFunction="custom" dataDxfId="431" totalsRowDxfId="430" dataCellStyle="normálne_Hárok1">
      <totalsRowFormula>SUM(fn41142143125[Stĺpec59])</totalsRowFormula>
    </tableColumn>
    <tableColumn id="40" name="Stĺpec60" totalsRowFunction="sum" dataDxfId="429" totalsRowDxfId="428" dataCellStyle="normálne_Hárok1"/>
    <tableColumn id="41" name="Stĺpec61" totalsRowFunction="sum" dataDxfId="427" totalsRowDxfId="426" dataCellStyle="normálne_Hárok1"/>
    <tableColumn id="76" name="Stĺpec62" totalsRowFunction="custom" dataDxfId="425" totalsRowDxfId="424" dataCellStyle="normálne_Hárok1">
      <totalsRowFormula>SUM(fn41142143125[Stĺpec62])</totalsRowFormula>
    </tableColumn>
    <tableColumn id="42" name="Stĺpec63" totalsRowFunction="sum" dataDxfId="423" totalsRowDxfId="422" dataCellStyle="normálne_Hárok1"/>
    <tableColumn id="43" name="Stĺpec64" totalsRowFunction="sum" dataDxfId="421" totalsRowDxfId="420" dataCellStyle="normálne_Hárok1"/>
    <tableColumn id="77" name="Stĺpec65" totalsRowFunction="custom" dataDxfId="419" totalsRowDxfId="418" dataCellStyle="normálne_Hárok1">
      <totalsRowFormula>SUM(fn41142143125[Stĺpec65])</totalsRowFormula>
    </tableColumn>
    <tableColumn id="44" name="Stĺpec66" totalsRowFunction="sum" dataDxfId="417" totalsRowDxfId="416" dataCellStyle="normálne_Hárok1"/>
    <tableColumn id="45" name="Stĺpec67" totalsRowFunction="sum" dataDxfId="415" totalsRowDxfId="414" dataCellStyle="normálne_Hárok1"/>
    <tableColumn id="78" name="Stĺpec68" totalsRowFunction="custom" dataDxfId="413" totalsRowDxfId="412" dataCellStyle="normálne_Hárok1">
      <totalsRowFormula>SUM(fn41142143125[Stĺpec68])</totalsRowFormula>
    </tableColumn>
    <tableColumn id="46" name="Stĺpec69" totalsRowFunction="sum" dataDxfId="411" totalsRowDxfId="410" dataCellStyle="normálne_Hárok1"/>
    <tableColumn id="47" name="Stĺpec70" totalsRowFunction="sum" dataDxfId="409" totalsRowDxfId="408" dataCellStyle="normálne_Hárok1"/>
    <tableColumn id="79" name="Stĺpec71" totalsRowFunction="custom" dataDxfId="407" totalsRowDxfId="406" dataCellStyle="normálne_Hárok1">
      <totalsRowFormula>SUM(fn41142143125[Stĺpec71])</totalsRowFormula>
    </tableColumn>
    <tableColumn id="48" name="Stĺpec72" totalsRowFunction="sum" dataDxfId="405" totalsRowDxfId="404" dataCellStyle="normálne_Hárok1"/>
    <tableColumn id="49" name="Stĺpec73" totalsRowFunction="sum" dataDxfId="403" totalsRowDxfId="402" dataCellStyle="normálne_Hárok1"/>
    <tableColumn id="80" name="Stĺpec74" totalsRowFunction="custom" dataDxfId="401" totalsRowDxfId="400" dataCellStyle="normálne_Hárok1">
      <totalsRowFormula>SUM(fn41142143125[Stĺpec74])</totalsRowFormula>
    </tableColumn>
    <tableColumn id="50" name="Stĺpec75" totalsRowFunction="sum" dataDxfId="399" totalsRowDxfId="398" dataCellStyle="normálne_Hárok1"/>
    <tableColumn id="51" name="Stĺpec76" totalsRowFunction="sum" dataDxfId="397" totalsRowDxfId="396" dataCellStyle="normálne_Hárok1"/>
    <tableColumn id="81" name="Stĺpec77" totalsRowFunction="custom" dataDxfId="395" totalsRowDxfId="394" dataCellStyle="normálne_Hárok1">
      <totalsRowFormula>SUM(fn41142143125[Stĺpec77])</totalsRowFormula>
    </tableColumn>
    <tableColumn id="52" name="Stĺpec78" totalsRowFunction="sum" dataDxfId="393" totalsRowDxfId="392" dataCellStyle="normálne_Hárok1"/>
    <tableColumn id="53" name="Stĺpec79" totalsRowFunction="sum" dataDxfId="391" totalsRowDxfId="390" dataCellStyle="normálne_Hárok1"/>
    <tableColumn id="82" name="Stĺpec80" totalsRowFunction="sum" dataDxfId="389" totalsRowDxfId="388" dataCellStyle="normálne_Hárok1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1" name="fn4114214312" displayName="fn4114214312" ref="A5:CC7" totalsRowCount="1" headerRowDxfId="387" dataDxfId="385" headerRowBorderDxfId="386" tableBorderDxfId="384" totalsRowBorderDxfId="383" headerRowCellStyle="normálne_Hárok1" dataCellStyle="normálne_Hárok1">
  <autoFilter ref="A5:CC6"/>
  <tableColumns count="81">
    <tableColumn id="1" name="Stĺpec1" dataDxfId="382" totalsRowDxfId="381"/>
    <tableColumn id="2" name="Stĺpec2" dataDxfId="380" totalsRowDxfId="379"/>
    <tableColumn id="58" name="Stĺpec210" dataDxfId="378" totalsRowDxfId="377"/>
    <tableColumn id="3" name="Stĺpec3" dataDxfId="376" totalsRowDxfId="375" dataCellStyle="normálne_Prijímatelia OPZ_280610"/>
    <tableColumn id="4" name="Stĺpec4" dataDxfId="374" totalsRowDxfId="373" dataCellStyle="normálne_Prijímatelia OPZ_280610"/>
    <tableColumn id="5" name="Stĺpec5" dataDxfId="372" totalsRowDxfId="371" dataCellStyle="normálne_Prijímatelia OPZ_280610"/>
    <tableColumn id="6" name="Stĺpec6" dataDxfId="370" totalsRowDxfId="369" dataCellStyle="normálne_Prijímatelia OPZ_280610"/>
    <tableColumn id="7" name="Stĺpec7" dataDxfId="368" totalsRowDxfId="367" dataCellStyle="normálne_Prijímatelia OPZ_280610"/>
    <tableColumn id="57" name="Stĺpec8" totalsRowFunction="sum" dataDxfId="366" totalsRowDxfId="365" dataCellStyle="normálne_Prijímatelia OPZ_280610"/>
    <tableColumn id="56" name="Stĺpec9" totalsRowFunction="sum" dataDxfId="364" totalsRowDxfId="363" dataCellStyle="normálne_Prijímatelia OPZ_280610"/>
    <tableColumn id="55" name="Stĺpec10" totalsRowFunction="sum" dataDxfId="362" totalsRowDxfId="361" dataCellStyle="normálne_Prijímatelia OPZ_280610"/>
    <tableColumn id="54" name="Stĺpec11" totalsRowFunction="sum" dataDxfId="360" totalsRowDxfId="359" dataCellStyle="normálne_Prijímatelia OPZ_280610"/>
    <tableColumn id="8" name="Stĺpec12" totalsRowFunction="sum" dataDxfId="358" totalsRowDxfId="357" dataCellStyle="normálne_Hárok1"/>
    <tableColumn id="9" name="Stĺpec13" totalsRowFunction="sum" dataDxfId="356" totalsRowDxfId="355" dataCellStyle="normálne_Hárok1"/>
    <tableColumn id="59" name="Stĺpec14" totalsRowFunction="custom" dataDxfId="354" totalsRowDxfId="353" dataCellStyle="normálne_Hárok1">
      <totalsRowFormula>SUM(fn4114214312[Stĺpec14])</totalsRowFormula>
    </tableColumn>
    <tableColumn id="10" name="Stĺpec15" totalsRowFunction="sum" dataDxfId="352" totalsRowDxfId="351" dataCellStyle="normálne_Hárok1"/>
    <tableColumn id="11" name="Stĺpec16" totalsRowFunction="sum" dataDxfId="350" totalsRowDxfId="349" dataCellStyle="normálne_Hárok1"/>
    <tableColumn id="60" name="Stĺpec17" totalsRowFunction="custom" dataDxfId="348" totalsRowDxfId="347" dataCellStyle="normálne_Hárok1">
      <totalsRowFormula>SUM(fn4114214312[Stĺpec17])</totalsRowFormula>
    </tableColumn>
    <tableColumn id="12" name="Stĺpec18" totalsRowFunction="sum" dataDxfId="346" totalsRowDxfId="345" dataCellStyle="normálne_Hárok1"/>
    <tableColumn id="13" name="Stĺpec19" totalsRowFunction="sum" dataDxfId="344" totalsRowDxfId="343" dataCellStyle="normálne_Hárok1"/>
    <tableColumn id="62" name="Stĺpec20" totalsRowFunction="custom" dataDxfId="342" totalsRowDxfId="341" dataCellStyle="normálne_Hárok1">
      <totalsRowFormula>SUM(fn4114214312[Stĺpec20])</totalsRowFormula>
    </tableColumn>
    <tableColumn id="14" name="Stĺpec21" totalsRowFunction="sum" dataDxfId="340" totalsRowDxfId="339" dataCellStyle="normálne_Hárok1"/>
    <tableColumn id="15" name="Stĺpec22" totalsRowFunction="sum" dataDxfId="338" totalsRowDxfId="337" dataCellStyle="normálne_Hárok1"/>
    <tableColumn id="63" name="Stĺpec23" totalsRowFunction="custom" dataDxfId="336" totalsRowDxfId="335" dataCellStyle="normálne_Hárok1">
      <totalsRowFormula>SUM(fn4114214312[Stĺpec23])</totalsRowFormula>
    </tableColumn>
    <tableColumn id="16" name="Stĺpec24" totalsRowFunction="sum" dataDxfId="334" totalsRowDxfId="333" dataCellStyle="normálne_Hárok1"/>
    <tableColumn id="17" name="Stĺpec25" totalsRowFunction="sum" dataDxfId="332" totalsRowDxfId="331" dataCellStyle="normálne_Hárok1"/>
    <tableColumn id="64" name="Stĺpec26" totalsRowFunction="custom" dataDxfId="330" totalsRowDxfId="329" dataCellStyle="normálne_Hárok1">
      <totalsRowFormula>SUM(fn4114214312[Stĺpec26])</totalsRowFormula>
    </tableColumn>
    <tableColumn id="18" name="Stĺpec27" totalsRowFunction="sum" dataDxfId="328" totalsRowDxfId="327" dataCellStyle="normálne_Hárok1"/>
    <tableColumn id="19" name="Stĺpec28" totalsRowFunction="sum" dataDxfId="326" totalsRowDxfId="325" dataCellStyle="normálne_Hárok1"/>
    <tableColumn id="65" name="Stĺpec29" totalsRowFunction="custom" dataDxfId="324" totalsRowDxfId="323" dataCellStyle="normálne_Hárok1">
      <totalsRowFormula>SUM(fn4114214312[Stĺpec29])</totalsRowFormula>
    </tableColumn>
    <tableColumn id="20" name="Stĺpec30" totalsRowFunction="sum" dataDxfId="322" totalsRowDxfId="321" dataCellStyle="normálne_Hárok1"/>
    <tableColumn id="21" name="Stĺpec31" totalsRowFunction="sum" dataDxfId="320" totalsRowDxfId="319" dataCellStyle="normálne_Hárok1"/>
    <tableColumn id="66" name="Stĺpec32" totalsRowFunction="custom" dataDxfId="318" totalsRowDxfId="317" dataCellStyle="normálne_Hárok1">
      <totalsRowFormula>SUM(fn4114214312[Stĺpec32])</totalsRowFormula>
    </tableColumn>
    <tableColumn id="22" name="Stĺpec33" totalsRowFunction="sum" dataDxfId="316" totalsRowDxfId="315" dataCellStyle="normálne_Hárok1"/>
    <tableColumn id="23" name="Stĺpec34" totalsRowFunction="sum" dataDxfId="314" totalsRowDxfId="313" dataCellStyle="normálne_Hárok1"/>
    <tableColumn id="67" name="Stĺpec35" totalsRowFunction="custom" dataDxfId="312" totalsRowDxfId="311" dataCellStyle="normálne_Hárok1">
      <totalsRowFormula>SUM(fn4114214312[Stĺpec35])</totalsRowFormula>
    </tableColumn>
    <tableColumn id="24" name="Stĺpec36" totalsRowFunction="sum" dataDxfId="310" totalsRowDxfId="309" dataCellStyle="normálne_Hárok1"/>
    <tableColumn id="25" name="Stĺpec37" totalsRowFunction="sum" dataDxfId="308" totalsRowDxfId="307" dataCellStyle="normálne_Hárok1"/>
    <tableColumn id="68" name="Stĺpec38" totalsRowFunction="custom" dataDxfId="306" totalsRowDxfId="305" dataCellStyle="normálne_Hárok1">
      <totalsRowFormula>SUM(fn4114214312[Stĺpec38])</totalsRowFormula>
    </tableColumn>
    <tableColumn id="26" name="Stĺpec39" totalsRowFunction="sum" dataDxfId="304" totalsRowDxfId="303" dataCellStyle="normálne_Hárok1"/>
    <tableColumn id="27" name="Stĺpec40" totalsRowFunction="sum" dataDxfId="302" totalsRowDxfId="301" dataCellStyle="normálne_Hárok1"/>
    <tableColumn id="69" name="Stĺpec41" totalsRowFunction="custom" dataDxfId="300" totalsRowDxfId="299" dataCellStyle="normálne_Hárok1">
      <totalsRowFormula>SUM(fn4114214312[Stĺpec41])</totalsRowFormula>
    </tableColumn>
    <tableColumn id="28" name="Stĺpec42" totalsRowFunction="sum" dataDxfId="298" totalsRowDxfId="297" dataCellStyle="normálne_Hárok1"/>
    <tableColumn id="29" name="Stĺpec43" totalsRowFunction="sum" dataDxfId="296" totalsRowDxfId="295" dataCellStyle="normálne_Hárok1"/>
    <tableColumn id="70" name="Stĺpec44" totalsRowFunction="custom" dataDxfId="294" totalsRowDxfId="293" dataCellStyle="normálne_Hárok1">
      <totalsRowFormula>SUM(fn4114214312[Stĺpec44])</totalsRowFormula>
    </tableColumn>
    <tableColumn id="30" name="Stĺpec45" totalsRowFunction="sum" dataDxfId="292" totalsRowDxfId="291" dataCellStyle="normálne_Hárok1"/>
    <tableColumn id="31" name="Stĺpec46" totalsRowFunction="sum" dataDxfId="290" totalsRowDxfId="289" dataCellStyle="normálne_Hárok1"/>
    <tableColumn id="71" name="Stĺpec47" totalsRowFunction="custom" dataDxfId="288" totalsRowDxfId="287" dataCellStyle="normálne_Hárok1">
      <totalsRowFormula>SUM(fn4114214312[Stĺpec47])</totalsRowFormula>
    </tableColumn>
    <tableColumn id="32" name="Stĺpec48" totalsRowFunction="sum" dataDxfId="286" totalsRowDxfId="285" dataCellStyle="normálne_Hárok1"/>
    <tableColumn id="33" name="Stĺpec49" totalsRowFunction="sum" dataDxfId="284" totalsRowDxfId="283" dataCellStyle="normálne_Hárok1"/>
    <tableColumn id="72" name="Stĺpec50" totalsRowFunction="custom" dataDxfId="282" totalsRowDxfId="281" dataCellStyle="normálne_Hárok1">
      <totalsRowFormula>SUM(fn4114214312[Stĺpec50])</totalsRowFormula>
    </tableColumn>
    <tableColumn id="34" name="Stĺpec51" totalsRowFunction="sum" dataDxfId="280" totalsRowDxfId="279" dataCellStyle="normálne_Hárok1"/>
    <tableColumn id="35" name="Stĺpec52" totalsRowFunction="sum" dataDxfId="278" totalsRowDxfId="277" dataCellStyle="normálne_Hárok1"/>
    <tableColumn id="73" name="Stĺpec53" totalsRowFunction="custom" dataDxfId="276" totalsRowDxfId="275" dataCellStyle="normálne_Hárok1">
      <totalsRowFormula>SUM(fn4114214312[Stĺpec53])</totalsRowFormula>
    </tableColumn>
    <tableColumn id="36" name="Stĺpec54" totalsRowFunction="sum" dataDxfId="274" totalsRowDxfId="273" dataCellStyle="normálne_Hárok1"/>
    <tableColumn id="37" name="Stĺpec55" totalsRowFunction="sum" dataDxfId="272" totalsRowDxfId="271" dataCellStyle="normálne_Hárok1"/>
    <tableColumn id="74" name="Stĺpec56" totalsRowFunction="custom" dataDxfId="270" totalsRowDxfId="269" dataCellStyle="normálne_Hárok1">
      <totalsRowFormula>SUM(fn4114214312[Stĺpec56])</totalsRowFormula>
    </tableColumn>
    <tableColumn id="38" name="Stĺpec57" totalsRowFunction="sum" dataDxfId="268" totalsRowDxfId="267" dataCellStyle="normálne_Hárok1"/>
    <tableColumn id="39" name="Stĺpec58" totalsRowFunction="sum" dataDxfId="266" totalsRowDxfId="265" dataCellStyle="normálne_Hárok1"/>
    <tableColumn id="75" name="Stĺpec59" totalsRowFunction="custom" dataDxfId="264" totalsRowDxfId="263" dataCellStyle="normálne_Hárok1">
      <totalsRowFormula>SUM(fn4114214312[Stĺpec59])</totalsRowFormula>
    </tableColumn>
    <tableColumn id="40" name="Stĺpec60" totalsRowFunction="sum" dataDxfId="262" totalsRowDxfId="261" dataCellStyle="normálne_Hárok1"/>
    <tableColumn id="41" name="Stĺpec61" totalsRowFunction="sum" dataDxfId="260" totalsRowDxfId="259" dataCellStyle="normálne_Hárok1"/>
    <tableColumn id="76" name="Stĺpec62" totalsRowFunction="custom" dataDxfId="258" totalsRowDxfId="257" dataCellStyle="normálne_Hárok1">
      <totalsRowFormula>SUM(fn4114214312[Stĺpec62])</totalsRowFormula>
    </tableColumn>
    <tableColumn id="42" name="Stĺpec63" totalsRowFunction="sum" dataDxfId="256" totalsRowDxfId="255" dataCellStyle="normálne_Hárok1"/>
    <tableColumn id="43" name="Stĺpec64" totalsRowFunction="sum" dataDxfId="254" totalsRowDxfId="253" dataCellStyle="normálne_Hárok1"/>
    <tableColumn id="77" name="Stĺpec65" totalsRowFunction="custom" dataDxfId="252" totalsRowDxfId="251" dataCellStyle="normálne_Hárok1">
      <totalsRowFormula>SUM(fn4114214312[Stĺpec65])</totalsRowFormula>
    </tableColumn>
    <tableColumn id="44" name="Stĺpec66" totalsRowFunction="sum" dataDxfId="250" totalsRowDxfId="249" dataCellStyle="normálne_Hárok1"/>
    <tableColumn id="45" name="Stĺpec67" totalsRowFunction="sum" dataDxfId="248" totalsRowDxfId="247" dataCellStyle="normálne_Hárok1"/>
    <tableColumn id="78" name="Stĺpec68" totalsRowFunction="custom" dataDxfId="246" totalsRowDxfId="245" dataCellStyle="normálne_Hárok1">
      <totalsRowFormula>SUM(fn4114214312[Stĺpec68])</totalsRowFormula>
    </tableColumn>
    <tableColumn id="46" name="Stĺpec69" totalsRowFunction="sum" dataDxfId="244" totalsRowDxfId="243" dataCellStyle="normálne_Hárok1"/>
    <tableColumn id="47" name="Stĺpec70" totalsRowFunction="sum" dataDxfId="242" totalsRowDxfId="241" dataCellStyle="normálne_Hárok1"/>
    <tableColumn id="79" name="Stĺpec71" totalsRowFunction="custom" dataDxfId="240" totalsRowDxfId="239" dataCellStyle="normálne_Hárok1">
      <totalsRowFormula>SUM(fn4114214312[Stĺpec71])</totalsRowFormula>
    </tableColumn>
    <tableColumn id="48" name="Stĺpec72" totalsRowFunction="sum" dataDxfId="238" totalsRowDxfId="237" dataCellStyle="normálne_Hárok1"/>
    <tableColumn id="49" name="Stĺpec73" totalsRowFunction="sum" dataDxfId="236" totalsRowDxfId="235" dataCellStyle="normálne_Hárok1"/>
    <tableColumn id="80" name="Stĺpec74" totalsRowFunction="custom" dataDxfId="234" totalsRowDxfId="233" dataCellStyle="normálne_Hárok1">
      <totalsRowFormula>SUM(fn4114214312[Stĺpec74])</totalsRowFormula>
    </tableColumn>
    <tableColumn id="50" name="Stĺpec75" totalsRowFunction="sum" dataDxfId="232" totalsRowDxfId="231" dataCellStyle="normálne_Hárok1"/>
    <tableColumn id="51" name="Stĺpec76" totalsRowFunction="sum" dataDxfId="230" totalsRowDxfId="229" dataCellStyle="normálne_Hárok1"/>
    <tableColumn id="81" name="Stĺpec77" totalsRowFunction="custom" dataDxfId="228" totalsRowDxfId="227" dataCellStyle="normálne_Hárok1">
      <totalsRowFormula>SUM(fn4114214312[Stĺpec77])</totalsRowFormula>
    </tableColumn>
    <tableColumn id="52" name="Stĺpec78" totalsRowFunction="sum" dataDxfId="226" totalsRowDxfId="225" dataCellStyle="normálne_Hárok1"/>
    <tableColumn id="53" name="Stĺpec79" totalsRowFunction="sum" dataDxfId="224" totalsRowDxfId="223" dataCellStyle="normálne_Hárok1"/>
    <tableColumn id="82" name="Stĺpec80" totalsRowFunction="sum" dataDxfId="222" totalsRowDxfId="221" dataCellStyle="normálne_Hárok1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id="5" name="projekty" displayName="projekty" ref="A5:BJ90" totalsRowCount="1" headerRowDxfId="220" dataDxfId="218" headerRowBorderDxfId="219" tableBorderDxfId="217" totalsRowBorderDxfId="216">
  <autoFilter ref="A5:BJ89"/>
  <sortState ref="A6:AT89">
    <sortCondition ref="G5:G89"/>
  </sortState>
  <tableColumns count="62">
    <tableColumn id="1" name="Stĺpec1" dataDxfId="215" totalsRowDxfId="214"/>
    <tableColumn id="2" name="Stĺpec2" dataDxfId="213" totalsRowDxfId="212"/>
    <tableColumn id="3" name="Stĺpec3" dataDxfId="211" totalsRowDxfId="210" dataCellStyle="normálne_Prijímatelia OPZ_280610"/>
    <tableColumn id="4" name="Stĺpec4" dataDxfId="209" totalsRowDxfId="208" dataCellStyle="normálne_Prijímatelia OPZ_280610"/>
    <tableColumn id="5" name="Stĺpec5" dataDxfId="207" totalsRowDxfId="206" dataCellStyle="normálne_Prijímatelia OPZ_280610"/>
    <tableColumn id="6" name="Stĺpec6" dataDxfId="205" totalsRowDxfId="204" dataCellStyle="normálne_Prijímatelia OPZ_280610"/>
    <tableColumn id="7" name="Stĺpec7" dataDxfId="203" totalsRowDxfId="202" dataCellStyle="normálne_Prijímatelia OPZ_280610"/>
    <tableColumn id="45" name="Stĺpec8" dataDxfId="201" totalsRowDxfId="200" dataCellStyle="normálne_Prijímatelia OPZ_280610"/>
    <tableColumn id="44" name="Stĺpec9" totalsRowFunction="sum" dataDxfId="199" totalsRowDxfId="198" dataCellStyle="normálne_Prijímatelia OPZ_280610"/>
    <tableColumn id="42" name="Stĺpec10" totalsRowFunction="sum" dataDxfId="197" totalsRowDxfId="196" dataCellStyle="normálne_Prijímatelia OPZ_280610"/>
    <tableColumn id="43" name="Stĺpec11" totalsRowFunction="sum" dataDxfId="195" totalsRowDxfId="194" dataCellStyle="normálne_Prijímatelia OPZ_280610">
      <calculatedColumnFormula>projekty[[#This Row],[Stĺpec9]]</calculatedColumnFormula>
    </tableColumn>
    <tableColumn id="8" name="Stĺpec12" totalsRowFunction="sum" dataDxfId="193" totalsRowDxfId="192"/>
    <tableColumn id="9" name="Stĺpec13" totalsRowFunction="sum" dataDxfId="191" totalsRowDxfId="190"/>
    <tableColumn id="46" name="Stĺpec14" totalsRowFunction="custom" dataDxfId="189" totalsRowDxfId="188">
      <calculatedColumnFormula>projekty[[#This Row],[Stĺpec12]]</calculatedColumnFormula>
      <totalsRowFormula>SUM(projekty[Stĺpec14])</totalsRowFormula>
    </tableColumn>
    <tableColumn id="10" name="Stĺpec15" totalsRowFunction="sum" dataDxfId="187" totalsRowDxfId="186"/>
    <tableColumn id="11" name="Stĺpec16" totalsRowFunction="sum" dataDxfId="185" totalsRowDxfId="184"/>
    <tableColumn id="47" name="Stĺpec17" dataDxfId="183" totalsRowDxfId="182">
      <calculatedColumnFormula>projekty[[#This Row],[Stĺpec15]]</calculatedColumnFormula>
    </tableColumn>
    <tableColumn id="12" name="Stĺpec18" totalsRowFunction="sum" dataDxfId="181" totalsRowDxfId="180"/>
    <tableColumn id="13" name="Stĺpec19" totalsRowFunction="sum" dataDxfId="179" totalsRowDxfId="178"/>
    <tableColumn id="48" name="Stĺpec20" totalsRowFunction="custom" dataDxfId="177" totalsRowDxfId="176">
      <calculatedColumnFormula>projekty[[#This Row],[Stĺpec18]]</calculatedColumnFormula>
      <totalsRowFormula>SUM(projekty[Stĺpec20])</totalsRowFormula>
    </tableColumn>
    <tableColumn id="14" name="Stĺpec21" totalsRowFunction="sum" dataDxfId="175" totalsRowDxfId="174"/>
    <tableColumn id="15" name="Stĺpec22" totalsRowFunction="sum" dataDxfId="173" totalsRowDxfId="172"/>
    <tableColumn id="49" name="Stĺpec23" totalsRowFunction="custom" dataDxfId="171" totalsRowDxfId="170">
      <calculatedColumnFormula>projekty[[#This Row],[Stĺpec21]]</calculatedColumnFormula>
      <totalsRowFormula>SUM(projekty[Stĺpec23])</totalsRowFormula>
    </tableColumn>
    <tableColumn id="16" name="Stĺpec24" totalsRowFunction="sum" dataDxfId="169" totalsRowDxfId="168"/>
    <tableColumn id="17" name="Stĺpec25" totalsRowFunction="sum" dataDxfId="167" totalsRowDxfId="166"/>
    <tableColumn id="50" name="Stĺpec26" totalsRowFunction="custom" dataDxfId="165" totalsRowDxfId="164">
      <calculatedColumnFormula>projekty[[#This Row],[Stĺpec24]]</calculatedColumnFormula>
      <totalsRowFormula>SUM(projekty[Stĺpec26])</totalsRowFormula>
    </tableColumn>
    <tableColumn id="18" name="Stĺpec27" totalsRowFunction="sum" dataDxfId="163" totalsRowDxfId="162"/>
    <tableColumn id="19" name="Stĺpec28" totalsRowFunction="sum" dataDxfId="161" totalsRowDxfId="160"/>
    <tableColumn id="51" name="Stĺpec29" totalsRowFunction="custom" dataDxfId="159" totalsRowDxfId="158">
      <calculatedColumnFormula>projekty[[#This Row],[Stĺpec27]]</calculatedColumnFormula>
      <totalsRowFormula>SUM(projekty[Stĺpec29])</totalsRowFormula>
    </tableColumn>
    <tableColumn id="20" name="Stĺpec30" totalsRowFunction="sum" dataDxfId="157" totalsRowDxfId="156"/>
    <tableColumn id="21" name="Stĺpec31" totalsRowFunction="sum" dataDxfId="155" totalsRowDxfId="154"/>
    <tableColumn id="52" name="Stĺpec32" totalsRowFunction="custom" dataDxfId="153" totalsRowDxfId="152">
      <calculatedColumnFormula>projekty[[#This Row],[Stĺpec30]]</calculatedColumnFormula>
      <totalsRowFormula>SUM(projekty[Stĺpec32])</totalsRowFormula>
    </tableColumn>
    <tableColumn id="22" name="Stĺpec33" totalsRowFunction="sum" dataDxfId="151" totalsRowDxfId="150"/>
    <tableColumn id="23" name="Stĺpec34" totalsRowFunction="sum" dataDxfId="149" totalsRowDxfId="148"/>
    <tableColumn id="53" name="Stĺpec35" totalsRowFunction="custom" dataDxfId="147" totalsRowDxfId="146">
      <calculatedColumnFormula>projekty[[#This Row],[Stĺpec33]]</calculatedColumnFormula>
      <totalsRowFormula>SUM(projekty[Stĺpec35])</totalsRowFormula>
    </tableColumn>
    <tableColumn id="24" name="Stĺpec36" totalsRowFunction="sum" dataDxfId="145" totalsRowDxfId="144"/>
    <tableColumn id="25" name="Stĺpec37" totalsRowFunction="sum" dataDxfId="143" totalsRowDxfId="142"/>
    <tableColumn id="54" name="Stĺpec38" totalsRowFunction="custom" dataDxfId="141" totalsRowDxfId="140">
      <calculatedColumnFormula>projekty[[#This Row],[Stĺpec36]]</calculatedColumnFormula>
      <totalsRowFormula>SUM(projekty[Stĺpec38])</totalsRowFormula>
    </tableColumn>
    <tableColumn id="26" name="Stĺpec39" totalsRowFunction="sum" dataDxfId="139" totalsRowDxfId="138"/>
    <tableColumn id="27" name="Stĺpec40" totalsRowFunction="sum" dataDxfId="137" totalsRowDxfId="136"/>
    <tableColumn id="55" name="Stĺpec41" totalsRowFunction="custom" dataDxfId="135" totalsRowDxfId="134">
      <calculatedColumnFormula>projekty[[#This Row],[Stĺpec39]]</calculatedColumnFormula>
      <totalsRowFormula>SUM(projekty[Stĺpec41])</totalsRowFormula>
    </tableColumn>
    <tableColumn id="28" name="Stĺpec42" totalsRowFunction="sum" dataDxfId="133" totalsRowDxfId="132"/>
    <tableColumn id="29" name="Stĺpec43" totalsRowFunction="sum" dataDxfId="131" totalsRowDxfId="130"/>
    <tableColumn id="56" name="Stĺpec44" totalsRowFunction="custom" dataDxfId="129" totalsRowDxfId="128">
      <calculatedColumnFormula>projekty[[#This Row],[Stĺpec42]]</calculatedColumnFormula>
      <totalsRowFormula>SUM(projekty[Stĺpec44])</totalsRowFormula>
    </tableColumn>
    <tableColumn id="30" name="Stĺpec45" totalsRowFunction="sum" dataDxfId="127" totalsRowDxfId="126"/>
    <tableColumn id="31" name="Stĺpec46" totalsRowFunction="sum" dataDxfId="125" totalsRowDxfId="124"/>
    <tableColumn id="57" name="Stĺpec47" totalsRowFunction="custom" dataDxfId="123" totalsRowDxfId="122">
      <calculatedColumnFormula>projekty[[#This Row],[Stĺpec45]]</calculatedColumnFormula>
      <totalsRowFormula>SUM(projekty[Stĺpec47])</totalsRowFormula>
    </tableColumn>
    <tableColumn id="32" name="Stĺpec48" totalsRowFunction="sum" dataDxfId="121" totalsRowDxfId="120"/>
    <tableColumn id="33" name="Stĺpec49" totalsRowFunction="sum" dataDxfId="119" totalsRowDxfId="118"/>
    <tableColumn id="58" name="Stĺpec50" totalsRowFunction="custom" dataDxfId="117" totalsRowDxfId="116">
      <calculatedColumnFormula>projekty[[#This Row],[Stĺpec48]]</calculatedColumnFormula>
      <totalsRowFormula>SUM(projekty[Stĺpec50])</totalsRowFormula>
    </tableColumn>
    <tableColumn id="34" name="Stĺpec51" totalsRowFunction="sum" dataDxfId="115" totalsRowDxfId="114"/>
    <tableColumn id="35" name="Stĺpec52" totalsRowFunction="sum" dataDxfId="113" totalsRowDxfId="112"/>
    <tableColumn id="59" name="Stĺpec53" totalsRowFunction="custom" dataDxfId="111" totalsRowDxfId="110">
      <calculatedColumnFormula>projekty[[#This Row],[Stĺpec51]]</calculatedColumnFormula>
      <totalsRowFormula>SUM(projekty[Stĺpec53])</totalsRowFormula>
    </tableColumn>
    <tableColumn id="36" name="Stĺpec54" totalsRowFunction="sum" dataDxfId="109" totalsRowDxfId="108"/>
    <tableColumn id="37" name="Stĺpec55" totalsRowFunction="sum" dataDxfId="107" totalsRowDxfId="106"/>
    <tableColumn id="60" name="Stĺpec56" totalsRowFunction="custom" dataDxfId="105" totalsRowDxfId="104">
      <calculatedColumnFormula>projekty[[#This Row],[Stĺpec54]]</calculatedColumnFormula>
      <totalsRowFormula>SUM(projekty[Stĺpec56])</totalsRowFormula>
    </tableColumn>
    <tableColumn id="38" name="Stĺpec57" totalsRowFunction="sum" dataDxfId="103" totalsRowDxfId="102"/>
    <tableColumn id="39" name="Stĺpec58" totalsRowFunction="sum" dataDxfId="101" totalsRowDxfId="100"/>
    <tableColumn id="61" name="Stĺpec59" totalsRowFunction="custom" dataDxfId="99" totalsRowDxfId="98">
      <calculatedColumnFormula>projekty[[#This Row],[Stĺpec57]]</calculatedColumnFormula>
      <totalsRowFormula>SUM(projekty[Stĺpec59])</totalsRowFormula>
    </tableColumn>
    <tableColumn id="40" name="Stĺpec60" totalsRowFunction="sum" dataDxfId="97" totalsRowDxfId="96"/>
    <tableColumn id="41" name="Stĺpec61" totalsRowFunction="sum" dataDxfId="95" totalsRowDxfId="94"/>
    <tableColumn id="62" name="Stĺpec62" totalsRowFunction="custom" dataDxfId="93" totalsRowDxfId="92">
      <calculatedColumnFormula>projekty[[#This Row],[Stĺpec60]]</calculatedColumnFormula>
      <totalsRowFormula>SUM(projekty[Stĺpec62])</totalsRowFormula>
    </tableColumn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id="2" name="zonfp" displayName="zonfp" ref="A5:AR220" totalsRowCount="1" headerRowDxfId="91" headerRowBorderDxfId="90" tableBorderDxfId="89" totalsRowBorderDxfId="88">
  <autoFilter ref="A5:AR219"/>
  <tableColumns count="44">
    <tableColumn id="1" name="Stĺpec1" dataDxfId="87" totalsRowDxfId="86"/>
    <tableColumn id="2" name="Stĺpec2" dataDxfId="85" totalsRowDxfId="84"/>
    <tableColumn id="3" name="Stĺpec3" dataDxfId="83" totalsRowDxfId="82"/>
    <tableColumn id="4" name="Stĺpec4" dataDxfId="81" totalsRowDxfId="80"/>
    <tableColumn id="5" name="Stĺpec5" dataDxfId="79" totalsRowDxfId="78" dataCellStyle="normálne_Prijímatelia OPZ_280610"/>
    <tableColumn id="6" name="Stĺpec6" dataDxfId="77" totalsRowDxfId="76"/>
    <tableColumn id="44" name="Stĺpec7" totalsRowFunction="sum" dataDxfId="75" totalsRowDxfId="74"/>
    <tableColumn id="43" name="Stĺpec8" totalsRowFunction="sum" dataDxfId="73" totalsRowDxfId="72"/>
    <tableColumn id="42" name="Stĺpec9" totalsRowFunction="sum" dataDxfId="71" totalsRowDxfId="70"/>
    <tableColumn id="41" name="Stĺpec10" totalsRowFunction="sum" dataDxfId="69" totalsRowDxfId="68">
      <calculatedColumnFormula>zonfp[[#This Row],[Stĺpec8]]</calculatedColumnFormula>
    </tableColumn>
    <tableColumn id="7" name="Stĺpec11" totalsRowFunction="sum" dataDxfId="67" totalsRowDxfId="66" dataCellStyle="normálne_Hárok1"/>
    <tableColumn id="8" name="Stĺpec12" totalsRowFunction="sum" dataDxfId="65" totalsRowDxfId="64" dataCellStyle="normálne_Hárok1"/>
    <tableColumn id="9" name="Stĺpec13" totalsRowFunction="sum" dataDxfId="63" totalsRowDxfId="62" dataCellStyle="normálne_Hárok1"/>
    <tableColumn id="10" name="Stĺpec14" totalsRowFunction="sum" dataDxfId="61" totalsRowDxfId="60" dataCellStyle="normálne_Hárok1"/>
    <tableColumn id="11" name="Stĺpec15" totalsRowFunction="sum" dataDxfId="59" totalsRowDxfId="58" dataCellStyle="normálne_Hárok1"/>
    <tableColumn id="12" name="Stĺpec16" totalsRowFunction="sum" dataDxfId="57" totalsRowDxfId="56" dataCellStyle="normálne_Hárok1"/>
    <tableColumn id="13" name="Stĺpec17" totalsRowFunction="sum" dataDxfId="55" totalsRowDxfId="54" dataCellStyle="normálne_Hárok1"/>
    <tableColumn id="14" name="Stĺpec18" totalsRowFunction="sum" dataDxfId="53" totalsRowDxfId="52" dataCellStyle="normálne_Hárok1"/>
    <tableColumn id="15" name="Stĺpec19" totalsRowFunction="sum" dataDxfId="51" totalsRowDxfId="50" dataCellStyle="normálne_Hárok1"/>
    <tableColumn id="16" name="Stĺpec20" totalsRowFunction="sum" dataDxfId="49" totalsRowDxfId="48" dataCellStyle="normálne_Hárok1"/>
    <tableColumn id="17" name="Stĺpec21" totalsRowFunction="sum" dataDxfId="47" totalsRowDxfId="46" dataCellStyle="normálne_Hárok1"/>
    <tableColumn id="18" name="Stĺpec22" totalsRowFunction="sum" dataDxfId="45" totalsRowDxfId="44" dataCellStyle="normálne_Hárok1"/>
    <tableColumn id="19" name="Stĺpec23" totalsRowFunction="sum" dataDxfId="43" totalsRowDxfId="42" dataCellStyle="normálne_Hárok1"/>
    <tableColumn id="20" name="Stĺpec24" totalsRowFunction="sum" dataDxfId="41" totalsRowDxfId="40" dataCellStyle="normálne_Hárok1"/>
    <tableColumn id="21" name="Stĺpec25" totalsRowFunction="sum" dataDxfId="39" totalsRowDxfId="38" dataCellStyle="normálne_Hárok1"/>
    <tableColumn id="22" name="Stĺpec26" totalsRowFunction="sum" dataDxfId="37" totalsRowDxfId="36" dataCellStyle="normálne_Hárok1"/>
    <tableColumn id="23" name="Stĺpec27" totalsRowFunction="sum" dataDxfId="35" totalsRowDxfId="34" dataCellStyle="normálne_Hárok1"/>
    <tableColumn id="24" name="Stĺpec28" totalsRowFunction="sum" dataDxfId="33" totalsRowDxfId="32" dataCellStyle="normálne_Hárok1"/>
    <tableColumn id="25" name="Stĺpec29" totalsRowFunction="sum" dataDxfId="31" totalsRowDxfId="30" dataCellStyle="normálne_Hárok1"/>
    <tableColumn id="26" name="Stĺpec30" totalsRowFunction="sum" dataDxfId="29" totalsRowDxfId="28" dataCellStyle="normálne_Hárok1"/>
    <tableColumn id="27" name="Stĺpec31" totalsRowFunction="sum" dataDxfId="27" totalsRowDxfId="26" dataCellStyle="normálne_Hárok1"/>
    <tableColumn id="28" name="Stĺpec32" totalsRowFunction="sum" dataDxfId="25" totalsRowDxfId="24" dataCellStyle="normálne_Hárok1"/>
    <tableColumn id="29" name="Stĺpec33" totalsRowFunction="sum" dataDxfId="23" totalsRowDxfId="22" dataCellStyle="normálne_Hárok1"/>
    <tableColumn id="30" name="Stĺpec34" totalsRowFunction="sum" dataDxfId="21" totalsRowDxfId="20" dataCellStyle="normálne_Hárok1"/>
    <tableColumn id="31" name="Stĺpec35" totalsRowFunction="sum" dataDxfId="19" totalsRowDxfId="18" dataCellStyle="normálne_Hárok1"/>
    <tableColumn id="32" name="Stĺpec36" totalsRowFunction="sum" dataDxfId="17" totalsRowDxfId="16" dataCellStyle="normálne_Hárok1"/>
    <tableColumn id="33" name="Stĺpec37" totalsRowFunction="sum" dataDxfId="15" totalsRowDxfId="14" dataCellStyle="normálne_Hárok1"/>
    <tableColumn id="34" name="Stĺpec38" totalsRowFunction="sum" dataDxfId="13" totalsRowDxfId="12" dataCellStyle="normálne_Hárok1"/>
    <tableColumn id="35" name="Stĺpec39" totalsRowFunction="sum" dataDxfId="11" totalsRowDxfId="10" dataCellStyle="normálne_Hárok1"/>
    <tableColumn id="36" name="Stĺpec40" totalsRowFunction="sum" dataDxfId="9" totalsRowDxfId="8" dataCellStyle="normálne_Hárok1"/>
    <tableColumn id="37" name="Stĺpec41" totalsRowFunction="sum" dataDxfId="7" totalsRowDxfId="6" dataCellStyle="normálne_Hárok1"/>
    <tableColumn id="38" name="Stĺpec42" totalsRowFunction="sum" dataDxfId="5" totalsRowDxfId="4" dataCellStyle="normálne_Hárok1"/>
    <tableColumn id="39" name="Stĺpec43" totalsRowFunction="sum" dataDxfId="3" totalsRowDxfId="2" dataCellStyle="normálne_Hárok1"/>
    <tableColumn id="40" name="Stĺpec44" totalsRowFunction="sum" dataDxfId="1" totalsRowDxfId="0" dataCellStyle="normálne_Hárok1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9"/>
  <sheetViews>
    <sheetView workbookViewId="0">
      <selection activeCell="C29" sqref="C29"/>
    </sheetView>
  </sheetViews>
  <sheetFormatPr defaultRowHeight="15" x14ac:dyDescent="0.25"/>
  <cols>
    <col min="3" max="3" width="80.7109375" customWidth="1"/>
  </cols>
  <sheetData>
    <row r="4" spans="2:3" x14ac:dyDescent="0.25">
      <c r="B4" t="s">
        <v>1882</v>
      </c>
    </row>
    <row r="5" spans="2:3" x14ac:dyDescent="0.25">
      <c r="B5" s="105"/>
      <c r="C5" t="s">
        <v>1883</v>
      </c>
    </row>
    <row r="6" spans="2:3" x14ac:dyDescent="0.25">
      <c r="B6" s="106"/>
      <c r="C6" t="s">
        <v>1884</v>
      </c>
    </row>
    <row r="7" spans="2:3" x14ac:dyDescent="0.25">
      <c r="B7" s="107"/>
      <c r="C7" t="s">
        <v>1885</v>
      </c>
    </row>
    <row r="8" spans="2:3" x14ac:dyDescent="0.25">
      <c r="B8" s="108"/>
      <c r="C8" t="s">
        <v>1886</v>
      </c>
    </row>
    <row r="9" spans="2:3" x14ac:dyDescent="0.25">
      <c r="B9" s="109"/>
      <c r="C9" t="s">
        <v>1887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31"/>
  <sheetViews>
    <sheetView zoomScale="80" zoomScaleNormal="80" workbookViewId="0">
      <selection activeCell="B9" sqref="B9"/>
    </sheetView>
  </sheetViews>
  <sheetFormatPr defaultRowHeight="15" x14ac:dyDescent="0.25"/>
  <cols>
    <col min="2" max="2" width="16.42578125" customWidth="1"/>
    <col min="3" max="3" width="26.7109375" customWidth="1"/>
    <col min="4" max="4" width="15" customWidth="1"/>
    <col min="5" max="5" width="25.7109375" customWidth="1"/>
    <col min="8" max="8" width="14.5703125" customWidth="1"/>
    <col min="9" max="9" width="12" customWidth="1"/>
    <col min="10" max="10" width="12.85546875" customWidth="1"/>
    <col min="11" max="11" width="12" customWidth="1"/>
    <col min="12" max="12" width="11.7109375" customWidth="1"/>
    <col min="14" max="14" width="13" customWidth="1"/>
    <col min="16" max="16" width="11.85546875" customWidth="1"/>
    <col min="18" max="18" width="13.7109375" customWidth="1"/>
    <col min="20" max="20" width="14.42578125" customWidth="1"/>
  </cols>
  <sheetData>
    <row r="1" spans="1:21" ht="42" customHeight="1" x14ac:dyDescent="0.25">
      <c r="A1" s="1555" t="s">
        <v>2412</v>
      </c>
      <c r="B1" s="1548" t="s">
        <v>709</v>
      </c>
      <c r="C1" s="1548" t="s">
        <v>477</v>
      </c>
      <c r="D1" s="1548" t="s">
        <v>710</v>
      </c>
      <c r="E1" s="1548" t="s">
        <v>711</v>
      </c>
      <c r="F1" s="1548" t="s">
        <v>712</v>
      </c>
      <c r="G1" s="1550" t="s">
        <v>684</v>
      </c>
      <c r="H1" s="1550" t="s">
        <v>2020</v>
      </c>
      <c r="I1" s="1550" t="s">
        <v>2023</v>
      </c>
      <c r="J1" s="1550" t="s">
        <v>2021</v>
      </c>
      <c r="K1" s="1550" t="s">
        <v>2022</v>
      </c>
      <c r="L1" s="1559" t="s">
        <v>136</v>
      </c>
      <c r="M1" s="1559"/>
      <c r="N1" s="1559" t="s">
        <v>140</v>
      </c>
      <c r="O1" s="1559"/>
      <c r="P1" s="1559" t="s">
        <v>144</v>
      </c>
      <c r="Q1" s="1559"/>
      <c r="R1" s="1559" t="s">
        <v>29</v>
      </c>
      <c r="S1" s="1559"/>
      <c r="T1" s="1559" t="s">
        <v>25</v>
      </c>
      <c r="U1" s="1559"/>
    </row>
    <row r="2" spans="1:21" x14ac:dyDescent="0.25">
      <c r="A2" s="1556"/>
      <c r="B2" s="1549"/>
      <c r="C2" s="1549"/>
      <c r="D2" s="1549"/>
      <c r="E2" s="1549"/>
      <c r="F2" s="1549"/>
      <c r="G2" s="1550"/>
      <c r="H2" s="1550"/>
      <c r="I2" s="1550"/>
      <c r="J2" s="1550"/>
      <c r="K2" s="1550"/>
      <c r="L2" s="1558" t="s">
        <v>135</v>
      </c>
      <c r="M2" s="1558"/>
      <c r="N2" s="1558" t="s">
        <v>139</v>
      </c>
      <c r="O2" s="1558"/>
      <c r="P2" s="1558" t="s">
        <v>143</v>
      </c>
      <c r="Q2" s="1558"/>
      <c r="R2" s="1558" t="s">
        <v>155</v>
      </c>
      <c r="S2" s="1558"/>
      <c r="T2" s="1558" t="s">
        <v>156</v>
      </c>
      <c r="U2" s="1558"/>
    </row>
    <row r="3" spans="1:21" x14ac:dyDescent="0.25">
      <c r="A3" s="1556"/>
      <c r="B3" s="1549"/>
      <c r="C3" s="1549"/>
      <c r="D3" s="1549"/>
      <c r="E3" s="1549"/>
      <c r="F3" s="1549"/>
      <c r="G3" s="1550"/>
      <c r="H3" s="1550"/>
      <c r="I3" s="1550"/>
      <c r="J3" s="1550"/>
      <c r="K3" s="1550"/>
      <c r="L3" s="1558" t="s">
        <v>422</v>
      </c>
      <c r="M3" s="1558"/>
      <c r="N3" s="1558" t="s">
        <v>422</v>
      </c>
      <c r="O3" s="1558"/>
      <c r="P3" s="1558" t="s">
        <v>422</v>
      </c>
      <c r="Q3" s="1558"/>
      <c r="R3" s="1558" t="s">
        <v>422</v>
      </c>
      <c r="S3" s="1558"/>
      <c r="T3" s="1558" t="s">
        <v>422</v>
      </c>
      <c r="U3" s="1558"/>
    </row>
    <row r="4" spans="1:21" ht="25.5" x14ac:dyDescent="0.25">
      <c r="A4" s="1557"/>
      <c r="B4" s="1554"/>
      <c r="C4" s="1554"/>
      <c r="D4" s="1554"/>
      <c r="E4" s="1554"/>
      <c r="F4" s="1554"/>
      <c r="G4" s="1550"/>
      <c r="H4" s="229" t="s">
        <v>410</v>
      </c>
      <c r="I4" s="229" t="s">
        <v>410</v>
      </c>
      <c r="J4" s="229" t="s">
        <v>410</v>
      </c>
      <c r="K4" s="229" t="s">
        <v>410</v>
      </c>
      <c r="L4" s="91" t="s">
        <v>1605</v>
      </c>
      <c r="M4" s="91" t="s">
        <v>713</v>
      </c>
      <c r="N4" s="91" t="s">
        <v>1605</v>
      </c>
      <c r="O4" s="91" t="s">
        <v>713</v>
      </c>
      <c r="P4" s="91" t="s">
        <v>1605</v>
      </c>
      <c r="Q4" s="91" t="s">
        <v>713</v>
      </c>
      <c r="R4" s="91" t="s">
        <v>1605</v>
      </c>
      <c r="S4" s="91" t="s">
        <v>713</v>
      </c>
      <c r="T4" s="91" t="s">
        <v>1605</v>
      </c>
      <c r="U4" s="91" t="s">
        <v>713</v>
      </c>
    </row>
    <row r="5" spans="1:21" s="76" customFormat="1" x14ac:dyDescent="0.25">
      <c r="A5" s="370">
        <v>1</v>
      </c>
      <c r="B5" s="288" t="s">
        <v>1681</v>
      </c>
      <c r="C5" s="60" t="s">
        <v>1620</v>
      </c>
      <c r="D5" s="60" t="s">
        <v>1682</v>
      </c>
      <c r="E5" s="74" t="s">
        <v>1683</v>
      </c>
      <c r="F5" s="73" t="s">
        <v>1610</v>
      </c>
      <c r="G5" s="289">
        <v>42948</v>
      </c>
      <c r="H5" s="272"/>
      <c r="I5" s="272">
        <v>31862.25</v>
      </c>
      <c r="J5" s="272">
        <v>70805</v>
      </c>
      <c r="K5" s="272">
        <f>J5</f>
        <v>70805</v>
      </c>
      <c r="L5" s="75">
        <v>0</v>
      </c>
      <c r="M5" s="75" t="s">
        <v>557</v>
      </c>
      <c r="N5" s="75">
        <v>0</v>
      </c>
      <c r="O5" s="75" t="s">
        <v>557</v>
      </c>
      <c r="P5" s="75">
        <v>75</v>
      </c>
      <c r="Q5" s="75" t="s">
        <v>557</v>
      </c>
      <c r="R5" s="291">
        <v>100</v>
      </c>
      <c r="S5" s="290" t="s">
        <v>557</v>
      </c>
      <c r="T5" s="290">
        <v>0</v>
      </c>
      <c r="U5" s="290" t="s">
        <v>557</v>
      </c>
    </row>
    <row r="6" spans="1:21" s="76" customFormat="1" x14ac:dyDescent="0.25">
      <c r="A6" s="370">
        <f>A5+1</f>
        <v>2</v>
      </c>
      <c r="B6" s="288" t="s">
        <v>1700</v>
      </c>
      <c r="C6" s="60" t="s">
        <v>1620</v>
      </c>
      <c r="D6" s="295" t="s">
        <v>1701</v>
      </c>
      <c r="E6" s="78" t="s">
        <v>1702</v>
      </c>
      <c r="F6" s="73" t="s">
        <v>1610</v>
      </c>
      <c r="G6" s="289">
        <v>43009</v>
      </c>
      <c r="H6" s="272"/>
      <c r="I6" s="272">
        <v>346661.7</v>
      </c>
      <c r="J6" s="272">
        <v>630294</v>
      </c>
      <c r="K6" s="272">
        <f t="shared" ref="K6:K22" si="0">J6</f>
        <v>630294</v>
      </c>
      <c r="L6" s="75">
        <v>0</v>
      </c>
      <c r="M6" s="75" t="s">
        <v>557</v>
      </c>
      <c r="N6" s="75">
        <v>0</v>
      </c>
      <c r="O6" s="75" t="s">
        <v>557</v>
      </c>
      <c r="P6" s="75">
        <v>10000</v>
      </c>
      <c r="Q6" s="75" t="s">
        <v>557</v>
      </c>
      <c r="R6" s="290">
        <v>10000</v>
      </c>
      <c r="S6" s="290" t="s">
        <v>557</v>
      </c>
      <c r="T6" s="290">
        <v>0</v>
      </c>
      <c r="U6" s="290" t="s">
        <v>557</v>
      </c>
    </row>
    <row r="7" spans="1:21" s="76" customFormat="1" ht="25.5" x14ac:dyDescent="0.25">
      <c r="A7" s="370">
        <f t="shared" ref="A7:A30" si="1">A6+1</f>
        <v>3</v>
      </c>
      <c r="B7" s="288" t="s">
        <v>1630</v>
      </c>
      <c r="C7" s="60" t="s">
        <v>1620</v>
      </c>
      <c r="D7" s="60" t="s">
        <v>1631</v>
      </c>
      <c r="E7" s="74" t="s">
        <v>1632</v>
      </c>
      <c r="F7" s="73" t="s">
        <v>1610</v>
      </c>
      <c r="G7" s="289">
        <v>43070</v>
      </c>
      <c r="H7" s="272"/>
      <c r="I7" s="272">
        <v>217419.4</v>
      </c>
      <c r="J7" s="272">
        <v>395308</v>
      </c>
      <c r="K7" s="272">
        <f t="shared" si="0"/>
        <v>395308</v>
      </c>
      <c r="L7" s="75">
        <v>0</v>
      </c>
      <c r="M7" s="75" t="s">
        <v>557</v>
      </c>
      <c r="N7" s="75">
        <v>0</v>
      </c>
      <c r="O7" s="75" t="s">
        <v>557</v>
      </c>
      <c r="P7" s="75">
        <v>1200</v>
      </c>
      <c r="Q7" s="75" t="s">
        <v>557</v>
      </c>
      <c r="R7" s="290">
        <v>2000</v>
      </c>
      <c r="S7" s="290" t="s">
        <v>557</v>
      </c>
      <c r="T7" s="290">
        <v>0</v>
      </c>
      <c r="U7" s="290" t="s">
        <v>557</v>
      </c>
    </row>
    <row r="8" spans="1:21" s="76" customFormat="1" ht="25.5" x14ac:dyDescent="0.25">
      <c r="A8" s="370">
        <f t="shared" si="1"/>
        <v>4</v>
      </c>
      <c r="B8" s="288" t="s">
        <v>1642</v>
      </c>
      <c r="C8" s="60" t="s">
        <v>1620</v>
      </c>
      <c r="D8" s="60" t="s">
        <v>1643</v>
      </c>
      <c r="E8" s="74" t="s">
        <v>1644</v>
      </c>
      <c r="F8" s="73" t="s">
        <v>1610</v>
      </c>
      <c r="G8" s="289">
        <v>43221</v>
      </c>
      <c r="H8" s="272"/>
      <c r="I8" s="272">
        <v>185831.25</v>
      </c>
      <c r="J8" s="272">
        <v>337875</v>
      </c>
      <c r="K8" s="272">
        <f t="shared" si="0"/>
        <v>337875</v>
      </c>
      <c r="L8" s="75">
        <v>0</v>
      </c>
      <c r="M8" s="75" t="s">
        <v>557</v>
      </c>
      <c r="N8" s="75">
        <v>239</v>
      </c>
      <c r="O8" s="75" t="s">
        <v>557</v>
      </c>
      <c r="P8" s="75">
        <v>0</v>
      </c>
      <c r="Q8" s="75" t="s">
        <v>557</v>
      </c>
      <c r="R8" s="290">
        <v>480</v>
      </c>
      <c r="S8" s="290" t="s">
        <v>557</v>
      </c>
      <c r="T8" s="290">
        <v>480</v>
      </c>
      <c r="U8" s="290" t="s">
        <v>557</v>
      </c>
    </row>
    <row r="9" spans="1:21" s="76" customFormat="1" x14ac:dyDescent="0.25">
      <c r="A9" s="370">
        <f t="shared" si="1"/>
        <v>5</v>
      </c>
      <c r="B9" s="288" t="s">
        <v>1658</v>
      </c>
      <c r="C9" s="60" t="s">
        <v>1620</v>
      </c>
      <c r="D9" s="64" t="s">
        <v>1659</v>
      </c>
      <c r="E9" s="74" t="s">
        <v>1660</v>
      </c>
      <c r="F9" s="73" t="s">
        <v>1610</v>
      </c>
      <c r="G9" s="289">
        <v>43252</v>
      </c>
      <c r="H9" s="272"/>
      <c r="I9" s="272">
        <v>2997827.15</v>
      </c>
      <c r="J9" s="272">
        <v>5450594.8200000003</v>
      </c>
      <c r="K9" s="272">
        <f t="shared" si="0"/>
        <v>5450594.8200000003</v>
      </c>
      <c r="L9" s="77" t="s">
        <v>1661</v>
      </c>
      <c r="M9" s="75" t="s">
        <v>557</v>
      </c>
      <c r="N9" s="75">
        <v>0</v>
      </c>
      <c r="O9" s="75" t="s">
        <v>557</v>
      </c>
      <c r="P9" s="75">
        <v>0</v>
      </c>
      <c r="Q9" s="75" t="s">
        <v>557</v>
      </c>
      <c r="R9" s="290">
        <v>100000</v>
      </c>
      <c r="S9" s="290" t="s">
        <v>557</v>
      </c>
      <c r="T9" s="290">
        <v>0</v>
      </c>
      <c r="U9" s="290" t="s">
        <v>557</v>
      </c>
    </row>
    <row r="10" spans="1:21" s="76" customFormat="1" x14ac:dyDescent="0.25">
      <c r="A10" s="370">
        <f t="shared" si="1"/>
        <v>6</v>
      </c>
      <c r="B10" s="288" t="s">
        <v>1687</v>
      </c>
      <c r="C10" s="60" t="s">
        <v>1620</v>
      </c>
      <c r="D10" s="64" t="s">
        <v>1688</v>
      </c>
      <c r="E10" s="74" t="s">
        <v>1689</v>
      </c>
      <c r="F10" s="73" t="s">
        <v>1610</v>
      </c>
      <c r="G10" s="289">
        <v>43282</v>
      </c>
      <c r="H10" s="272"/>
      <c r="I10" s="272">
        <v>326592.42</v>
      </c>
      <c r="J10" s="272">
        <v>725760.94</v>
      </c>
      <c r="K10" s="272">
        <f t="shared" si="0"/>
        <v>725760.94</v>
      </c>
      <c r="L10" s="75">
        <v>0</v>
      </c>
      <c r="M10" s="75" t="s">
        <v>557</v>
      </c>
      <c r="N10" s="75">
        <v>130</v>
      </c>
      <c r="O10" s="75" t="s">
        <v>557</v>
      </c>
      <c r="P10" s="75">
        <v>0</v>
      </c>
      <c r="Q10" s="75" t="s">
        <v>557</v>
      </c>
      <c r="R10" s="290">
        <v>0</v>
      </c>
      <c r="S10" s="290" t="s">
        <v>557</v>
      </c>
      <c r="T10" s="290">
        <v>995</v>
      </c>
      <c r="U10" s="290" t="s">
        <v>557</v>
      </c>
    </row>
    <row r="11" spans="1:21" s="76" customFormat="1" x14ac:dyDescent="0.25">
      <c r="A11" s="370">
        <f t="shared" si="1"/>
        <v>7</v>
      </c>
      <c r="B11" s="288" t="s">
        <v>1633</v>
      </c>
      <c r="C11" s="60" t="s">
        <v>1620</v>
      </c>
      <c r="D11" s="60" t="s">
        <v>1634</v>
      </c>
      <c r="E11" s="74" t="s">
        <v>1635</v>
      </c>
      <c r="F11" s="73" t="s">
        <v>1610</v>
      </c>
      <c r="G11" s="289">
        <v>43313</v>
      </c>
      <c r="H11" s="272"/>
      <c r="I11" s="272">
        <v>455773.5</v>
      </c>
      <c r="J11" s="272">
        <v>1302209.99</v>
      </c>
      <c r="K11" s="272">
        <f t="shared" si="0"/>
        <v>1302209.99</v>
      </c>
      <c r="L11" s="75">
        <v>0</v>
      </c>
      <c r="M11" s="75" t="s">
        <v>557</v>
      </c>
      <c r="N11" s="75">
        <v>48800</v>
      </c>
      <c r="O11" s="75" t="s">
        <v>557</v>
      </c>
      <c r="P11" s="75">
        <v>0</v>
      </c>
      <c r="Q11" s="75" t="s">
        <v>557</v>
      </c>
      <c r="R11" s="290">
        <v>48800</v>
      </c>
      <c r="S11" s="290" t="s">
        <v>557</v>
      </c>
      <c r="T11" s="290">
        <v>48800</v>
      </c>
      <c r="U11" s="290" t="s">
        <v>557</v>
      </c>
    </row>
    <row r="12" spans="1:21" s="76" customFormat="1" x14ac:dyDescent="0.25">
      <c r="A12" s="370">
        <f t="shared" si="1"/>
        <v>8</v>
      </c>
      <c r="B12" s="288" t="s">
        <v>1690</v>
      </c>
      <c r="C12" s="60" t="s">
        <v>1620</v>
      </c>
      <c r="D12" s="60" t="s">
        <v>1691</v>
      </c>
      <c r="E12" s="74" t="s">
        <v>1692</v>
      </c>
      <c r="F12" s="73" t="s">
        <v>1610</v>
      </c>
      <c r="G12" s="289">
        <v>43313</v>
      </c>
      <c r="H12" s="272"/>
      <c r="I12" s="272">
        <v>24120.92</v>
      </c>
      <c r="J12" s="272">
        <v>43856.22</v>
      </c>
      <c r="K12" s="272">
        <f t="shared" si="0"/>
        <v>43856.22</v>
      </c>
      <c r="L12" s="75">
        <v>26.85</v>
      </c>
      <c r="M12" s="75" t="s">
        <v>557</v>
      </c>
      <c r="N12" s="75">
        <v>26.85</v>
      </c>
      <c r="O12" s="75" t="s">
        <v>557</v>
      </c>
      <c r="P12" s="75">
        <v>26.85</v>
      </c>
      <c r="Q12" s="75" t="s">
        <v>557</v>
      </c>
      <c r="R12" s="290">
        <v>50</v>
      </c>
      <c r="S12" s="290" t="s">
        <v>557</v>
      </c>
      <c r="T12" s="290">
        <v>50</v>
      </c>
      <c r="U12" s="290" t="s">
        <v>557</v>
      </c>
    </row>
    <row r="13" spans="1:21" s="76" customFormat="1" x14ac:dyDescent="0.25">
      <c r="A13" s="370">
        <f t="shared" si="1"/>
        <v>9</v>
      </c>
      <c r="B13" s="288" t="s">
        <v>1624</v>
      </c>
      <c r="C13" s="60" t="s">
        <v>1620</v>
      </c>
      <c r="D13" s="64" t="s">
        <v>1625</v>
      </c>
      <c r="E13" s="74" t="s">
        <v>1626</v>
      </c>
      <c r="F13" s="73" t="s">
        <v>1610</v>
      </c>
      <c r="G13" s="289">
        <v>43344</v>
      </c>
      <c r="H13" s="272"/>
      <c r="I13" s="272">
        <v>205900.24</v>
      </c>
      <c r="J13" s="272" t="s">
        <v>2027</v>
      </c>
      <c r="K13" s="272" t="str">
        <f t="shared" si="0"/>
        <v>457 556,08</v>
      </c>
      <c r="L13" s="75">
        <v>0</v>
      </c>
      <c r="M13" s="75" t="s">
        <v>557</v>
      </c>
      <c r="N13" s="75">
        <v>526</v>
      </c>
      <c r="O13" s="75" t="s">
        <v>557</v>
      </c>
      <c r="P13" s="75">
        <v>0</v>
      </c>
      <c r="Q13" s="75" t="s">
        <v>557</v>
      </c>
      <c r="R13" s="290">
        <v>500</v>
      </c>
      <c r="S13" s="290" t="s">
        <v>557</v>
      </c>
      <c r="T13" s="290">
        <v>500</v>
      </c>
      <c r="U13" s="290" t="s">
        <v>557</v>
      </c>
    </row>
    <row r="14" spans="1:21" s="76" customFormat="1" ht="25.5" x14ac:dyDescent="0.25">
      <c r="A14" s="370">
        <f t="shared" si="1"/>
        <v>10</v>
      </c>
      <c r="B14" s="288" t="s">
        <v>1627</v>
      </c>
      <c r="C14" s="60" t="s">
        <v>1620</v>
      </c>
      <c r="D14" s="60" t="s">
        <v>1628</v>
      </c>
      <c r="E14" s="74" t="s">
        <v>1629</v>
      </c>
      <c r="F14" s="73" t="s">
        <v>1610</v>
      </c>
      <c r="G14" s="289">
        <v>43374</v>
      </c>
      <c r="H14" s="272"/>
      <c r="I14" s="272">
        <v>721543.67</v>
      </c>
      <c r="J14" s="272">
        <v>2061553.34</v>
      </c>
      <c r="K14" s="272">
        <f t="shared" si="0"/>
        <v>2061553.34</v>
      </c>
      <c r="L14" s="75">
        <v>0</v>
      </c>
      <c r="M14" s="75" t="s">
        <v>557</v>
      </c>
      <c r="N14" s="75">
        <v>10000</v>
      </c>
      <c r="O14" s="75" t="s">
        <v>557</v>
      </c>
      <c r="P14" s="75">
        <v>10000</v>
      </c>
      <c r="Q14" s="75" t="s">
        <v>557</v>
      </c>
      <c r="R14" s="290">
        <v>10000</v>
      </c>
      <c r="S14" s="290" t="s">
        <v>557</v>
      </c>
      <c r="T14" s="290">
        <v>10000</v>
      </c>
      <c r="U14" s="290" t="s">
        <v>557</v>
      </c>
    </row>
    <row r="15" spans="1:21" s="76" customFormat="1" x14ac:dyDescent="0.25">
      <c r="A15" s="370">
        <f t="shared" si="1"/>
        <v>11</v>
      </c>
      <c r="B15" s="288" t="s">
        <v>1662</v>
      </c>
      <c r="C15" s="60" t="s">
        <v>1620</v>
      </c>
      <c r="D15" s="60" t="s">
        <v>1663</v>
      </c>
      <c r="E15" s="74" t="s">
        <v>1664</v>
      </c>
      <c r="F15" s="73" t="s">
        <v>1610</v>
      </c>
      <c r="G15" s="289">
        <v>43374</v>
      </c>
      <c r="H15" s="272"/>
      <c r="I15" s="272">
        <v>534463.07999999996</v>
      </c>
      <c r="J15" s="272">
        <v>971751.06</v>
      </c>
      <c r="K15" s="272">
        <f t="shared" si="0"/>
        <v>971751.06</v>
      </c>
      <c r="L15" s="75">
        <v>0</v>
      </c>
      <c r="M15" s="75" t="s">
        <v>557</v>
      </c>
      <c r="N15" s="75">
        <v>0</v>
      </c>
      <c r="O15" s="75" t="s">
        <v>557</v>
      </c>
      <c r="P15" s="75">
        <v>5000</v>
      </c>
      <c r="Q15" s="75" t="s">
        <v>557</v>
      </c>
      <c r="R15" s="290">
        <v>5000</v>
      </c>
      <c r="S15" s="290" t="s">
        <v>557</v>
      </c>
      <c r="T15" s="290">
        <v>0</v>
      </c>
      <c r="U15" s="290" t="s">
        <v>557</v>
      </c>
    </row>
    <row r="16" spans="1:21" s="76" customFormat="1" ht="25.5" x14ac:dyDescent="0.25">
      <c r="A16" s="370">
        <f t="shared" si="1"/>
        <v>12</v>
      </c>
      <c r="B16" s="288" t="s">
        <v>1665</v>
      </c>
      <c r="C16" s="60" t="s">
        <v>1620</v>
      </c>
      <c r="D16" s="60" t="s">
        <v>1666</v>
      </c>
      <c r="E16" s="74" t="s">
        <v>1667</v>
      </c>
      <c r="F16" s="73" t="s">
        <v>1610</v>
      </c>
      <c r="G16" s="289">
        <v>43405</v>
      </c>
      <c r="H16" s="272"/>
      <c r="I16" s="272">
        <v>3232500</v>
      </c>
      <c r="J16" s="272">
        <v>7183333.3300000001</v>
      </c>
      <c r="K16" s="272">
        <f t="shared" si="0"/>
        <v>7183333.3300000001</v>
      </c>
      <c r="L16" s="75">
        <v>0</v>
      </c>
      <c r="M16" s="75" t="s">
        <v>557</v>
      </c>
      <c r="N16" s="75">
        <v>0</v>
      </c>
      <c r="O16" s="75" t="s">
        <v>557</v>
      </c>
      <c r="P16" s="75">
        <v>8400</v>
      </c>
      <c r="Q16" s="75" t="s">
        <v>557</v>
      </c>
      <c r="R16" s="290">
        <v>8400</v>
      </c>
      <c r="S16" s="290" t="s">
        <v>557</v>
      </c>
      <c r="T16" s="290">
        <v>0</v>
      </c>
      <c r="U16" s="290" t="s">
        <v>557</v>
      </c>
    </row>
    <row r="17" spans="1:21" s="76" customFormat="1" x14ac:dyDescent="0.25">
      <c r="A17" s="370">
        <f t="shared" si="1"/>
        <v>13</v>
      </c>
      <c r="B17" s="288" t="s">
        <v>1668</v>
      </c>
      <c r="C17" s="60" t="s">
        <v>1620</v>
      </c>
      <c r="D17" s="60" t="s">
        <v>1669</v>
      </c>
      <c r="E17" s="74" t="s">
        <v>1670</v>
      </c>
      <c r="F17" s="73" t="s">
        <v>1610</v>
      </c>
      <c r="G17" s="289">
        <v>43405</v>
      </c>
      <c r="H17" s="272"/>
      <c r="I17" s="272">
        <v>3760417.5</v>
      </c>
      <c r="J17" s="272">
        <v>8356483.3300000001</v>
      </c>
      <c r="K17" s="272">
        <f t="shared" si="0"/>
        <v>8356483.3300000001</v>
      </c>
      <c r="L17" s="75">
        <v>0</v>
      </c>
      <c r="M17" s="75" t="s">
        <v>557</v>
      </c>
      <c r="N17" s="75">
        <v>0</v>
      </c>
      <c r="O17" s="75" t="s">
        <v>557</v>
      </c>
      <c r="P17" s="75">
        <v>8400</v>
      </c>
      <c r="Q17" s="75" t="s">
        <v>557</v>
      </c>
      <c r="R17" s="290">
        <v>8400</v>
      </c>
      <c r="S17" s="290" t="s">
        <v>557</v>
      </c>
      <c r="T17" s="290">
        <v>0</v>
      </c>
      <c r="U17" s="290" t="s">
        <v>557</v>
      </c>
    </row>
    <row r="18" spans="1:21" s="76" customFormat="1" ht="25.5" x14ac:dyDescent="0.25">
      <c r="A18" s="370">
        <f t="shared" si="1"/>
        <v>14</v>
      </c>
      <c r="B18" s="288" t="s">
        <v>1636</v>
      </c>
      <c r="C18" s="60" t="s">
        <v>1620</v>
      </c>
      <c r="D18" s="23" t="s">
        <v>1637</v>
      </c>
      <c r="E18" s="74" t="s">
        <v>1638</v>
      </c>
      <c r="F18" s="73" t="s">
        <v>1610</v>
      </c>
      <c r="G18" s="289">
        <v>43435</v>
      </c>
      <c r="H18" s="272"/>
      <c r="I18" s="272">
        <v>11740890</v>
      </c>
      <c r="J18" s="272">
        <v>23961000</v>
      </c>
      <c r="K18" s="272">
        <f t="shared" si="0"/>
        <v>23961000</v>
      </c>
      <c r="L18" s="75">
        <v>0</v>
      </c>
      <c r="M18" s="75" t="s">
        <v>557</v>
      </c>
      <c r="N18" s="75">
        <v>74000</v>
      </c>
      <c r="O18" s="75" t="s">
        <v>557</v>
      </c>
      <c r="P18" s="75">
        <v>0</v>
      </c>
      <c r="Q18" s="75" t="s">
        <v>557</v>
      </c>
      <c r="R18" s="290">
        <v>74000</v>
      </c>
      <c r="S18" s="290" t="s">
        <v>557</v>
      </c>
      <c r="T18" s="290">
        <v>74000</v>
      </c>
      <c r="U18" s="290" t="s">
        <v>557</v>
      </c>
    </row>
    <row r="19" spans="1:21" s="76" customFormat="1" x14ac:dyDescent="0.25">
      <c r="A19" s="370">
        <f t="shared" si="1"/>
        <v>15</v>
      </c>
      <c r="B19" s="288" t="s">
        <v>1645</v>
      </c>
      <c r="C19" s="60" t="s">
        <v>1620</v>
      </c>
      <c r="D19" s="60" t="s">
        <v>1646</v>
      </c>
      <c r="E19" s="74" t="s">
        <v>1647</v>
      </c>
      <c r="F19" s="73" t="s">
        <v>1610</v>
      </c>
      <c r="G19" s="289">
        <v>43435</v>
      </c>
      <c r="H19" s="272"/>
      <c r="I19" s="272">
        <v>969758.17</v>
      </c>
      <c r="J19" s="272">
        <v>1763196.67</v>
      </c>
      <c r="K19" s="272">
        <f t="shared" si="0"/>
        <v>1763196.67</v>
      </c>
      <c r="L19" s="75">
        <v>0</v>
      </c>
      <c r="M19" s="75" t="s">
        <v>557</v>
      </c>
      <c r="N19" s="75">
        <v>0</v>
      </c>
      <c r="O19" s="75" t="s">
        <v>557</v>
      </c>
      <c r="P19" s="75">
        <v>12000</v>
      </c>
      <c r="Q19" s="75" t="s">
        <v>557</v>
      </c>
      <c r="R19" s="290">
        <v>12000</v>
      </c>
      <c r="S19" s="290" t="s">
        <v>557</v>
      </c>
      <c r="T19" s="290">
        <v>0</v>
      </c>
      <c r="U19" s="290" t="s">
        <v>557</v>
      </c>
    </row>
    <row r="20" spans="1:21" s="76" customFormat="1" x14ac:dyDescent="0.25">
      <c r="A20" s="370">
        <f t="shared" si="1"/>
        <v>16</v>
      </c>
      <c r="B20" s="288" t="s">
        <v>1652</v>
      </c>
      <c r="C20" s="60" t="s">
        <v>1620</v>
      </c>
      <c r="D20" s="60" t="s">
        <v>1653</v>
      </c>
      <c r="E20" s="74" t="s">
        <v>1654</v>
      </c>
      <c r="F20" s="73" t="s">
        <v>1610</v>
      </c>
      <c r="G20" s="289">
        <v>43435</v>
      </c>
      <c r="H20" s="272"/>
      <c r="I20" s="272">
        <v>2240469.58</v>
      </c>
      <c r="J20" s="272">
        <v>4073581.06</v>
      </c>
      <c r="K20" s="272">
        <f t="shared" si="0"/>
        <v>4073581.06</v>
      </c>
      <c r="L20" s="75">
        <v>0</v>
      </c>
      <c r="M20" s="75" t="s">
        <v>557</v>
      </c>
      <c r="N20" s="75">
        <v>0</v>
      </c>
      <c r="O20" s="75" t="s">
        <v>557</v>
      </c>
      <c r="P20" s="75">
        <v>14000</v>
      </c>
      <c r="Q20" s="75" t="s">
        <v>557</v>
      </c>
      <c r="R20" s="290">
        <v>20000</v>
      </c>
      <c r="S20" s="290" t="s">
        <v>557</v>
      </c>
      <c r="T20" s="290">
        <v>0</v>
      </c>
      <c r="U20" s="290" t="s">
        <v>557</v>
      </c>
    </row>
    <row r="21" spans="1:21" s="76" customFormat="1" x14ac:dyDescent="0.25">
      <c r="A21" s="370">
        <f t="shared" si="1"/>
        <v>17</v>
      </c>
      <c r="B21" s="288" t="s">
        <v>1655</v>
      </c>
      <c r="C21" s="60" t="s">
        <v>1620</v>
      </c>
      <c r="D21" s="60" t="s">
        <v>1656</v>
      </c>
      <c r="E21" s="74" t="s">
        <v>1657</v>
      </c>
      <c r="F21" s="73" t="s">
        <v>1610</v>
      </c>
      <c r="G21" s="289">
        <v>43435</v>
      </c>
      <c r="H21" s="272"/>
      <c r="I21" s="272">
        <v>545855.75</v>
      </c>
      <c r="J21" s="272">
        <v>992465</v>
      </c>
      <c r="K21" s="272">
        <f t="shared" si="0"/>
        <v>992465</v>
      </c>
      <c r="L21" s="75">
        <v>0</v>
      </c>
      <c r="M21" s="75" t="s">
        <v>557</v>
      </c>
      <c r="N21" s="75">
        <v>0</v>
      </c>
      <c r="O21" s="75" t="s">
        <v>557</v>
      </c>
      <c r="P21" s="75">
        <v>14000</v>
      </c>
      <c r="Q21" s="75" t="s">
        <v>557</v>
      </c>
      <c r="R21" s="290">
        <v>67500</v>
      </c>
      <c r="S21" s="290" t="s">
        <v>557</v>
      </c>
      <c r="T21" s="290">
        <v>0</v>
      </c>
      <c r="U21" s="290" t="s">
        <v>557</v>
      </c>
    </row>
    <row r="22" spans="1:21" s="76" customFormat="1" x14ac:dyDescent="0.25">
      <c r="A22" s="370">
        <f t="shared" si="1"/>
        <v>18</v>
      </c>
      <c r="B22" s="288" t="s">
        <v>1671</v>
      </c>
      <c r="C22" s="60" t="s">
        <v>1620</v>
      </c>
      <c r="D22" s="60" t="s">
        <v>1672</v>
      </c>
      <c r="E22" s="74" t="s">
        <v>1673</v>
      </c>
      <c r="F22" s="73" t="s">
        <v>1610</v>
      </c>
      <c r="G22" s="289">
        <v>43435</v>
      </c>
      <c r="H22" s="272"/>
      <c r="I22" s="272">
        <v>10205100</v>
      </c>
      <c r="J22" s="272">
        <v>22678000</v>
      </c>
      <c r="K22" s="272">
        <f t="shared" si="0"/>
        <v>22678000</v>
      </c>
      <c r="L22" s="75">
        <v>0</v>
      </c>
      <c r="M22" s="75" t="s">
        <v>557</v>
      </c>
      <c r="N22" s="75">
        <v>0</v>
      </c>
      <c r="O22" s="75" t="s">
        <v>557</v>
      </c>
      <c r="P22" s="75">
        <v>8000</v>
      </c>
      <c r="Q22" s="75" t="s">
        <v>557</v>
      </c>
      <c r="R22" s="290">
        <v>8000</v>
      </c>
      <c r="S22" s="290" t="s">
        <v>557</v>
      </c>
      <c r="T22" s="290">
        <v>0</v>
      </c>
      <c r="U22" s="290" t="s">
        <v>557</v>
      </c>
    </row>
    <row r="23" spans="1:21" s="76" customFormat="1" ht="25.5" x14ac:dyDescent="0.25">
      <c r="A23" s="370">
        <f t="shared" si="1"/>
        <v>19</v>
      </c>
      <c r="B23" s="288" t="s">
        <v>1674</v>
      </c>
      <c r="C23" s="60" t="s">
        <v>1620</v>
      </c>
      <c r="D23" s="60" t="s">
        <v>1675</v>
      </c>
      <c r="E23" s="74" t="s">
        <v>1676</v>
      </c>
      <c r="F23" s="73" t="s">
        <v>1610</v>
      </c>
      <c r="G23" s="289">
        <v>43497</v>
      </c>
      <c r="H23" s="272"/>
      <c r="I23" s="272">
        <v>193346.25</v>
      </c>
      <c r="J23" s="272">
        <v>429658.33</v>
      </c>
      <c r="K23" s="272"/>
      <c r="L23" s="75">
        <v>12000</v>
      </c>
      <c r="M23" s="75" t="s">
        <v>557</v>
      </c>
      <c r="N23" s="75">
        <v>0</v>
      </c>
      <c r="O23" s="75" t="s">
        <v>557</v>
      </c>
      <c r="P23" s="75">
        <v>0</v>
      </c>
      <c r="Q23" s="75" t="s">
        <v>557</v>
      </c>
      <c r="R23" s="290">
        <v>12000</v>
      </c>
      <c r="S23" s="290" t="s">
        <v>557</v>
      </c>
      <c r="T23" s="290">
        <v>0</v>
      </c>
      <c r="U23" s="290" t="s">
        <v>557</v>
      </c>
    </row>
    <row r="24" spans="1:21" s="76" customFormat="1" x14ac:dyDescent="0.25">
      <c r="A24" s="370">
        <f t="shared" si="1"/>
        <v>20</v>
      </c>
      <c r="B24" s="288" t="s">
        <v>1693</v>
      </c>
      <c r="C24" s="60" t="s">
        <v>1620</v>
      </c>
      <c r="D24" s="294" t="s">
        <v>1694</v>
      </c>
      <c r="E24" s="78" t="s">
        <v>1695</v>
      </c>
      <c r="F24" s="73" t="s">
        <v>1610</v>
      </c>
      <c r="G24" s="289">
        <v>43617</v>
      </c>
      <c r="H24" s="272"/>
      <c r="I24" s="272">
        <v>702214.33</v>
      </c>
      <c r="J24" s="272">
        <v>1276753.33</v>
      </c>
      <c r="K24" s="272"/>
      <c r="L24" s="75">
        <v>0</v>
      </c>
      <c r="M24" s="75" t="s">
        <v>557</v>
      </c>
      <c r="N24" s="75">
        <v>0</v>
      </c>
      <c r="O24" s="75" t="s">
        <v>557</v>
      </c>
      <c r="P24" s="75">
        <v>2600</v>
      </c>
      <c r="Q24" s="75" t="s">
        <v>557</v>
      </c>
      <c r="R24" s="290">
        <v>2600</v>
      </c>
      <c r="S24" s="290" t="s">
        <v>557</v>
      </c>
      <c r="T24" s="290">
        <v>0</v>
      </c>
      <c r="U24" s="290" t="s">
        <v>557</v>
      </c>
    </row>
    <row r="25" spans="1:21" s="76" customFormat="1" x14ac:dyDescent="0.25">
      <c r="A25" s="370">
        <f t="shared" si="1"/>
        <v>21</v>
      </c>
      <c r="B25" s="288" t="s">
        <v>1639</v>
      </c>
      <c r="C25" s="60" t="s">
        <v>1620</v>
      </c>
      <c r="D25" s="60" t="s">
        <v>1640</v>
      </c>
      <c r="E25" s="74" t="s">
        <v>1641</v>
      </c>
      <c r="F25" s="73" t="s">
        <v>1610</v>
      </c>
      <c r="G25" s="289">
        <v>43647</v>
      </c>
      <c r="H25" s="272"/>
      <c r="I25" s="272">
        <v>10999500</v>
      </c>
      <c r="J25" s="272">
        <v>1999500</v>
      </c>
      <c r="K25" s="272"/>
      <c r="L25" s="75">
        <v>0</v>
      </c>
      <c r="M25" s="75" t="s">
        <v>557</v>
      </c>
      <c r="N25" s="75">
        <v>0</v>
      </c>
      <c r="O25" s="75" t="s">
        <v>557</v>
      </c>
      <c r="P25" s="75">
        <v>15000</v>
      </c>
      <c r="Q25" s="75" t="s">
        <v>557</v>
      </c>
      <c r="R25" s="290">
        <v>100000</v>
      </c>
      <c r="S25" s="290" t="s">
        <v>557</v>
      </c>
      <c r="T25" s="290">
        <v>0</v>
      </c>
      <c r="U25" s="290" t="s">
        <v>557</v>
      </c>
    </row>
    <row r="26" spans="1:21" s="76" customFormat="1" ht="25.5" x14ac:dyDescent="0.25">
      <c r="A26" s="370">
        <f t="shared" si="1"/>
        <v>22</v>
      </c>
      <c r="B26" s="288" t="s">
        <v>1696</v>
      </c>
      <c r="C26" s="60" t="s">
        <v>1620</v>
      </c>
      <c r="D26" s="294" t="s">
        <v>1697</v>
      </c>
      <c r="E26" s="78" t="s">
        <v>1698</v>
      </c>
      <c r="F26" s="73" t="s">
        <v>1610</v>
      </c>
      <c r="G26" s="289" t="s">
        <v>1699</v>
      </c>
      <c r="H26" s="272"/>
      <c r="I26" s="272">
        <v>273603</v>
      </c>
      <c r="J26" s="272">
        <v>497460</v>
      </c>
      <c r="K26" s="272"/>
      <c r="L26" s="75">
        <v>104.11</v>
      </c>
      <c r="M26" s="75" t="s">
        <v>557</v>
      </c>
      <c r="N26" s="75">
        <v>0</v>
      </c>
      <c r="O26" s="75" t="s">
        <v>557</v>
      </c>
      <c r="P26" s="75">
        <v>0</v>
      </c>
      <c r="Q26" s="75" t="s">
        <v>557</v>
      </c>
      <c r="R26" s="290">
        <v>104.11</v>
      </c>
      <c r="S26" s="290" t="s">
        <v>557</v>
      </c>
      <c r="T26" s="290">
        <v>0</v>
      </c>
      <c r="U26" s="290" t="s">
        <v>557</v>
      </c>
    </row>
    <row r="27" spans="1:21" s="76" customFormat="1" x14ac:dyDescent="0.25">
      <c r="A27" s="370">
        <f t="shared" si="1"/>
        <v>23</v>
      </c>
      <c r="B27" s="288" t="s">
        <v>1648</v>
      </c>
      <c r="C27" s="60" t="s">
        <v>1620</v>
      </c>
      <c r="D27" s="60" t="s">
        <v>1649</v>
      </c>
      <c r="E27" s="74" t="s">
        <v>1650</v>
      </c>
      <c r="F27" s="73" t="s">
        <v>1610</v>
      </c>
      <c r="G27" s="289" t="s">
        <v>1651</v>
      </c>
      <c r="H27" s="272"/>
      <c r="I27" s="272">
        <v>283001.7</v>
      </c>
      <c r="J27" s="272">
        <v>628892.66</v>
      </c>
      <c r="K27" s="272"/>
      <c r="L27" s="75">
        <v>0</v>
      </c>
      <c r="M27" s="75" t="s">
        <v>557</v>
      </c>
      <c r="N27" s="75">
        <v>0</v>
      </c>
      <c r="O27" s="75" t="s">
        <v>557</v>
      </c>
      <c r="P27" s="75">
        <v>8638.41</v>
      </c>
      <c r="Q27" s="75" t="s">
        <v>557</v>
      </c>
      <c r="R27" s="290">
        <v>9300</v>
      </c>
      <c r="S27" s="290" t="s">
        <v>557</v>
      </c>
      <c r="T27" s="290">
        <v>0</v>
      </c>
      <c r="U27" s="290" t="s">
        <v>557</v>
      </c>
    </row>
    <row r="28" spans="1:21" s="76" customFormat="1" ht="38.25" x14ac:dyDescent="0.25">
      <c r="A28" s="370">
        <f t="shared" si="1"/>
        <v>24</v>
      </c>
      <c r="B28" s="288" t="s">
        <v>1684</v>
      </c>
      <c r="C28" s="60" t="s">
        <v>1620</v>
      </c>
      <c r="D28" s="60" t="s">
        <v>1685</v>
      </c>
      <c r="E28" s="74" t="s">
        <v>1686</v>
      </c>
      <c r="F28" s="73" t="s">
        <v>1610</v>
      </c>
      <c r="G28" s="289" t="s">
        <v>1651</v>
      </c>
      <c r="H28" s="272"/>
      <c r="I28" s="272">
        <v>4566833.33</v>
      </c>
      <c r="J28" s="272">
        <v>8303333.3300000001</v>
      </c>
      <c r="K28" s="272"/>
      <c r="L28" s="75">
        <v>0</v>
      </c>
      <c r="M28" s="75" t="s">
        <v>557</v>
      </c>
      <c r="N28" s="75">
        <v>0</v>
      </c>
      <c r="O28" s="75" t="s">
        <v>557</v>
      </c>
      <c r="P28" s="75">
        <v>8400</v>
      </c>
      <c r="Q28" s="75" t="s">
        <v>557</v>
      </c>
      <c r="R28" s="290">
        <v>8400</v>
      </c>
      <c r="S28" s="290" t="s">
        <v>557</v>
      </c>
      <c r="T28" s="290">
        <v>0</v>
      </c>
      <c r="U28" s="290" t="s">
        <v>557</v>
      </c>
    </row>
    <row r="29" spans="1:21" s="76" customFormat="1" x14ac:dyDescent="0.25">
      <c r="A29" s="370">
        <f t="shared" si="1"/>
        <v>25</v>
      </c>
      <c r="B29" s="288" t="s">
        <v>1619</v>
      </c>
      <c r="C29" s="60" t="s">
        <v>1620</v>
      </c>
      <c r="D29" s="64" t="s">
        <v>1621</v>
      </c>
      <c r="E29" s="74" t="s">
        <v>1622</v>
      </c>
      <c r="F29" s="73" t="s">
        <v>1610</v>
      </c>
      <c r="G29" s="289" t="s">
        <v>1623</v>
      </c>
      <c r="H29" s="272"/>
      <c r="I29" s="272">
        <v>254820.78</v>
      </c>
      <c r="J29" s="272" t="s">
        <v>2026</v>
      </c>
      <c r="K29" s="272"/>
      <c r="L29" s="75">
        <v>1000</v>
      </c>
      <c r="M29" s="75" t="s">
        <v>557</v>
      </c>
      <c r="N29" s="75">
        <v>100</v>
      </c>
      <c r="O29" s="75" t="s">
        <v>557</v>
      </c>
      <c r="P29" s="75">
        <v>100</v>
      </c>
      <c r="Q29" s="75" t="s">
        <v>557</v>
      </c>
      <c r="R29" s="290">
        <v>100</v>
      </c>
      <c r="S29" s="290" t="s">
        <v>557</v>
      </c>
      <c r="T29" s="290">
        <v>100</v>
      </c>
      <c r="U29" s="290" t="s">
        <v>557</v>
      </c>
    </row>
    <row r="30" spans="1:21" s="76" customFormat="1" ht="25.5" x14ac:dyDescent="0.25">
      <c r="A30" s="370">
        <f t="shared" si="1"/>
        <v>26</v>
      </c>
      <c r="B30" s="288" t="s">
        <v>1677</v>
      </c>
      <c r="C30" s="60" t="s">
        <v>1620</v>
      </c>
      <c r="D30" s="60" t="s">
        <v>1678</v>
      </c>
      <c r="E30" s="74" t="s">
        <v>1679</v>
      </c>
      <c r="F30" s="73" t="s">
        <v>1610</v>
      </c>
      <c r="G30" s="289" t="s">
        <v>1680</v>
      </c>
      <c r="H30" s="272"/>
      <c r="I30" s="272">
        <v>282436</v>
      </c>
      <c r="J30" s="272">
        <v>513520</v>
      </c>
      <c r="K30" s="272"/>
      <c r="L30" s="75">
        <v>0</v>
      </c>
      <c r="M30" s="75" t="s">
        <v>557</v>
      </c>
      <c r="N30" s="75">
        <v>0</v>
      </c>
      <c r="O30" s="75" t="s">
        <v>557</v>
      </c>
      <c r="P30" s="75">
        <v>4800</v>
      </c>
      <c r="Q30" s="75" t="s">
        <v>557</v>
      </c>
      <c r="R30" s="290">
        <v>4800</v>
      </c>
      <c r="S30" s="290" t="s">
        <v>557</v>
      </c>
      <c r="T30" s="290">
        <v>0</v>
      </c>
      <c r="U30" s="290" t="s">
        <v>557</v>
      </c>
    </row>
    <row r="31" spans="1:21" x14ac:dyDescent="0.25">
      <c r="B31" s="16"/>
      <c r="C31" s="16"/>
      <c r="D31" s="16"/>
      <c r="E31" s="16"/>
      <c r="F31" s="16"/>
      <c r="G31" s="16"/>
      <c r="H31" s="292">
        <f t="shared" ref="H31:U31" si="2">SUM(H5:H30)</f>
        <v>0</v>
      </c>
      <c r="I31" s="292">
        <f t="shared" si="2"/>
        <v>56298741.969999999</v>
      </c>
      <c r="J31" s="292">
        <f t="shared" si="2"/>
        <v>94647185.409999996</v>
      </c>
      <c r="K31" s="292">
        <f t="shared" si="2"/>
        <v>80998067.760000005</v>
      </c>
      <c r="L31" s="293">
        <f t="shared" si="2"/>
        <v>13130.960000000001</v>
      </c>
      <c r="M31" s="293">
        <f t="shared" si="2"/>
        <v>0</v>
      </c>
      <c r="N31" s="293">
        <f t="shared" si="2"/>
        <v>133821.85</v>
      </c>
      <c r="O31" s="293">
        <f t="shared" si="2"/>
        <v>0</v>
      </c>
      <c r="P31" s="293">
        <f t="shared" si="2"/>
        <v>130640.26000000001</v>
      </c>
      <c r="Q31" s="293">
        <f t="shared" si="2"/>
        <v>0</v>
      </c>
      <c r="R31" s="293">
        <f t="shared" si="2"/>
        <v>512534.11</v>
      </c>
      <c r="S31" s="293">
        <f t="shared" si="2"/>
        <v>0</v>
      </c>
      <c r="T31" s="293">
        <f t="shared" si="2"/>
        <v>134925</v>
      </c>
      <c r="U31" s="293">
        <f t="shared" si="2"/>
        <v>0</v>
      </c>
    </row>
  </sheetData>
  <sheetProtection algorithmName="SHA-512" hashValue="Lj7ydUsWNHWEdhTcb4K1jFf5WfAF1EROZvXBrV6Z6Cp2VtYQBAF7SboNr6joHwDSk4Go0Gr/lOCVaFyxOJyNGg==" saltValue="8/oVBiiHLimFFEdV+J3oMQ==" spinCount="100000" sheet="1" objects="1" scenarios="1" autoFilter="0"/>
  <autoFilter ref="B1:U31">
    <filterColumn colId="10" showButton="0"/>
    <filterColumn colId="12" showButton="0"/>
    <filterColumn colId="14" showButton="0"/>
    <filterColumn colId="16" showButton="0"/>
    <filterColumn colId="18" showButton="0"/>
    <sortState ref="B8:U31">
      <sortCondition ref="G1:G31"/>
    </sortState>
  </autoFilter>
  <mergeCells count="26">
    <mergeCell ref="T3:U3"/>
    <mergeCell ref="L1:M1"/>
    <mergeCell ref="N1:O1"/>
    <mergeCell ref="P1:Q1"/>
    <mergeCell ref="R1:S1"/>
    <mergeCell ref="T1:U1"/>
    <mergeCell ref="L2:M2"/>
    <mergeCell ref="N2:O2"/>
    <mergeCell ref="P2:Q2"/>
    <mergeCell ref="R2:S2"/>
    <mergeCell ref="T2:U2"/>
    <mergeCell ref="A1:A4"/>
    <mergeCell ref="L3:M3"/>
    <mergeCell ref="N3:O3"/>
    <mergeCell ref="P3:Q3"/>
    <mergeCell ref="R3:S3"/>
    <mergeCell ref="B1:B4"/>
    <mergeCell ref="C1:C4"/>
    <mergeCell ref="D1:D4"/>
    <mergeCell ref="E1:E4"/>
    <mergeCell ref="F1:F4"/>
    <mergeCell ref="H1:H3"/>
    <mergeCell ref="J1:J3"/>
    <mergeCell ref="K1:K3"/>
    <mergeCell ref="I1:I3"/>
    <mergeCell ref="G1:G4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I53"/>
  <sheetViews>
    <sheetView zoomScale="50" zoomScaleNormal="5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AB17" sqref="AB17"/>
    </sheetView>
  </sheetViews>
  <sheetFormatPr defaultRowHeight="15" x14ac:dyDescent="0.25"/>
  <cols>
    <col min="2" max="2" width="10.85546875" bestFit="1" customWidth="1"/>
    <col min="3" max="3" width="22.140625" bestFit="1" customWidth="1"/>
    <col min="4" max="4" width="22" bestFit="1" customWidth="1"/>
    <col min="5" max="5" width="36.42578125" bestFit="1" customWidth="1"/>
    <col min="6" max="6" width="16.42578125" customWidth="1"/>
    <col min="7" max="7" width="12.85546875" bestFit="1" customWidth="1"/>
    <col min="8" max="8" width="12.85546875" customWidth="1"/>
    <col min="9" max="10" width="16.85546875" customWidth="1"/>
    <col min="11" max="11" width="12.85546875" customWidth="1"/>
    <col min="12" max="12" width="11.42578125" style="9" customWidth="1"/>
    <col min="13" max="16" width="11.42578125" style="6" customWidth="1"/>
    <col min="17" max="17" width="11.42578125" style="10" customWidth="1"/>
    <col min="18" max="21" width="11.42578125" style="6" customWidth="1"/>
    <col min="22" max="22" width="11.42578125" style="10" customWidth="1"/>
    <col min="23" max="34" width="11.42578125" style="6" customWidth="1"/>
    <col min="35" max="35" width="13.42578125" customWidth="1"/>
  </cols>
  <sheetData>
    <row r="1" spans="1:35" ht="57" customHeight="1" x14ac:dyDescent="0.25">
      <c r="A1" s="1571" t="s">
        <v>2412</v>
      </c>
      <c r="B1" s="1548" t="s">
        <v>476</v>
      </c>
      <c r="C1" s="1548" t="s">
        <v>477</v>
      </c>
      <c r="D1" s="1548" t="s">
        <v>478</v>
      </c>
      <c r="E1" s="1548" t="s">
        <v>479</v>
      </c>
      <c r="F1" s="1548" t="s">
        <v>481</v>
      </c>
      <c r="G1" s="1550" t="s">
        <v>684</v>
      </c>
      <c r="H1" s="1550" t="s">
        <v>2020</v>
      </c>
      <c r="I1" s="1550" t="s">
        <v>2021</v>
      </c>
      <c r="J1" s="1550" t="s">
        <v>2032</v>
      </c>
      <c r="K1" s="1572" t="s">
        <v>2022</v>
      </c>
      <c r="L1" s="1560" t="s">
        <v>160</v>
      </c>
      <c r="M1" s="1561"/>
      <c r="N1" s="1562"/>
      <c r="O1" s="1560" t="s">
        <v>160</v>
      </c>
      <c r="P1" s="1562"/>
      <c r="Q1" s="1560" t="s">
        <v>162</v>
      </c>
      <c r="R1" s="1561"/>
      <c r="S1" s="1562"/>
      <c r="T1" s="1560" t="s">
        <v>162</v>
      </c>
      <c r="U1" s="1562"/>
      <c r="V1" s="1560" t="s">
        <v>33</v>
      </c>
      <c r="W1" s="1561"/>
      <c r="X1" s="1562"/>
      <c r="Y1" s="1560" t="s">
        <v>33</v>
      </c>
      <c r="Z1" s="1561"/>
      <c r="AA1" s="1562"/>
      <c r="AB1" s="1560" t="s">
        <v>165</v>
      </c>
      <c r="AC1" s="1561"/>
      <c r="AD1" s="1562"/>
      <c r="AE1" s="1560" t="s">
        <v>167</v>
      </c>
      <c r="AF1" s="1562"/>
      <c r="AG1" s="1565" t="s">
        <v>169</v>
      </c>
      <c r="AH1" s="1566"/>
      <c r="AI1" s="1567"/>
    </row>
    <row r="2" spans="1:35" x14ac:dyDescent="0.25">
      <c r="A2" s="1571"/>
      <c r="B2" s="1549"/>
      <c r="C2" s="1549"/>
      <c r="D2" s="1549"/>
      <c r="E2" s="1549"/>
      <c r="F2" s="1549"/>
      <c r="G2" s="1550"/>
      <c r="H2" s="1550"/>
      <c r="I2" s="1550"/>
      <c r="J2" s="1550"/>
      <c r="K2" s="1572"/>
      <c r="L2" s="1563" t="s">
        <v>159</v>
      </c>
      <c r="M2" s="1570"/>
      <c r="N2" s="1564"/>
      <c r="O2" s="1563" t="s">
        <v>159</v>
      </c>
      <c r="P2" s="1564"/>
      <c r="Q2" s="1563" t="s">
        <v>161</v>
      </c>
      <c r="R2" s="1570"/>
      <c r="S2" s="1564"/>
      <c r="T2" s="1563" t="s">
        <v>161</v>
      </c>
      <c r="U2" s="1564"/>
      <c r="V2" s="1563" t="s">
        <v>163</v>
      </c>
      <c r="W2" s="1570"/>
      <c r="X2" s="1564"/>
      <c r="Y2" s="1563" t="s">
        <v>163</v>
      </c>
      <c r="Z2" s="1570"/>
      <c r="AA2" s="1564"/>
      <c r="AB2" s="1563" t="s">
        <v>164</v>
      </c>
      <c r="AC2" s="1570"/>
      <c r="AD2" s="1564"/>
      <c r="AE2" s="1563" t="s">
        <v>166</v>
      </c>
      <c r="AF2" s="1564"/>
      <c r="AG2" s="1568" t="s">
        <v>168</v>
      </c>
      <c r="AH2" s="1558"/>
      <c r="AI2" s="1569"/>
    </row>
    <row r="3" spans="1:35" x14ac:dyDescent="0.25">
      <c r="A3" s="1571"/>
      <c r="B3" s="1549"/>
      <c r="C3" s="1549"/>
      <c r="D3" s="1549"/>
      <c r="E3" s="1549"/>
      <c r="F3" s="1549"/>
      <c r="G3" s="1550"/>
      <c r="H3" s="1550"/>
      <c r="I3" s="1550"/>
      <c r="J3" s="1550"/>
      <c r="K3" s="1572"/>
      <c r="L3" s="1563" t="s">
        <v>440</v>
      </c>
      <c r="M3" s="1570"/>
      <c r="N3" s="1564"/>
      <c r="O3" s="1563" t="s">
        <v>421</v>
      </c>
      <c r="P3" s="1564"/>
      <c r="Q3" s="1563" t="s">
        <v>440</v>
      </c>
      <c r="R3" s="1570"/>
      <c r="S3" s="1564"/>
      <c r="T3" s="1563" t="s">
        <v>421</v>
      </c>
      <c r="U3" s="1564"/>
      <c r="V3" s="1563" t="s">
        <v>440</v>
      </c>
      <c r="W3" s="1570"/>
      <c r="X3" s="1564"/>
      <c r="Y3" s="1563" t="s">
        <v>421</v>
      </c>
      <c r="Z3" s="1570"/>
      <c r="AA3" s="1564"/>
      <c r="AB3" s="1563" t="s">
        <v>441</v>
      </c>
      <c r="AC3" s="1570"/>
      <c r="AD3" s="1564"/>
      <c r="AE3" s="1563" t="s">
        <v>441</v>
      </c>
      <c r="AF3" s="1564"/>
      <c r="AG3" s="1568" t="s">
        <v>441</v>
      </c>
      <c r="AH3" s="1558"/>
      <c r="AI3" s="1569"/>
    </row>
    <row r="4" spans="1:35" ht="76.5" customHeight="1" x14ac:dyDescent="0.25">
      <c r="A4" s="1571"/>
      <c r="B4" s="1554"/>
      <c r="C4" s="1554"/>
      <c r="D4" s="1554"/>
      <c r="E4" s="1554"/>
      <c r="F4" s="1554"/>
      <c r="G4" s="1550"/>
      <c r="H4" s="229" t="s">
        <v>410</v>
      </c>
      <c r="I4" s="229" t="s">
        <v>410</v>
      </c>
      <c r="J4" s="229" t="s">
        <v>410</v>
      </c>
      <c r="K4" s="421" t="s">
        <v>410</v>
      </c>
      <c r="L4" s="424" t="s">
        <v>484</v>
      </c>
      <c r="M4" s="91" t="s">
        <v>485</v>
      </c>
      <c r="N4" s="420" t="s">
        <v>2016</v>
      </c>
      <c r="O4" s="424" t="s">
        <v>484</v>
      </c>
      <c r="P4" s="420" t="s">
        <v>485</v>
      </c>
      <c r="Q4" s="424" t="s">
        <v>484</v>
      </c>
      <c r="R4" s="91" t="s">
        <v>485</v>
      </c>
      <c r="S4" s="420" t="s">
        <v>2016</v>
      </c>
      <c r="T4" s="424" t="s">
        <v>484</v>
      </c>
      <c r="U4" s="420" t="s">
        <v>485</v>
      </c>
      <c r="V4" s="424" t="s">
        <v>484</v>
      </c>
      <c r="W4" s="91" t="s">
        <v>485</v>
      </c>
      <c r="X4" s="420" t="s">
        <v>2016</v>
      </c>
      <c r="Y4" s="424" t="s">
        <v>484</v>
      </c>
      <c r="Z4" s="91" t="s">
        <v>485</v>
      </c>
      <c r="AA4" s="241" t="s">
        <v>2016</v>
      </c>
      <c r="AB4" s="424" t="s">
        <v>484</v>
      </c>
      <c r="AC4" s="91" t="s">
        <v>485</v>
      </c>
      <c r="AD4" s="241" t="s">
        <v>2016</v>
      </c>
      <c r="AE4" s="424" t="s">
        <v>484</v>
      </c>
      <c r="AF4" s="420" t="s">
        <v>485</v>
      </c>
      <c r="AG4" s="424" t="s">
        <v>484</v>
      </c>
      <c r="AH4" s="91" t="s">
        <v>485</v>
      </c>
      <c r="AI4" s="241" t="s">
        <v>2016</v>
      </c>
    </row>
    <row r="5" spans="1:35" ht="25.5" x14ac:dyDescent="0.25">
      <c r="A5" s="70">
        <v>1</v>
      </c>
      <c r="B5" s="4" t="s">
        <v>517</v>
      </c>
      <c r="C5" s="1" t="s">
        <v>1799</v>
      </c>
      <c r="D5" s="1" t="s">
        <v>2293</v>
      </c>
      <c r="E5" s="1" t="s">
        <v>2294</v>
      </c>
      <c r="F5" s="1" t="s">
        <v>2051</v>
      </c>
      <c r="G5" s="12">
        <v>42735</v>
      </c>
      <c r="H5" s="269"/>
      <c r="I5" s="296">
        <v>341804.34</v>
      </c>
      <c r="J5" s="296"/>
      <c r="K5" s="422">
        <f>I5</f>
        <v>341804.34</v>
      </c>
      <c r="L5" s="242">
        <v>0</v>
      </c>
      <c r="M5" s="7"/>
      <c r="N5" s="243">
        <f>L5</f>
        <v>0</v>
      </c>
      <c r="O5" s="242"/>
      <c r="P5" s="243"/>
      <c r="Q5" s="242">
        <v>1</v>
      </c>
      <c r="R5" s="7">
        <v>1</v>
      </c>
      <c r="S5" s="243">
        <f>Q5</f>
        <v>1</v>
      </c>
      <c r="T5" s="242"/>
      <c r="U5" s="243"/>
      <c r="V5" s="242">
        <v>3500</v>
      </c>
      <c r="W5" s="7">
        <v>3500</v>
      </c>
      <c r="X5" s="243">
        <f t="shared" ref="X5:X23" si="0">V5</f>
        <v>3500</v>
      </c>
      <c r="Y5" s="242"/>
      <c r="Z5" s="7"/>
      <c r="AA5" s="243"/>
      <c r="AB5" s="242"/>
      <c r="AC5" s="7"/>
      <c r="AD5" s="243"/>
      <c r="AE5" s="242"/>
      <c r="AF5" s="243"/>
      <c r="AG5" s="242"/>
      <c r="AH5" s="7"/>
      <c r="AI5" s="425"/>
    </row>
    <row r="6" spans="1:35" ht="25.5" x14ac:dyDescent="0.25">
      <c r="A6" s="70">
        <f>A5+1</f>
        <v>2</v>
      </c>
      <c r="B6" s="4" t="s">
        <v>502</v>
      </c>
      <c r="C6" s="1" t="s">
        <v>1799</v>
      </c>
      <c r="D6" s="1" t="s">
        <v>1465</v>
      </c>
      <c r="E6" s="1" t="s">
        <v>2295</v>
      </c>
      <c r="F6" s="1" t="s">
        <v>2051</v>
      </c>
      <c r="G6" s="12">
        <v>42886</v>
      </c>
      <c r="H6" s="269"/>
      <c r="I6" s="296">
        <v>858108.43</v>
      </c>
      <c r="J6" s="296"/>
      <c r="K6" s="422">
        <f t="shared" ref="K6:K23" si="1">I6</f>
        <v>858108.43</v>
      </c>
      <c r="L6" s="242">
        <v>1.8140000000000001</v>
      </c>
      <c r="M6" s="7"/>
      <c r="N6" s="243">
        <f t="shared" ref="N6:N23" si="2">L6</f>
        <v>1.8140000000000001</v>
      </c>
      <c r="O6" s="242"/>
      <c r="P6" s="243"/>
      <c r="Q6" s="242">
        <v>0</v>
      </c>
      <c r="R6" s="7"/>
      <c r="S6" s="243">
        <f t="shared" ref="S6:S23" si="3">Q6</f>
        <v>0</v>
      </c>
      <c r="T6" s="242"/>
      <c r="U6" s="243"/>
      <c r="V6" s="242">
        <v>197</v>
      </c>
      <c r="W6" s="7"/>
      <c r="X6" s="243">
        <f t="shared" si="0"/>
        <v>197</v>
      </c>
      <c r="Y6" s="242"/>
      <c r="Z6" s="7"/>
      <c r="AA6" s="243"/>
      <c r="AB6" s="242"/>
      <c r="AC6" s="7"/>
      <c r="AD6" s="243"/>
      <c r="AE6" s="242"/>
      <c r="AF6" s="243"/>
      <c r="AG6" s="242"/>
      <c r="AH6" s="7"/>
      <c r="AI6" s="425"/>
    </row>
    <row r="7" spans="1:35" ht="25.5" x14ac:dyDescent="0.25">
      <c r="A7" s="70">
        <f t="shared" ref="A7:A46" si="4">A6+1</f>
        <v>3</v>
      </c>
      <c r="B7" s="4" t="s">
        <v>516</v>
      </c>
      <c r="C7" s="1" t="s">
        <v>1799</v>
      </c>
      <c r="D7" s="1" t="s">
        <v>2296</v>
      </c>
      <c r="E7" s="1" t="s">
        <v>2297</v>
      </c>
      <c r="F7" s="1" t="s">
        <v>2051</v>
      </c>
      <c r="G7" s="12">
        <v>42916</v>
      </c>
      <c r="H7" s="269"/>
      <c r="I7" s="296">
        <v>8772105.0500000007</v>
      </c>
      <c r="J7" s="296"/>
      <c r="K7" s="422">
        <f t="shared" si="1"/>
        <v>8772105.0500000007</v>
      </c>
      <c r="L7" s="242">
        <v>10.09</v>
      </c>
      <c r="M7" s="7"/>
      <c r="N7" s="243">
        <f t="shared" si="2"/>
        <v>10.09</v>
      </c>
      <c r="O7" s="242"/>
      <c r="P7" s="243"/>
      <c r="Q7" s="242">
        <v>1</v>
      </c>
      <c r="R7" s="7"/>
      <c r="S7" s="243">
        <f t="shared" si="3"/>
        <v>1</v>
      </c>
      <c r="T7" s="242"/>
      <c r="U7" s="243"/>
      <c r="V7" s="242">
        <v>2538</v>
      </c>
      <c r="W7" s="7"/>
      <c r="X7" s="243">
        <f t="shared" si="0"/>
        <v>2538</v>
      </c>
      <c r="Y7" s="242"/>
      <c r="Z7" s="7"/>
      <c r="AA7" s="243"/>
      <c r="AB7" s="242"/>
      <c r="AC7" s="7"/>
      <c r="AD7" s="243"/>
      <c r="AE7" s="242"/>
      <c r="AF7" s="243"/>
      <c r="AG7" s="242"/>
      <c r="AH7" s="7"/>
      <c r="AI7" s="425"/>
    </row>
    <row r="8" spans="1:35" ht="25.5" x14ac:dyDescent="0.25">
      <c r="A8" s="70">
        <f t="shared" si="4"/>
        <v>4</v>
      </c>
      <c r="B8" s="4" t="s">
        <v>490</v>
      </c>
      <c r="C8" s="1" t="s">
        <v>1799</v>
      </c>
      <c r="D8" s="1" t="s">
        <v>2298</v>
      </c>
      <c r="E8" s="1" t="s">
        <v>2299</v>
      </c>
      <c r="F8" s="1" t="s">
        <v>2051</v>
      </c>
      <c r="G8" s="12">
        <v>43190</v>
      </c>
      <c r="H8" s="269"/>
      <c r="I8" s="296">
        <v>38975859.950000003</v>
      </c>
      <c r="J8" s="296"/>
      <c r="K8" s="422">
        <f t="shared" si="1"/>
        <v>38975859.950000003</v>
      </c>
      <c r="L8" s="242">
        <v>80.13</v>
      </c>
      <c r="M8" s="7">
        <v>0.68220000000000003</v>
      </c>
      <c r="N8" s="243">
        <f t="shared" si="2"/>
        <v>80.13</v>
      </c>
      <c r="O8" s="242"/>
      <c r="P8" s="243"/>
      <c r="Q8" s="242">
        <v>1</v>
      </c>
      <c r="R8" s="7"/>
      <c r="S8" s="243">
        <f t="shared" si="3"/>
        <v>1</v>
      </c>
      <c r="T8" s="242"/>
      <c r="U8" s="243"/>
      <c r="V8" s="242">
        <v>14075</v>
      </c>
      <c r="W8" s="7"/>
      <c r="X8" s="243">
        <f t="shared" si="0"/>
        <v>14075</v>
      </c>
      <c r="Y8" s="242"/>
      <c r="Z8" s="7"/>
      <c r="AA8" s="243"/>
      <c r="AB8" s="242"/>
      <c r="AC8" s="7"/>
      <c r="AD8" s="243"/>
      <c r="AE8" s="242"/>
      <c r="AF8" s="243"/>
      <c r="AG8" s="242"/>
      <c r="AH8" s="7"/>
      <c r="AI8" s="425"/>
    </row>
    <row r="9" spans="1:35" ht="25.5" x14ac:dyDescent="0.25">
      <c r="A9" s="70">
        <f t="shared" si="4"/>
        <v>5</v>
      </c>
      <c r="B9" s="4" t="s">
        <v>493</v>
      </c>
      <c r="C9" s="1" t="s">
        <v>1799</v>
      </c>
      <c r="D9" s="1" t="s">
        <v>2300</v>
      </c>
      <c r="E9" s="1" t="s">
        <v>2301</v>
      </c>
      <c r="F9" s="1" t="s">
        <v>2051</v>
      </c>
      <c r="G9" s="12">
        <v>43190</v>
      </c>
      <c r="H9" s="269"/>
      <c r="I9" s="296">
        <v>4095203.15</v>
      </c>
      <c r="J9" s="296"/>
      <c r="K9" s="422">
        <f t="shared" si="1"/>
        <v>4095203.15</v>
      </c>
      <c r="L9" s="242">
        <v>6.6035000000000004</v>
      </c>
      <c r="M9" s="7">
        <v>2.7928000000000002</v>
      </c>
      <c r="N9" s="243">
        <f t="shared" si="2"/>
        <v>6.6035000000000004</v>
      </c>
      <c r="O9" s="242"/>
      <c r="P9" s="243"/>
      <c r="Q9" s="242">
        <v>0</v>
      </c>
      <c r="R9" s="7"/>
      <c r="S9" s="243">
        <f t="shared" si="3"/>
        <v>0</v>
      </c>
      <c r="T9" s="242"/>
      <c r="U9" s="243"/>
      <c r="V9" s="242">
        <v>756</v>
      </c>
      <c r="W9" s="7"/>
      <c r="X9" s="243">
        <f t="shared" si="0"/>
        <v>756</v>
      </c>
      <c r="Y9" s="242"/>
      <c r="Z9" s="7"/>
      <c r="AA9" s="243"/>
      <c r="AB9" s="242">
        <v>2.0990000000000002</v>
      </c>
      <c r="AC9" s="7">
        <v>0.90229999999999999</v>
      </c>
      <c r="AD9" s="243">
        <f t="shared" ref="AD9:AD17" si="5">AB9</f>
        <v>2.0990000000000002</v>
      </c>
      <c r="AE9" s="242"/>
      <c r="AF9" s="243"/>
      <c r="AG9" s="242">
        <v>140</v>
      </c>
      <c r="AH9" s="7"/>
      <c r="AI9" s="90">
        <f>AG9</f>
        <v>140</v>
      </c>
    </row>
    <row r="10" spans="1:35" ht="25.5" x14ac:dyDescent="0.25">
      <c r="A10" s="70">
        <f t="shared" si="4"/>
        <v>6</v>
      </c>
      <c r="B10" s="4" t="s">
        <v>511</v>
      </c>
      <c r="C10" s="1" t="s">
        <v>1799</v>
      </c>
      <c r="D10" s="1" t="s">
        <v>556</v>
      </c>
      <c r="E10" s="1" t="s">
        <v>2302</v>
      </c>
      <c r="F10" s="1" t="s">
        <v>2051</v>
      </c>
      <c r="G10" s="12">
        <v>43190</v>
      </c>
      <c r="H10" s="269"/>
      <c r="I10" s="296">
        <v>9428080.8800000008</v>
      </c>
      <c r="J10" s="296"/>
      <c r="K10" s="422">
        <f t="shared" si="1"/>
        <v>9428080.8800000008</v>
      </c>
      <c r="L10" s="242">
        <v>27.7119</v>
      </c>
      <c r="M10" s="7"/>
      <c r="N10" s="243">
        <f t="shared" si="2"/>
        <v>27.7119</v>
      </c>
      <c r="O10" s="242"/>
      <c r="P10" s="243"/>
      <c r="Q10" s="242">
        <v>1</v>
      </c>
      <c r="R10" s="7"/>
      <c r="S10" s="243">
        <f t="shared" si="3"/>
        <v>1</v>
      </c>
      <c r="T10" s="242"/>
      <c r="U10" s="243"/>
      <c r="V10" s="242">
        <v>2652</v>
      </c>
      <c r="W10" s="7"/>
      <c r="X10" s="243">
        <f t="shared" si="0"/>
        <v>2652</v>
      </c>
      <c r="Y10" s="242"/>
      <c r="Z10" s="7"/>
      <c r="AA10" s="243"/>
      <c r="AB10" s="242"/>
      <c r="AC10" s="7"/>
      <c r="AD10" s="243"/>
      <c r="AE10" s="242"/>
      <c r="AF10" s="243"/>
      <c r="AG10" s="242"/>
      <c r="AH10" s="7"/>
      <c r="AI10" s="425"/>
    </row>
    <row r="11" spans="1:35" ht="25.5" x14ac:dyDescent="0.25">
      <c r="A11" s="70">
        <f t="shared" si="4"/>
        <v>7</v>
      </c>
      <c r="B11" s="4" t="s">
        <v>521</v>
      </c>
      <c r="C11" s="1" t="s">
        <v>1799</v>
      </c>
      <c r="D11" s="1" t="s">
        <v>947</v>
      </c>
      <c r="E11" s="1" t="s">
        <v>2303</v>
      </c>
      <c r="F11" s="1" t="s">
        <v>2051</v>
      </c>
      <c r="G11" s="12">
        <v>43190</v>
      </c>
      <c r="H11" s="269"/>
      <c r="I11" s="296">
        <v>1418646.03</v>
      </c>
      <c r="J11" s="296"/>
      <c r="K11" s="422">
        <f t="shared" si="1"/>
        <v>1418646.03</v>
      </c>
      <c r="L11" s="242">
        <v>0</v>
      </c>
      <c r="M11" s="7"/>
      <c r="N11" s="243">
        <f t="shared" si="2"/>
        <v>0</v>
      </c>
      <c r="O11" s="242"/>
      <c r="P11" s="243"/>
      <c r="Q11" s="242">
        <v>1</v>
      </c>
      <c r="R11" s="7"/>
      <c r="S11" s="243">
        <f t="shared" si="3"/>
        <v>1</v>
      </c>
      <c r="T11" s="242"/>
      <c r="U11" s="243"/>
      <c r="V11" s="242">
        <v>2512</v>
      </c>
      <c r="W11" s="7"/>
      <c r="X11" s="243">
        <f t="shared" si="0"/>
        <v>2512</v>
      </c>
      <c r="Y11" s="242"/>
      <c r="Z11" s="7"/>
      <c r="AA11" s="243"/>
      <c r="AB11" s="242"/>
      <c r="AC11" s="7"/>
      <c r="AD11" s="243"/>
      <c r="AE11" s="242"/>
      <c r="AF11" s="243"/>
      <c r="AG11" s="242"/>
      <c r="AH11" s="7"/>
      <c r="AI11" s="425"/>
    </row>
    <row r="12" spans="1:35" ht="25.5" x14ac:dyDescent="0.25">
      <c r="A12" s="70">
        <f t="shared" si="4"/>
        <v>8</v>
      </c>
      <c r="B12" s="4" t="s">
        <v>489</v>
      </c>
      <c r="C12" s="1" t="s">
        <v>1799</v>
      </c>
      <c r="D12" s="1" t="s">
        <v>2304</v>
      </c>
      <c r="E12" s="1" t="s">
        <v>2305</v>
      </c>
      <c r="F12" s="1" t="s">
        <v>2051</v>
      </c>
      <c r="G12" s="12">
        <v>43220</v>
      </c>
      <c r="H12" s="269"/>
      <c r="I12" s="296">
        <v>16476687.289999999</v>
      </c>
      <c r="J12" s="296"/>
      <c r="K12" s="422">
        <f t="shared" si="1"/>
        <v>16476687.289999999</v>
      </c>
      <c r="L12" s="242">
        <v>43.336300000000001</v>
      </c>
      <c r="M12" s="7">
        <v>14.011200000000001</v>
      </c>
      <c r="N12" s="243">
        <f t="shared" si="2"/>
        <v>43.336300000000001</v>
      </c>
      <c r="O12" s="242"/>
      <c r="P12" s="243"/>
      <c r="Q12" s="242">
        <v>1</v>
      </c>
      <c r="R12" s="7"/>
      <c r="S12" s="243">
        <f t="shared" si="3"/>
        <v>1</v>
      </c>
      <c r="T12" s="242"/>
      <c r="U12" s="243"/>
      <c r="V12" s="242">
        <v>3950</v>
      </c>
      <c r="W12" s="7"/>
      <c r="X12" s="243">
        <f t="shared" si="0"/>
        <v>3950</v>
      </c>
      <c r="Y12" s="242"/>
      <c r="Z12" s="7"/>
      <c r="AA12" s="243"/>
      <c r="AB12" s="242"/>
      <c r="AC12" s="7"/>
      <c r="AD12" s="243"/>
      <c r="AE12" s="242"/>
      <c r="AF12" s="243"/>
      <c r="AG12" s="242"/>
      <c r="AH12" s="7"/>
      <c r="AI12" s="425"/>
    </row>
    <row r="13" spans="1:35" ht="25.5" x14ac:dyDescent="0.25">
      <c r="A13" s="70">
        <f t="shared" si="4"/>
        <v>9</v>
      </c>
      <c r="B13" s="4" t="s">
        <v>522</v>
      </c>
      <c r="C13" s="1" t="s">
        <v>1799</v>
      </c>
      <c r="D13" s="1" t="s">
        <v>2306</v>
      </c>
      <c r="E13" s="1" t="s">
        <v>2307</v>
      </c>
      <c r="F13" s="1" t="s">
        <v>2051</v>
      </c>
      <c r="G13" s="12">
        <v>43220</v>
      </c>
      <c r="H13" s="269"/>
      <c r="I13" s="296">
        <v>12387243.18</v>
      </c>
      <c r="J13" s="296"/>
      <c r="K13" s="422">
        <f t="shared" si="1"/>
        <v>12387243.18</v>
      </c>
      <c r="L13" s="242">
        <v>25.599900000000002</v>
      </c>
      <c r="M13" s="7"/>
      <c r="N13" s="243">
        <f t="shared" si="2"/>
        <v>25.599900000000002</v>
      </c>
      <c r="O13" s="242"/>
      <c r="P13" s="243"/>
      <c r="Q13" s="242">
        <v>1</v>
      </c>
      <c r="R13" s="7"/>
      <c r="S13" s="243">
        <f t="shared" si="3"/>
        <v>1</v>
      </c>
      <c r="T13" s="242"/>
      <c r="U13" s="243"/>
      <c r="V13" s="242">
        <v>2035</v>
      </c>
      <c r="W13" s="7"/>
      <c r="X13" s="243">
        <f t="shared" si="0"/>
        <v>2035</v>
      </c>
      <c r="Y13" s="242"/>
      <c r="Z13" s="7"/>
      <c r="AA13" s="243"/>
      <c r="AB13" s="242"/>
      <c r="AC13" s="7"/>
      <c r="AD13" s="243"/>
      <c r="AE13" s="242"/>
      <c r="AF13" s="243"/>
      <c r="AG13" s="242"/>
      <c r="AH13" s="7"/>
      <c r="AI13" s="425"/>
    </row>
    <row r="14" spans="1:35" ht="25.5" x14ac:dyDescent="0.25">
      <c r="A14" s="70">
        <f t="shared" si="4"/>
        <v>10</v>
      </c>
      <c r="B14" s="4" t="s">
        <v>496</v>
      </c>
      <c r="C14" s="1" t="s">
        <v>1799</v>
      </c>
      <c r="D14" s="1" t="s">
        <v>1020</v>
      </c>
      <c r="E14" s="1" t="s">
        <v>2308</v>
      </c>
      <c r="F14" s="1" t="s">
        <v>2051</v>
      </c>
      <c r="G14" s="12">
        <v>43251</v>
      </c>
      <c r="H14" s="269"/>
      <c r="I14" s="296">
        <v>6180112.8899999997</v>
      </c>
      <c r="J14" s="296"/>
      <c r="K14" s="422">
        <f t="shared" si="1"/>
        <v>6180112.8899999997</v>
      </c>
      <c r="L14" s="242">
        <v>10.871</v>
      </c>
      <c r="M14" s="7"/>
      <c r="N14" s="243">
        <f t="shared" si="2"/>
        <v>10.871</v>
      </c>
      <c r="O14" s="242"/>
      <c r="P14" s="243"/>
      <c r="Q14" s="242">
        <v>1</v>
      </c>
      <c r="R14" s="7"/>
      <c r="S14" s="243">
        <f t="shared" si="3"/>
        <v>1</v>
      </c>
      <c r="T14" s="242"/>
      <c r="U14" s="243"/>
      <c r="V14" s="242">
        <v>2735</v>
      </c>
      <c r="W14" s="7"/>
      <c r="X14" s="243">
        <f t="shared" si="0"/>
        <v>2735</v>
      </c>
      <c r="Y14" s="242"/>
      <c r="Z14" s="7"/>
      <c r="AA14" s="243"/>
      <c r="AB14" s="242"/>
      <c r="AC14" s="7"/>
      <c r="AD14" s="243"/>
      <c r="AE14" s="242"/>
      <c r="AF14" s="243"/>
      <c r="AG14" s="242"/>
      <c r="AH14" s="7"/>
      <c r="AI14" s="425"/>
    </row>
    <row r="15" spans="1:35" ht="25.5" x14ac:dyDescent="0.25">
      <c r="A15" s="70">
        <f t="shared" si="4"/>
        <v>11</v>
      </c>
      <c r="B15" s="4" t="s">
        <v>513</v>
      </c>
      <c r="C15" s="1" t="s">
        <v>1799</v>
      </c>
      <c r="D15" s="1" t="s">
        <v>2309</v>
      </c>
      <c r="E15" s="1" t="s">
        <v>2310</v>
      </c>
      <c r="F15" s="1" t="s">
        <v>2051</v>
      </c>
      <c r="G15" s="12">
        <v>43251</v>
      </c>
      <c r="H15" s="269"/>
      <c r="I15" s="296">
        <v>2507439.6</v>
      </c>
      <c r="J15" s="296"/>
      <c r="K15" s="422">
        <f t="shared" si="1"/>
        <v>2507439.6</v>
      </c>
      <c r="L15" s="242">
        <v>3.2696000000000001</v>
      </c>
      <c r="M15" s="7">
        <v>0.41199999999999998</v>
      </c>
      <c r="N15" s="243">
        <f t="shared" si="2"/>
        <v>3.2696000000000001</v>
      </c>
      <c r="O15" s="242"/>
      <c r="P15" s="243"/>
      <c r="Q15" s="242">
        <v>1</v>
      </c>
      <c r="R15" s="7"/>
      <c r="S15" s="243">
        <f t="shared" si="3"/>
        <v>1</v>
      </c>
      <c r="T15" s="242"/>
      <c r="U15" s="243"/>
      <c r="V15" s="242">
        <v>2400</v>
      </c>
      <c r="W15" s="7"/>
      <c r="X15" s="243">
        <f t="shared" si="0"/>
        <v>2400</v>
      </c>
      <c r="Y15" s="242"/>
      <c r="Z15" s="7"/>
      <c r="AA15" s="243"/>
      <c r="AB15" s="242"/>
      <c r="AC15" s="7"/>
      <c r="AD15" s="243"/>
      <c r="AE15" s="242"/>
      <c r="AF15" s="243"/>
      <c r="AG15" s="242"/>
      <c r="AH15" s="7"/>
      <c r="AI15" s="425"/>
    </row>
    <row r="16" spans="1:35" ht="25.5" x14ac:dyDescent="0.25">
      <c r="A16" s="70">
        <f t="shared" si="4"/>
        <v>12</v>
      </c>
      <c r="B16" s="4" t="s">
        <v>497</v>
      </c>
      <c r="C16" s="1" t="s">
        <v>1799</v>
      </c>
      <c r="D16" s="1" t="s">
        <v>1047</v>
      </c>
      <c r="E16" s="1" t="s">
        <v>2311</v>
      </c>
      <c r="F16" s="1" t="s">
        <v>2051</v>
      </c>
      <c r="G16" s="12">
        <v>43281</v>
      </c>
      <c r="H16" s="269"/>
      <c r="I16" s="296">
        <v>6171167.9699999997</v>
      </c>
      <c r="J16" s="296"/>
      <c r="K16" s="422">
        <f t="shared" si="1"/>
        <v>6171167.9699999997</v>
      </c>
      <c r="L16" s="242">
        <v>18.124600000000001</v>
      </c>
      <c r="M16" s="7"/>
      <c r="N16" s="243">
        <f t="shared" si="2"/>
        <v>18.124600000000001</v>
      </c>
      <c r="O16" s="242"/>
      <c r="P16" s="243"/>
      <c r="Q16" s="242">
        <v>0</v>
      </c>
      <c r="R16" s="7"/>
      <c r="S16" s="243">
        <f t="shared" si="3"/>
        <v>0</v>
      </c>
      <c r="T16" s="242"/>
      <c r="U16" s="243"/>
      <c r="V16" s="242">
        <v>2414</v>
      </c>
      <c r="W16" s="7"/>
      <c r="X16" s="243">
        <f t="shared" si="0"/>
        <v>2414</v>
      </c>
      <c r="Y16" s="242"/>
      <c r="Z16" s="7"/>
      <c r="AA16" s="243"/>
      <c r="AB16" s="242"/>
      <c r="AC16" s="7"/>
      <c r="AD16" s="243"/>
      <c r="AE16" s="242"/>
      <c r="AF16" s="243"/>
      <c r="AG16" s="242"/>
      <c r="AH16" s="7"/>
      <c r="AI16" s="425"/>
    </row>
    <row r="17" spans="1:35" ht="25.5" x14ac:dyDescent="0.25">
      <c r="A17" s="70">
        <f t="shared" si="4"/>
        <v>13</v>
      </c>
      <c r="B17" s="4" t="s">
        <v>498</v>
      </c>
      <c r="C17" s="1" t="s">
        <v>1799</v>
      </c>
      <c r="D17" s="1" t="s">
        <v>2312</v>
      </c>
      <c r="E17" s="1" t="s">
        <v>2313</v>
      </c>
      <c r="F17" s="1" t="s">
        <v>2051</v>
      </c>
      <c r="G17" s="12">
        <v>43281</v>
      </c>
      <c r="H17" s="269"/>
      <c r="I17" s="296">
        <v>16165937.74</v>
      </c>
      <c r="J17" s="296"/>
      <c r="K17" s="422">
        <f t="shared" si="1"/>
        <v>16165937.74</v>
      </c>
      <c r="L17" s="242">
        <v>22.74</v>
      </c>
      <c r="M17" s="7"/>
      <c r="N17" s="243">
        <f t="shared" si="2"/>
        <v>22.74</v>
      </c>
      <c r="O17" s="242"/>
      <c r="P17" s="243"/>
      <c r="Q17" s="242">
        <v>1</v>
      </c>
      <c r="R17" s="7"/>
      <c r="S17" s="243">
        <f t="shared" si="3"/>
        <v>1</v>
      </c>
      <c r="T17" s="242"/>
      <c r="U17" s="243"/>
      <c r="V17" s="242">
        <v>2689</v>
      </c>
      <c r="W17" s="7"/>
      <c r="X17" s="243">
        <f t="shared" si="0"/>
        <v>2689</v>
      </c>
      <c r="Y17" s="242"/>
      <c r="Z17" s="7"/>
      <c r="AA17" s="243"/>
      <c r="AB17" s="242">
        <v>3.62</v>
      </c>
      <c r="AC17" s="7"/>
      <c r="AD17" s="243">
        <f t="shared" si="5"/>
        <v>3.62</v>
      </c>
      <c r="AE17" s="242"/>
      <c r="AF17" s="243"/>
      <c r="AG17" s="242">
        <v>589</v>
      </c>
      <c r="AH17" s="7"/>
      <c r="AI17" s="90">
        <f>AG17</f>
        <v>589</v>
      </c>
    </row>
    <row r="18" spans="1:35" ht="25.5" x14ac:dyDescent="0.25">
      <c r="A18" s="70">
        <f t="shared" si="4"/>
        <v>14</v>
      </c>
      <c r="B18" s="1" t="s">
        <v>527</v>
      </c>
      <c r="C18" s="1" t="s">
        <v>2314</v>
      </c>
      <c r="D18" s="1" t="s">
        <v>2315</v>
      </c>
      <c r="E18" s="1" t="s">
        <v>2316</v>
      </c>
      <c r="F18" s="1" t="s">
        <v>2051</v>
      </c>
      <c r="G18" s="12">
        <v>43281</v>
      </c>
      <c r="H18" s="269"/>
      <c r="I18" s="296">
        <v>55316687.140000001</v>
      </c>
      <c r="J18" s="296"/>
      <c r="K18" s="422">
        <f t="shared" si="1"/>
        <v>55316687.140000001</v>
      </c>
      <c r="L18" s="242">
        <v>45.37</v>
      </c>
      <c r="M18" s="7">
        <v>43.4</v>
      </c>
      <c r="N18" s="243">
        <f t="shared" si="2"/>
        <v>45.37</v>
      </c>
      <c r="O18" s="242"/>
      <c r="P18" s="243"/>
      <c r="Q18" s="242">
        <v>3</v>
      </c>
      <c r="R18" s="7">
        <v>1.76</v>
      </c>
      <c r="S18" s="243">
        <f t="shared" si="3"/>
        <v>3</v>
      </c>
      <c r="T18" s="242"/>
      <c r="U18" s="243"/>
      <c r="V18" s="242">
        <v>112159</v>
      </c>
      <c r="W18" s="7">
        <v>0</v>
      </c>
      <c r="X18" s="243">
        <f t="shared" si="0"/>
        <v>112159</v>
      </c>
      <c r="Y18" s="242"/>
      <c r="Z18" s="7"/>
      <c r="AA18" s="243"/>
      <c r="AB18" s="242"/>
      <c r="AC18" s="7"/>
      <c r="AD18" s="243"/>
      <c r="AE18" s="242"/>
      <c r="AF18" s="243"/>
      <c r="AG18" s="242"/>
      <c r="AH18" s="7"/>
      <c r="AI18" s="425"/>
    </row>
    <row r="19" spans="1:35" ht="25.5" x14ac:dyDescent="0.25">
      <c r="A19" s="70">
        <f t="shared" si="4"/>
        <v>15</v>
      </c>
      <c r="B19" s="4" t="s">
        <v>487</v>
      </c>
      <c r="C19" s="1" t="s">
        <v>1799</v>
      </c>
      <c r="D19" s="1" t="s">
        <v>2317</v>
      </c>
      <c r="E19" s="1" t="s">
        <v>2318</v>
      </c>
      <c r="F19" s="1" t="s">
        <v>2051</v>
      </c>
      <c r="G19" s="12">
        <v>43312</v>
      </c>
      <c r="H19" s="269"/>
      <c r="I19" s="296">
        <v>13248031.73</v>
      </c>
      <c r="J19" s="296"/>
      <c r="K19" s="422">
        <f t="shared" si="1"/>
        <v>13248031.73</v>
      </c>
      <c r="L19" s="242">
        <v>21.672799999999999</v>
      </c>
      <c r="M19" s="7">
        <v>1.8782000000000001</v>
      </c>
      <c r="N19" s="243">
        <f t="shared" si="2"/>
        <v>21.672799999999999</v>
      </c>
      <c r="O19" s="242"/>
      <c r="P19" s="243"/>
      <c r="Q19" s="242">
        <v>1</v>
      </c>
      <c r="R19" s="7"/>
      <c r="S19" s="243">
        <f t="shared" si="3"/>
        <v>1</v>
      </c>
      <c r="T19" s="242"/>
      <c r="U19" s="243"/>
      <c r="V19" s="242">
        <v>2339</v>
      </c>
      <c r="W19" s="7"/>
      <c r="X19" s="243">
        <f t="shared" si="0"/>
        <v>2339</v>
      </c>
      <c r="Y19" s="242"/>
      <c r="Z19" s="7"/>
      <c r="AA19" s="243"/>
      <c r="AB19" s="242"/>
      <c r="AC19" s="7"/>
      <c r="AD19" s="243"/>
      <c r="AE19" s="242"/>
      <c r="AF19" s="243"/>
      <c r="AG19" s="242"/>
      <c r="AH19" s="7"/>
      <c r="AI19" s="425"/>
    </row>
    <row r="20" spans="1:35" ht="25.5" x14ac:dyDescent="0.25">
      <c r="A20" s="70">
        <f t="shared" si="4"/>
        <v>16</v>
      </c>
      <c r="B20" s="4" t="s">
        <v>519</v>
      </c>
      <c r="C20" s="1" t="s">
        <v>1799</v>
      </c>
      <c r="D20" s="1" t="s">
        <v>2319</v>
      </c>
      <c r="E20" s="1" t="s">
        <v>2320</v>
      </c>
      <c r="F20" s="1" t="s">
        <v>2051</v>
      </c>
      <c r="G20" s="12">
        <v>43343</v>
      </c>
      <c r="H20" s="269"/>
      <c r="I20" s="296">
        <v>6877854.8200000003</v>
      </c>
      <c r="J20" s="296"/>
      <c r="K20" s="422">
        <f t="shared" si="1"/>
        <v>6877854.8200000003</v>
      </c>
      <c r="L20" s="242">
        <v>6.7060000000000004</v>
      </c>
      <c r="M20" s="7">
        <v>1.61</v>
      </c>
      <c r="N20" s="243">
        <f t="shared" si="2"/>
        <v>6.7060000000000004</v>
      </c>
      <c r="O20" s="242"/>
      <c r="P20" s="243"/>
      <c r="Q20" s="242">
        <v>1</v>
      </c>
      <c r="R20" s="7"/>
      <c r="S20" s="243">
        <f t="shared" si="3"/>
        <v>1</v>
      </c>
      <c r="T20" s="242"/>
      <c r="U20" s="243"/>
      <c r="V20" s="242">
        <v>2204</v>
      </c>
      <c r="W20" s="7"/>
      <c r="X20" s="243">
        <f t="shared" si="0"/>
        <v>2204</v>
      </c>
      <c r="Y20" s="242"/>
      <c r="Z20" s="7"/>
      <c r="AA20" s="243"/>
      <c r="AB20" s="242"/>
      <c r="AC20" s="7"/>
      <c r="AD20" s="243"/>
      <c r="AE20" s="242"/>
      <c r="AF20" s="243"/>
      <c r="AG20" s="242"/>
      <c r="AH20" s="7"/>
      <c r="AI20" s="425"/>
    </row>
    <row r="21" spans="1:35" ht="38.25" x14ac:dyDescent="0.25">
      <c r="A21" s="70">
        <f t="shared" si="4"/>
        <v>17</v>
      </c>
      <c r="B21" s="4" t="s">
        <v>503</v>
      </c>
      <c r="C21" s="1" t="s">
        <v>1799</v>
      </c>
      <c r="D21" s="1" t="s">
        <v>2321</v>
      </c>
      <c r="E21" s="1" t="s">
        <v>2322</v>
      </c>
      <c r="F21" s="1" t="s">
        <v>2051</v>
      </c>
      <c r="G21" s="12">
        <v>43465</v>
      </c>
      <c r="H21" s="269"/>
      <c r="I21" s="296">
        <v>9353928.25</v>
      </c>
      <c r="J21" s="296"/>
      <c r="K21" s="422">
        <f t="shared" si="1"/>
        <v>9353928.25</v>
      </c>
      <c r="L21" s="242">
        <v>22.050699999999999</v>
      </c>
      <c r="M21" s="7"/>
      <c r="N21" s="243">
        <f t="shared" si="2"/>
        <v>22.050699999999999</v>
      </c>
      <c r="O21" s="242"/>
      <c r="P21" s="243"/>
      <c r="Q21" s="242">
        <v>1</v>
      </c>
      <c r="R21" s="7"/>
      <c r="S21" s="243">
        <f t="shared" si="3"/>
        <v>1</v>
      </c>
      <c r="T21" s="242"/>
      <c r="U21" s="243"/>
      <c r="V21" s="242">
        <v>2200</v>
      </c>
      <c r="W21" s="7"/>
      <c r="X21" s="243">
        <f t="shared" si="0"/>
        <v>2200</v>
      </c>
      <c r="Y21" s="242"/>
      <c r="Z21" s="7"/>
      <c r="AA21" s="243"/>
      <c r="AB21" s="242"/>
      <c r="AC21" s="7"/>
      <c r="AD21" s="243"/>
      <c r="AE21" s="242"/>
      <c r="AF21" s="243"/>
      <c r="AG21" s="242"/>
      <c r="AH21" s="7"/>
      <c r="AI21" s="425"/>
    </row>
    <row r="22" spans="1:35" ht="38.25" x14ac:dyDescent="0.25">
      <c r="A22" s="70">
        <f t="shared" si="4"/>
        <v>18</v>
      </c>
      <c r="B22" s="4" t="s">
        <v>504</v>
      </c>
      <c r="C22" s="1" t="s">
        <v>1799</v>
      </c>
      <c r="D22" s="1" t="s">
        <v>2321</v>
      </c>
      <c r="E22" s="1" t="s">
        <v>2323</v>
      </c>
      <c r="F22" s="1" t="s">
        <v>2051</v>
      </c>
      <c r="G22" s="12">
        <v>43465</v>
      </c>
      <c r="H22" s="269"/>
      <c r="I22" s="296">
        <v>11394739.109999999</v>
      </c>
      <c r="J22" s="296"/>
      <c r="K22" s="422">
        <f t="shared" si="1"/>
        <v>11394739.109999999</v>
      </c>
      <c r="L22" s="242">
        <v>13.743</v>
      </c>
      <c r="M22" s="7"/>
      <c r="N22" s="243">
        <f t="shared" si="2"/>
        <v>13.743</v>
      </c>
      <c r="O22" s="242"/>
      <c r="P22" s="243"/>
      <c r="Q22" s="242">
        <v>1</v>
      </c>
      <c r="R22" s="7"/>
      <c r="S22" s="243">
        <f t="shared" si="3"/>
        <v>1</v>
      </c>
      <c r="T22" s="242"/>
      <c r="U22" s="243"/>
      <c r="V22" s="242">
        <v>4146</v>
      </c>
      <c r="W22" s="7"/>
      <c r="X22" s="243">
        <f t="shared" si="0"/>
        <v>4146</v>
      </c>
      <c r="Y22" s="242"/>
      <c r="Z22" s="7"/>
      <c r="AA22" s="243"/>
      <c r="AB22" s="242"/>
      <c r="AC22" s="7"/>
      <c r="AD22" s="243"/>
      <c r="AE22" s="242"/>
      <c r="AF22" s="243"/>
      <c r="AG22" s="242"/>
      <c r="AH22" s="7"/>
      <c r="AI22" s="425"/>
    </row>
    <row r="23" spans="1:35" ht="38.25" x14ac:dyDescent="0.25">
      <c r="A23" s="70">
        <f t="shared" si="4"/>
        <v>19</v>
      </c>
      <c r="B23" s="4" t="s">
        <v>505</v>
      </c>
      <c r="C23" s="1" t="s">
        <v>1799</v>
      </c>
      <c r="D23" s="1" t="s">
        <v>2321</v>
      </c>
      <c r="E23" s="1" t="s">
        <v>2324</v>
      </c>
      <c r="F23" s="1" t="s">
        <v>2051</v>
      </c>
      <c r="G23" s="12">
        <v>43465</v>
      </c>
      <c r="H23" s="269"/>
      <c r="I23" s="296">
        <v>15449573.050000001</v>
      </c>
      <c r="J23" s="296"/>
      <c r="K23" s="422">
        <f t="shared" si="1"/>
        <v>15449573.050000001</v>
      </c>
      <c r="L23" s="242">
        <v>17.922799999999999</v>
      </c>
      <c r="M23" s="7"/>
      <c r="N23" s="243">
        <f t="shared" si="2"/>
        <v>17.922799999999999</v>
      </c>
      <c r="O23" s="242"/>
      <c r="P23" s="243"/>
      <c r="Q23" s="242">
        <v>1</v>
      </c>
      <c r="R23" s="7"/>
      <c r="S23" s="243">
        <f t="shared" si="3"/>
        <v>1</v>
      </c>
      <c r="T23" s="242"/>
      <c r="U23" s="243"/>
      <c r="V23" s="242">
        <v>7245</v>
      </c>
      <c r="W23" s="7"/>
      <c r="X23" s="243">
        <f t="shared" si="0"/>
        <v>7245</v>
      </c>
      <c r="Y23" s="242"/>
      <c r="Z23" s="7"/>
      <c r="AA23" s="243"/>
      <c r="AB23" s="242"/>
      <c r="AC23" s="7"/>
      <c r="AD23" s="243"/>
      <c r="AE23" s="242"/>
      <c r="AF23" s="243"/>
      <c r="AG23" s="242"/>
      <c r="AH23" s="7"/>
      <c r="AI23" s="425"/>
    </row>
    <row r="24" spans="1:35" ht="25.5" x14ac:dyDescent="0.25">
      <c r="A24" s="70">
        <f t="shared" si="4"/>
        <v>20</v>
      </c>
      <c r="B24" s="4" t="s">
        <v>486</v>
      </c>
      <c r="C24" s="1" t="s">
        <v>1799</v>
      </c>
      <c r="D24" s="1" t="s">
        <v>555</v>
      </c>
      <c r="E24" s="1" t="s">
        <v>2325</v>
      </c>
      <c r="F24" s="1" t="s">
        <v>2051</v>
      </c>
      <c r="G24" s="12">
        <v>43524</v>
      </c>
      <c r="H24" s="269"/>
      <c r="I24" s="296">
        <v>16182134.66</v>
      </c>
      <c r="J24" s="296"/>
      <c r="K24" s="422"/>
      <c r="L24" s="242">
        <v>26.92</v>
      </c>
      <c r="M24" s="7"/>
      <c r="N24" s="243"/>
      <c r="O24" s="242"/>
      <c r="P24" s="243"/>
      <c r="Q24" s="242">
        <v>1</v>
      </c>
      <c r="R24" s="7"/>
      <c r="S24" s="243"/>
      <c r="T24" s="242"/>
      <c r="U24" s="243"/>
      <c r="V24" s="242">
        <v>3100</v>
      </c>
      <c r="W24" s="7"/>
      <c r="X24" s="243"/>
      <c r="Y24" s="242"/>
      <c r="Z24" s="7"/>
      <c r="AA24" s="243"/>
      <c r="AB24" s="242"/>
      <c r="AC24" s="7"/>
      <c r="AD24" s="243"/>
      <c r="AE24" s="242"/>
      <c r="AF24" s="243"/>
      <c r="AG24" s="242"/>
      <c r="AH24" s="7"/>
      <c r="AI24" s="425"/>
    </row>
    <row r="25" spans="1:35" ht="25.5" x14ac:dyDescent="0.25">
      <c r="A25" s="70">
        <f t="shared" si="4"/>
        <v>21</v>
      </c>
      <c r="B25" s="4" t="s">
        <v>491</v>
      </c>
      <c r="C25" s="1" t="s">
        <v>1799</v>
      </c>
      <c r="D25" s="1" t="s">
        <v>2097</v>
      </c>
      <c r="E25" s="1" t="s">
        <v>2326</v>
      </c>
      <c r="F25" s="1" t="s">
        <v>2051</v>
      </c>
      <c r="G25" s="12">
        <v>43524</v>
      </c>
      <c r="H25" s="269"/>
      <c r="I25" s="296">
        <v>10424128.16</v>
      </c>
      <c r="J25" s="296"/>
      <c r="K25" s="422"/>
      <c r="L25" s="242">
        <v>17.077999999999999</v>
      </c>
      <c r="M25" s="7"/>
      <c r="N25" s="243"/>
      <c r="O25" s="242"/>
      <c r="P25" s="243"/>
      <c r="Q25" s="242">
        <v>1</v>
      </c>
      <c r="R25" s="7"/>
      <c r="S25" s="243"/>
      <c r="T25" s="242"/>
      <c r="U25" s="243"/>
      <c r="V25" s="242">
        <v>1940</v>
      </c>
      <c r="W25" s="7"/>
      <c r="X25" s="243"/>
      <c r="Y25" s="242"/>
      <c r="Z25" s="7"/>
      <c r="AA25" s="243"/>
      <c r="AB25" s="242"/>
      <c r="AC25" s="7"/>
      <c r="AD25" s="243"/>
      <c r="AE25" s="242"/>
      <c r="AF25" s="243"/>
      <c r="AG25" s="242"/>
      <c r="AH25" s="7"/>
      <c r="AI25" s="425"/>
    </row>
    <row r="26" spans="1:35" ht="25.5" x14ac:dyDescent="0.25">
      <c r="A26" s="70">
        <f t="shared" si="4"/>
        <v>22</v>
      </c>
      <c r="B26" s="4" t="s">
        <v>495</v>
      </c>
      <c r="C26" s="1" t="s">
        <v>1799</v>
      </c>
      <c r="D26" s="1" t="s">
        <v>1018</v>
      </c>
      <c r="E26" s="1" t="s">
        <v>2327</v>
      </c>
      <c r="F26" s="1" t="s">
        <v>2051</v>
      </c>
      <c r="G26" s="12">
        <v>43524</v>
      </c>
      <c r="H26" s="269"/>
      <c r="I26" s="296">
        <v>12932970.51</v>
      </c>
      <c r="J26" s="296"/>
      <c r="K26" s="422"/>
      <c r="L26" s="242">
        <v>17.875499999999999</v>
      </c>
      <c r="M26" s="7"/>
      <c r="N26" s="243"/>
      <c r="O26" s="242"/>
      <c r="P26" s="243"/>
      <c r="Q26" s="242">
        <v>1</v>
      </c>
      <c r="R26" s="7"/>
      <c r="S26" s="243"/>
      <c r="T26" s="242"/>
      <c r="U26" s="243"/>
      <c r="V26" s="242">
        <v>2800</v>
      </c>
      <c r="W26" s="7"/>
      <c r="X26" s="243"/>
      <c r="Y26" s="242"/>
      <c r="Z26" s="7"/>
      <c r="AA26" s="243"/>
      <c r="AB26" s="242"/>
      <c r="AC26" s="7"/>
      <c r="AD26" s="243"/>
      <c r="AE26" s="242"/>
      <c r="AF26" s="243"/>
      <c r="AG26" s="242"/>
      <c r="AH26" s="7"/>
      <c r="AI26" s="425"/>
    </row>
    <row r="27" spans="1:35" ht="38.25" x14ac:dyDescent="0.25">
      <c r="A27" s="70">
        <f t="shared" si="4"/>
        <v>23</v>
      </c>
      <c r="B27" s="4" t="s">
        <v>506</v>
      </c>
      <c r="C27" s="1" t="s">
        <v>1799</v>
      </c>
      <c r="D27" s="1" t="s">
        <v>2321</v>
      </c>
      <c r="E27" s="1" t="s">
        <v>2328</v>
      </c>
      <c r="F27" s="1" t="s">
        <v>2051</v>
      </c>
      <c r="G27" s="12">
        <v>43524</v>
      </c>
      <c r="H27" s="269"/>
      <c r="I27" s="296">
        <v>11667053.84</v>
      </c>
      <c r="J27" s="296"/>
      <c r="K27" s="422"/>
      <c r="L27" s="242">
        <v>19.2547</v>
      </c>
      <c r="M27" s="7"/>
      <c r="N27" s="243"/>
      <c r="O27" s="242"/>
      <c r="P27" s="243"/>
      <c r="Q27" s="242">
        <v>1</v>
      </c>
      <c r="R27" s="7"/>
      <c r="S27" s="243"/>
      <c r="T27" s="242"/>
      <c r="U27" s="243"/>
      <c r="V27" s="242">
        <v>5584</v>
      </c>
      <c r="W27" s="7"/>
      <c r="X27" s="243"/>
      <c r="Y27" s="242"/>
      <c r="Z27" s="7"/>
      <c r="AA27" s="243"/>
      <c r="AB27" s="242"/>
      <c r="AC27" s="7"/>
      <c r="AD27" s="243"/>
      <c r="AE27" s="242"/>
      <c r="AF27" s="243"/>
      <c r="AG27" s="242"/>
      <c r="AH27" s="7"/>
      <c r="AI27" s="425"/>
    </row>
    <row r="28" spans="1:35" ht="25.5" x14ac:dyDescent="0.25">
      <c r="A28" s="70">
        <f t="shared" si="4"/>
        <v>24</v>
      </c>
      <c r="B28" s="4" t="s">
        <v>526</v>
      </c>
      <c r="C28" s="1" t="s">
        <v>1799</v>
      </c>
      <c r="D28" s="1" t="s">
        <v>993</v>
      </c>
      <c r="E28" s="1" t="s">
        <v>2329</v>
      </c>
      <c r="F28" s="1" t="s">
        <v>2051</v>
      </c>
      <c r="G28" s="12">
        <v>43524</v>
      </c>
      <c r="H28" s="269"/>
      <c r="I28" s="296">
        <v>9057251.8100000005</v>
      </c>
      <c r="J28" s="296"/>
      <c r="K28" s="422"/>
      <c r="L28" s="242">
        <v>20.853000000000002</v>
      </c>
      <c r="M28" s="7"/>
      <c r="N28" s="243"/>
      <c r="O28" s="242"/>
      <c r="P28" s="243"/>
      <c r="Q28" s="242">
        <v>1</v>
      </c>
      <c r="R28" s="7"/>
      <c r="S28" s="243"/>
      <c r="T28" s="242"/>
      <c r="U28" s="243"/>
      <c r="V28" s="242">
        <v>3000</v>
      </c>
      <c r="W28" s="7"/>
      <c r="X28" s="243"/>
      <c r="Y28" s="242"/>
      <c r="Z28" s="7"/>
      <c r="AA28" s="243"/>
      <c r="AB28" s="242"/>
      <c r="AC28" s="7"/>
      <c r="AD28" s="243"/>
      <c r="AE28" s="242"/>
      <c r="AF28" s="243"/>
      <c r="AG28" s="242"/>
      <c r="AH28" s="7"/>
      <c r="AI28" s="425"/>
    </row>
    <row r="29" spans="1:35" ht="25.5" x14ac:dyDescent="0.25">
      <c r="A29" s="70">
        <f t="shared" si="4"/>
        <v>25</v>
      </c>
      <c r="B29" s="4" t="s">
        <v>510</v>
      </c>
      <c r="C29" s="1" t="s">
        <v>1799</v>
      </c>
      <c r="D29" s="1" t="s">
        <v>1038</v>
      </c>
      <c r="E29" s="1" t="s">
        <v>2330</v>
      </c>
      <c r="F29" s="1" t="s">
        <v>2051</v>
      </c>
      <c r="G29" s="12">
        <v>43555</v>
      </c>
      <c r="H29" s="269"/>
      <c r="I29" s="296">
        <v>7833842.4199999999</v>
      </c>
      <c r="J29" s="296"/>
      <c r="K29" s="422"/>
      <c r="L29" s="242">
        <v>14.08</v>
      </c>
      <c r="M29" s="7"/>
      <c r="N29" s="243"/>
      <c r="O29" s="242"/>
      <c r="P29" s="243"/>
      <c r="Q29" s="242">
        <v>1</v>
      </c>
      <c r="R29" s="7"/>
      <c r="S29" s="243"/>
      <c r="T29" s="242"/>
      <c r="U29" s="243"/>
      <c r="V29" s="242">
        <v>4241</v>
      </c>
      <c r="W29" s="7"/>
      <c r="X29" s="243"/>
      <c r="Y29" s="242"/>
      <c r="Z29" s="7"/>
      <c r="AA29" s="243"/>
      <c r="AB29" s="242"/>
      <c r="AC29" s="7"/>
      <c r="AD29" s="243"/>
      <c r="AE29" s="242"/>
      <c r="AF29" s="243"/>
      <c r="AG29" s="242"/>
      <c r="AH29" s="7"/>
      <c r="AI29" s="425"/>
    </row>
    <row r="30" spans="1:35" ht="25.5" x14ac:dyDescent="0.25">
      <c r="A30" s="70">
        <f t="shared" si="4"/>
        <v>26</v>
      </c>
      <c r="B30" s="4" t="s">
        <v>501</v>
      </c>
      <c r="C30" s="1" t="s">
        <v>1799</v>
      </c>
      <c r="D30" s="1" t="s">
        <v>2141</v>
      </c>
      <c r="E30" s="1" t="s">
        <v>2331</v>
      </c>
      <c r="F30" s="1" t="s">
        <v>2051</v>
      </c>
      <c r="G30" s="12">
        <v>43585</v>
      </c>
      <c r="H30" s="269"/>
      <c r="I30" s="296">
        <v>18748894.899999999</v>
      </c>
      <c r="J30" s="296"/>
      <c r="K30" s="422"/>
      <c r="L30" s="242">
        <v>35.401899999999998</v>
      </c>
      <c r="M30" s="7">
        <v>10.29</v>
      </c>
      <c r="N30" s="243"/>
      <c r="O30" s="242"/>
      <c r="P30" s="243"/>
      <c r="Q30" s="242">
        <v>1</v>
      </c>
      <c r="R30" s="7"/>
      <c r="S30" s="243"/>
      <c r="T30" s="242"/>
      <c r="U30" s="243"/>
      <c r="V30" s="242">
        <v>4663</v>
      </c>
      <c r="W30" s="7"/>
      <c r="X30" s="243"/>
      <c r="Y30" s="242"/>
      <c r="Z30" s="7"/>
      <c r="AA30" s="243"/>
      <c r="AB30" s="242"/>
      <c r="AC30" s="7"/>
      <c r="AD30" s="243"/>
      <c r="AE30" s="242"/>
      <c r="AF30" s="243"/>
      <c r="AG30" s="242"/>
      <c r="AH30" s="7"/>
      <c r="AI30" s="425"/>
    </row>
    <row r="31" spans="1:35" ht="25.5" x14ac:dyDescent="0.25">
      <c r="A31" s="70">
        <f t="shared" si="4"/>
        <v>27</v>
      </c>
      <c r="B31" s="4" t="s">
        <v>500</v>
      </c>
      <c r="C31" s="1" t="s">
        <v>1799</v>
      </c>
      <c r="D31" s="1" t="s">
        <v>2332</v>
      </c>
      <c r="E31" s="1" t="s">
        <v>2333</v>
      </c>
      <c r="F31" s="1" t="s">
        <v>2051</v>
      </c>
      <c r="G31" s="12">
        <v>43708</v>
      </c>
      <c r="H31" s="269"/>
      <c r="I31" s="296">
        <v>2679101.91</v>
      </c>
      <c r="J31" s="296"/>
      <c r="K31" s="422"/>
      <c r="L31" s="242">
        <v>0</v>
      </c>
      <c r="M31" s="7"/>
      <c r="N31" s="243"/>
      <c r="O31" s="242"/>
      <c r="P31" s="243"/>
      <c r="Q31" s="242">
        <v>1</v>
      </c>
      <c r="R31" s="7"/>
      <c r="S31" s="243"/>
      <c r="T31" s="242"/>
      <c r="U31" s="243"/>
      <c r="V31" s="242">
        <v>3633</v>
      </c>
      <c r="W31" s="7"/>
      <c r="X31" s="243"/>
      <c r="Y31" s="242"/>
      <c r="Z31" s="7"/>
      <c r="AA31" s="243"/>
      <c r="AB31" s="242"/>
      <c r="AC31" s="7"/>
      <c r="AD31" s="243"/>
      <c r="AE31" s="242"/>
      <c r="AF31" s="243"/>
      <c r="AG31" s="242"/>
      <c r="AH31" s="7"/>
      <c r="AI31" s="425"/>
    </row>
    <row r="32" spans="1:35" ht="25.5" x14ac:dyDescent="0.25">
      <c r="A32" s="70">
        <f t="shared" si="4"/>
        <v>28</v>
      </c>
      <c r="B32" s="4" t="s">
        <v>509</v>
      </c>
      <c r="C32" s="1" t="s">
        <v>1799</v>
      </c>
      <c r="D32" s="1" t="s">
        <v>1002</v>
      </c>
      <c r="E32" s="1" t="s">
        <v>2334</v>
      </c>
      <c r="F32" s="1" t="s">
        <v>2051</v>
      </c>
      <c r="G32" s="12">
        <v>43738</v>
      </c>
      <c r="H32" s="269"/>
      <c r="I32" s="296">
        <v>18668712.469999999</v>
      </c>
      <c r="J32" s="296"/>
      <c r="K32" s="422"/>
      <c r="L32" s="242">
        <v>31.572900000000001</v>
      </c>
      <c r="M32" s="7"/>
      <c r="N32" s="243"/>
      <c r="O32" s="242"/>
      <c r="P32" s="243"/>
      <c r="Q32" s="242">
        <v>1</v>
      </c>
      <c r="R32" s="7"/>
      <c r="S32" s="243"/>
      <c r="T32" s="242"/>
      <c r="U32" s="243"/>
      <c r="V32" s="242">
        <v>4219</v>
      </c>
      <c r="W32" s="7"/>
      <c r="X32" s="243"/>
      <c r="Y32" s="242"/>
      <c r="Z32" s="7"/>
      <c r="AA32" s="243"/>
      <c r="AB32" s="242"/>
      <c r="AC32" s="7"/>
      <c r="AD32" s="243"/>
      <c r="AE32" s="242"/>
      <c r="AF32" s="243"/>
      <c r="AG32" s="242"/>
      <c r="AH32" s="7"/>
      <c r="AI32" s="425"/>
    </row>
    <row r="33" spans="1:35" ht="38.25" x14ac:dyDescent="0.25">
      <c r="A33" s="70">
        <f t="shared" si="4"/>
        <v>29</v>
      </c>
      <c r="B33" s="4" t="s">
        <v>507</v>
      </c>
      <c r="C33" s="1" t="s">
        <v>1799</v>
      </c>
      <c r="D33" s="1" t="s">
        <v>2321</v>
      </c>
      <c r="E33" s="1" t="s">
        <v>2335</v>
      </c>
      <c r="F33" s="1" t="s">
        <v>2051</v>
      </c>
      <c r="G33" s="12">
        <v>43830</v>
      </c>
      <c r="H33" s="269"/>
      <c r="I33" s="296">
        <v>7856475.1100000003</v>
      </c>
      <c r="J33" s="296"/>
      <c r="K33" s="422"/>
      <c r="L33" s="242">
        <v>14.959899999999999</v>
      </c>
      <c r="M33" s="7"/>
      <c r="N33" s="243"/>
      <c r="O33" s="242"/>
      <c r="P33" s="243"/>
      <c r="Q33" s="242">
        <v>1</v>
      </c>
      <c r="R33" s="7"/>
      <c r="S33" s="243"/>
      <c r="T33" s="242"/>
      <c r="U33" s="243"/>
      <c r="V33" s="242">
        <v>2634</v>
      </c>
      <c r="W33" s="7"/>
      <c r="X33" s="243"/>
      <c r="Y33" s="242"/>
      <c r="Z33" s="7"/>
      <c r="AA33" s="243"/>
      <c r="AB33" s="242"/>
      <c r="AC33" s="7"/>
      <c r="AD33" s="243"/>
      <c r="AE33" s="242"/>
      <c r="AF33" s="243"/>
      <c r="AG33" s="242"/>
      <c r="AH33" s="7"/>
      <c r="AI33" s="425"/>
    </row>
    <row r="34" spans="1:35" ht="25.5" x14ac:dyDescent="0.25">
      <c r="A34" s="70">
        <f t="shared" si="4"/>
        <v>30</v>
      </c>
      <c r="B34" s="4" t="s">
        <v>508</v>
      </c>
      <c r="C34" s="1" t="s">
        <v>1799</v>
      </c>
      <c r="D34" s="1" t="s">
        <v>2336</v>
      </c>
      <c r="E34" s="1" t="s">
        <v>2337</v>
      </c>
      <c r="F34" s="1" t="s">
        <v>2051</v>
      </c>
      <c r="G34" s="12">
        <v>43830</v>
      </c>
      <c r="H34" s="269"/>
      <c r="I34" s="296">
        <v>7772786.2400000002</v>
      </c>
      <c r="J34" s="296"/>
      <c r="K34" s="422"/>
      <c r="L34" s="242">
        <v>17.773</v>
      </c>
      <c r="M34" s="7"/>
      <c r="N34" s="243"/>
      <c r="O34" s="242"/>
      <c r="P34" s="243"/>
      <c r="Q34" s="242">
        <v>0</v>
      </c>
      <c r="R34" s="7"/>
      <c r="S34" s="243"/>
      <c r="T34" s="242"/>
      <c r="U34" s="243"/>
      <c r="V34" s="242">
        <v>2190</v>
      </c>
      <c r="W34" s="7"/>
      <c r="X34" s="243"/>
      <c r="Y34" s="242"/>
      <c r="Z34" s="7"/>
      <c r="AA34" s="243"/>
      <c r="AB34" s="242"/>
      <c r="AC34" s="7"/>
      <c r="AD34" s="243"/>
      <c r="AE34" s="242"/>
      <c r="AF34" s="243"/>
      <c r="AG34" s="242"/>
      <c r="AH34" s="7"/>
      <c r="AI34" s="425"/>
    </row>
    <row r="35" spans="1:35" ht="25.5" x14ac:dyDescent="0.25">
      <c r="A35" s="70">
        <f t="shared" si="4"/>
        <v>31</v>
      </c>
      <c r="B35" s="4" t="s">
        <v>525</v>
      </c>
      <c r="C35" s="1" t="s">
        <v>1799</v>
      </c>
      <c r="D35" s="1" t="s">
        <v>2338</v>
      </c>
      <c r="E35" s="1" t="s">
        <v>2339</v>
      </c>
      <c r="F35" s="1" t="s">
        <v>2051</v>
      </c>
      <c r="G35" s="12">
        <v>43861</v>
      </c>
      <c r="H35" s="269"/>
      <c r="I35" s="296">
        <v>13949610.48</v>
      </c>
      <c r="J35" s="296"/>
      <c r="K35" s="422"/>
      <c r="L35" s="242">
        <v>24.5456</v>
      </c>
      <c r="M35" s="7"/>
      <c r="N35" s="243"/>
      <c r="O35" s="242"/>
      <c r="P35" s="243"/>
      <c r="Q35" s="242">
        <v>1</v>
      </c>
      <c r="R35" s="7"/>
      <c r="S35" s="243"/>
      <c r="T35" s="242"/>
      <c r="U35" s="243"/>
      <c r="V35" s="242">
        <v>3000</v>
      </c>
      <c r="W35" s="7"/>
      <c r="X35" s="243"/>
      <c r="Y35" s="242"/>
      <c r="Z35" s="7"/>
      <c r="AA35" s="243"/>
      <c r="AB35" s="242"/>
      <c r="AC35" s="7"/>
      <c r="AD35" s="243"/>
      <c r="AE35" s="242"/>
      <c r="AF35" s="243"/>
      <c r="AG35" s="242"/>
      <c r="AH35" s="7"/>
      <c r="AI35" s="425"/>
    </row>
    <row r="36" spans="1:35" ht="25.5" x14ac:dyDescent="0.25">
      <c r="A36" s="70">
        <f t="shared" si="4"/>
        <v>32</v>
      </c>
      <c r="B36" s="4" t="s">
        <v>494</v>
      </c>
      <c r="C36" s="1" t="s">
        <v>1799</v>
      </c>
      <c r="D36" s="1" t="s">
        <v>879</v>
      </c>
      <c r="E36" s="1" t="s">
        <v>2340</v>
      </c>
      <c r="F36" s="1" t="s">
        <v>2051</v>
      </c>
      <c r="G36" s="12">
        <v>43951</v>
      </c>
      <c r="H36" s="269"/>
      <c r="I36" s="296">
        <v>6003566.3300000001</v>
      </c>
      <c r="J36" s="296"/>
      <c r="K36" s="422"/>
      <c r="L36" s="242">
        <v>9.1434999999999995</v>
      </c>
      <c r="M36" s="7"/>
      <c r="N36" s="243"/>
      <c r="O36" s="242"/>
      <c r="P36" s="243"/>
      <c r="Q36" s="242">
        <v>1</v>
      </c>
      <c r="R36" s="7"/>
      <c r="S36" s="243"/>
      <c r="T36" s="242"/>
      <c r="U36" s="243"/>
      <c r="V36" s="242">
        <v>2300</v>
      </c>
      <c r="W36" s="7"/>
      <c r="X36" s="243"/>
      <c r="Y36" s="242"/>
      <c r="Z36" s="7"/>
      <c r="AA36" s="243"/>
      <c r="AB36" s="242"/>
      <c r="AC36" s="7"/>
      <c r="AD36" s="243"/>
      <c r="AE36" s="242"/>
      <c r="AF36" s="243"/>
      <c r="AG36" s="242"/>
      <c r="AH36" s="7"/>
      <c r="AI36" s="425"/>
    </row>
    <row r="37" spans="1:35" ht="25.5" x14ac:dyDescent="0.25">
      <c r="A37" s="70">
        <f t="shared" si="4"/>
        <v>33</v>
      </c>
      <c r="B37" s="4" t="s">
        <v>524</v>
      </c>
      <c r="C37" s="1" t="s">
        <v>1799</v>
      </c>
      <c r="D37" s="1" t="s">
        <v>2341</v>
      </c>
      <c r="E37" s="1" t="s">
        <v>2342</v>
      </c>
      <c r="F37" s="1" t="s">
        <v>2051</v>
      </c>
      <c r="G37" s="12">
        <v>43951</v>
      </c>
      <c r="H37" s="269"/>
      <c r="I37" s="296">
        <v>12382600.359999999</v>
      </c>
      <c r="J37" s="296"/>
      <c r="K37" s="422"/>
      <c r="L37" s="242">
        <v>29.498999999999999</v>
      </c>
      <c r="M37" s="7"/>
      <c r="N37" s="243"/>
      <c r="O37" s="242"/>
      <c r="P37" s="243"/>
      <c r="Q37" s="242">
        <v>1</v>
      </c>
      <c r="R37" s="7"/>
      <c r="S37" s="243"/>
      <c r="T37" s="242"/>
      <c r="U37" s="243"/>
      <c r="V37" s="242">
        <v>3145</v>
      </c>
      <c r="W37" s="7"/>
      <c r="X37" s="243"/>
      <c r="Y37" s="242"/>
      <c r="Z37" s="7"/>
      <c r="AA37" s="243"/>
      <c r="AB37" s="242"/>
      <c r="AC37" s="7"/>
      <c r="AD37" s="243"/>
      <c r="AE37" s="242"/>
      <c r="AF37" s="243"/>
      <c r="AG37" s="242"/>
      <c r="AH37" s="7"/>
      <c r="AI37" s="425"/>
    </row>
    <row r="38" spans="1:35" ht="25.5" x14ac:dyDescent="0.25">
      <c r="A38" s="70">
        <f t="shared" si="4"/>
        <v>34</v>
      </c>
      <c r="B38" s="4" t="s">
        <v>492</v>
      </c>
      <c r="C38" s="1" t="s">
        <v>1799</v>
      </c>
      <c r="D38" s="1" t="s">
        <v>2336</v>
      </c>
      <c r="E38" s="1" t="s">
        <v>2343</v>
      </c>
      <c r="F38" s="1" t="s">
        <v>2051</v>
      </c>
      <c r="G38" s="12">
        <v>44012</v>
      </c>
      <c r="H38" s="269"/>
      <c r="I38" s="296">
        <v>13225369.07</v>
      </c>
      <c r="J38" s="296"/>
      <c r="K38" s="422"/>
      <c r="L38" s="242">
        <v>26.658999999999999</v>
      </c>
      <c r="M38" s="7"/>
      <c r="N38" s="243"/>
      <c r="O38" s="242"/>
      <c r="P38" s="243"/>
      <c r="Q38" s="242">
        <v>0</v>
      </c>
      <c r="R38" s="7"/>
      <c r="S38" s="243"/>
      <c r="T38" s="242"/>
      <c r="U38" s="243"/>
      <c r="V38" s="242">
        <v>4497</v>
      </c>
      <c r="W38" s="7"/>
      <c r="X38" s="243"/>
      <c r="Y38" s="242"/>
      <c r="Z38" s="7"/>
      <c r="AA38" s="243"/>
      <c r="AB38" s="242"/>
      <c r="AC38" s="7"/>
      <c r="AD38" s="243"/>
      <c r="AE38" s="242"/>
      <c r="AF38" s="243"/>
      <c r="AG38" s="242"/>
      <c r="AH38" s="7"/>
      <c r="AI38" s="425"/>
    </row>
    <row r="39" spans="1:35" ht="25.5" x14ac:dyDescent="0.25">
      <c r="A39" s="70">
        <f t="shared" si="4"/>
        <v>35</v>
      </c>
      <c r="B39" s="4" t="s">
        <v>488</v>
      </c>
      <c r="C39" s="1" t="s">
        <v>1799</v>
      </c>
      <c r="D39" s="1" t="s">
        <v>2336</v>
      </c>
      <c r="E39" s="1" t="s">
        <v>2344</v>
      </c>
      <c r="F39" s="1" t="s">
        <v>2051</v>
      </c>
      <c r="G39" s="12">
        <v>44196</v>
      </c>
      <c r="H39" s="269"/>
      <c r="I39" s="296">
        <v>10984207.6</v>
      </c>
      <c r="J39" s="296"/>
      <c r="K39" s="422"/>
      <c r="L39" s="242">
        <v>23.209399999999999</v>
      </c>
      <c r="M39" s="7"/>
      <c r="N39" s="243"/>
      <c r="O39" s="242"/>
      <c r="P39" s="243"/>
      <c r="Q39" s="242">
        <v>2</v>
      </c>
      <c r="R39" s="7"/>
      <c r="S39" s="243"/>
      <c r="T39" s="242"/>
      <c r="U39" s="243"/>
      <c r="V39" s="242">
        <v>3261</v>
      </c>
      <c r="W39" s="7"/>
      <c r="X39" s="243"/>
      <c r="Y39" s="242"/>
      <c r="Z39" s="7"/>
      <c r="AA39" s="243"/>
      <c r="AB39" s="242"/>
      <c r="AC39" s="7"/>
      <c r="AD39" s="243"/>
      <c r="AE39" s="242"/>
      <c r="AF39" s="243"/>
      <c r="AG39" s="242"/>
      <c r="AH39" s="7"/>
      <c r="AI39" s="425"/>
    </row>
    <row r="40" spans="1:35" ht="25.5" x14ac:dyDescent="0.25">
      <c r="A40" s="70">
        <f t="shared" si="4"/>
        <v>36</v>
      </c>
      <c r="B40" s="4" t="s">
        <v>499</v>
      </c>
      <c r="C40" s="1" t="s">
        <v>1799</v>
      </c>
      <c r="D40" s="1" t="s">
        <v>2336</v>
      </c>
      <c r="E40" s="1" t="s">
        <v>2345</v>
      </c>
      <c r="F40" s="1" t="s">
        <v>2051</v>
      </c>
      <c r="G40" s="12">
        <v>44196</v>
      </c>
      <c r="H40" s="269"/>
      <c r="I40" s="296">
        <v>4625983.91</v>
      </c>
      <c r="J40" s="296"/>
      <c r="K40" s="422"/>
      <c r="L40" s="242">
        <v>0</v>
      </c>
      <c r="M40" s="7"/>
      <c r="N40" s="243"/>
      <c r="O40" s="242"/>
      <c r="P40" s="243"/>
      <c r="Q40" s="242">
        <v>1</v>
      </c>
      <c r="R40" s="7"/>
      <c r="S40" s="243"/>
      <c r="T40" s="242"/>
      <c r="U40" s="243"/>
      <c r="V40" s="242">
        <v>7413</v>
      </c>
      <c r="W40" s="7"/>
      <c r="X40" s="243"/>
      <c r="Y40" s="242"/>
      <c r="Z40" s="7"/>
      <c r="AA40" s="243"/>
      <c r="AB40" s="242"/>
      <c r="AC40" s="7"/>
      <c r="AD40" s="243"/>
      <c r="AE40" s="242"/>
      <c r="AF40" s="243"/>
      <c r="AG40" s="242"/>
      <c r="AH40" s="7"/>
      <c r="AI40" s="425"/>
    </row>
    <row r="41" spans="1:35" ht="25.5" x14ac:dyDescent="0.25">
      <c r="A41" s="70">
        <f t="shared" si="4"/>
        <v>37</v>
      </c>
      <c r="B41" s="4" t="s">
        <v>512</v>
      </c>
      <c r="C41" s="1" t="s">
        <v>1799</v>
      </c>
      <c r="D41" s="1" t="s">
        <v>2336</v>
      </c>
      <c r="E41" s="1" t="s">
        <v>2346</v>
      </c>
      <c r="F41" s="1" t="s">
        <v>2051</v>
      </c>
      <c r="G41" s="12">
        <v>44196</v>
      </c>
      <c r="H41" s="269"/>
      <c r="I41" s="296">
        <v>5612262.6100000003</v>
      </c>
      <c r="J41" s="296"/>
      <c r="K41" s="422"/>
      <c r="L41" s="242">
        <v>11.752000000000001</v>
      </c>
      <c r="M41" s="7"/>
      <c r="N41" s="243"/>
      <c r="O41" s="242"/>
      <c r="P41" s="243"/>
      <c r="Q41" s="242">
        <v>1</v>
      </c>
      <c r="R41" s="7"/>
      <c r="S41" s="243"/>
      <c r="T41" s="242"/>
      <c r="U41" s="243"/>
      <c r="V41" s="242">
        <v>941</v>
      </c>
      <c r="W41" s="7"/>
      <c r="X41" s="243"/>
      <c r="Y41" s="242"/>
      <c r="Z41" s="7"/>
      <c r="AA41" s="243"/>
      <c r="AB41" s="242"/>
      <c r="AC41" s="7"/>
      <c r="AD41" s="243"/>
      <c r="AE41" s="242"/>
      <c r="AF41" s="243"/>
      <c r="AG41" s="242"/>
      <c r="AH41" s="7"/>
      <c r="AI41" s="425"/>
    </row>
    <row r="42" spans="1:35" ht="25.5" x14ac:dyDescent="0.25">
      <c r="A42" s="70">
        <f t="shared" si="4"/>
        <v>38</v>
      </c>
      <c r="B42" s="4" t="s">
        <v>514</v>
      </c>
      <c r="C42" s="1" t="s">
        <v>1799</v>
      </c>
      <c r="D42" s="1" t="s">
        <v>2336</v>
      </c>
      <c r="E42" s="1" t="s">
        <v>2347</v>
      </c>
      <c r="F42" s="1" t="s">
        <v>2051</v>
      </c>
      <c r="G42" s="12">
        <v>44196</v>
      </c>
      <c r="H42" s="269"/>
      <c r="I42" s="296">
        <v>12945225.52</v>
      </c>
      <c r="J42" s="296"/>
      <c r="K42" s="422"/>
      <c r="L42" s="242">
        <v>23.827000000000002</v>
      </c>
      <c r="M42" s="7"/>
      <c r="N42" s="243"/>
      <c r="O42" s="242"/>
      <c r="P42" s="243"/>
      <c r="Q42" s="242">
        <v>2</v>
      </c>
      <c r="R42" s="7"/>
      <c r="S42" s="243"/>
      <c r="T42" s="242"/>
      <c r="U42" s="243"/>
      <c r="V42" s="242">
        <v>4100</v>
      </c>
      <c r="W42" s="7"/>
      <c r="X42" s="243"/>
      <c r="Y42" s="242"/>
      <c r="Z42" s="7"/>
      <c r="AA42" s="243"/>
      <c r="AB42" s="242"/>
      <c r="AC42" s="7"/>
      <c r="AD42" s="243"/>
      <c r="AE42" s="242"/>
      <c r="AF42" s="243"/>
      <c r="AG42" s="242"/>
      <c r="AH42" s="7"/>
      <c r="AI42" s="425"/>
    </row>
    <row r="43" spans="1:35" ht="25.5" x14ac:dyDescent="0.25">
      <c r="A43" s="70">
        <f t="shared" si="4"/>
        <v>39</v>
      </c>
      <c r="B43" s="4" t="s">
        <v>515</v>
      </c>
      <c r="C43" s="1" t="s">
        <v>1799</v>
      </c>
      <c r="D43" s="1" t="s">
        <v>2348</v>
      </c>
      <c r="E43" s="1" t="s">
        <v>2349</v>
      </c>
      <c r="F43" s="1" t="s">
        <v>2051</v>
      </c>
      <c r="G43" s="12">
        <v>44196</v>
      </c>
      <c r="H43" s="269"/>
      <c r="I43" s="296">
        <v>48745468.359999999</v>
      </c>
      <c r="J43" s="296"/>
      <c r="K43" s="422"/>
      <c r="L43" s="242">
        <v>123.46040000000001</v>
      </c>
      <c r="M43" s="7"/>
      <c r="N43" s="243"/>
      <c r="O43" s="242"/>
      <c r="P43" s="243"/>
      <c r="Q43" s="242">
        <v>1</v>
      </c>
      <c r="R43" s="7"/>
      <c r="S43" s="243"/>
      <c r="T43" s="242"/>
      <c r="U43" s="243"/>
      <c r="V43" s="242">
        <v>19241</v>
      </c>
      <c r="W43" s="7"/>
      <c r="X43" s="243"/>
      <c r="Y43" s="242"/>
      <c r="Z43" s="7"/>
      <c r="AA43" s="243"/>
      <c r="AB43" s="242">
        <v>22.408799999999999</v>
      </c>
      <c r="AC43" s="7"/>
      <c r="AD43" s="243"/>
      <c r="AE43" s="242"/>
      <c r="AF43" s="243"/>
      <c r="AG43" s="242">
        <v>2400</v>
      </c>
      <c r="AH43" s="7"/>
      <c r="AI43" s="425"/>
    </row>
    <row r="44" spans="1:35" ht="25.5" x14ac:dyDescent="0.25">
      <c r="A44" s="70">
        <f t="shared" si="4"/>
        <v>40</v>
      </c>
      <c r="B44" s="4" t="s">
        <v>518</v>
      </c>
      <c r="C44" s="1" t="s">
        <v>1799</v>
      </c>
      <c r="D44" s="1" t="s">
        <v>2336</v>
      </c>
      <c r="E44" s="1" t="s">
        <v>2350</v>
      </c>
      <c r="F44" s="1" t="s">
        <v>2051</v>
      </c>
      <c r="G44" s="12">
        <v>44196</v>
      </c>
      <c r="H44" s="269"/>
      <c r="I44" s="296">
        <v>14578270.1</v>
      </c>
      <c r="J44" s="296"/>
      <c r="K44" s="422"/>
      <c r="L44" s="242">
        <v>18.956</v>
      </c>
      <c r="M44" s="7"/>
      <c r="N44" s="243"/>
      <c r="O44" s="242"/>
      <c r="P44" s="243"/>
      <c r="Q44" s="242">
        <v>2</v>
      </c>
      <c r="R44" s="7"/>
      <c r="S44" s="243"/>
      <c r="T44" s="242"/>
      <c r="U44" s="243"/>
      <c r="V44" s="242">
        <v>4765</v>
      </c>
      <c r="W44" s="7"/>
      <c r="X44" s="243"/>
      <c r="Y44" s="242"/>
      <c r="Z44" s="7"/>
      <c r="AA44" s="243"/>
      <c r="AB44" s="242"/>
      <c r="AC44" s="7"/>
      <c r="AD44" s="243"/>
      <c r="AE44" s="242"/>
      <c r="AF44" s="243"/>
      <c r="AG44" s="242"/>
      <c r="AH44" s="7"/>
      <c r="AI44" s="425"/>
    </row>
    <row r="45" spans="1:35" ht="25.5" x14ac:dyDescent="0.25">
      <c r="A45" s="70">
        <f t="shared" si="4"/>
        <v>41</v>
      </c>
      <c r="B45" s="4" t="s">
        <v>520</v>
      </c>
      <c r="C45" s="1" t="s">
        <v>1799</v>
      </c>
      <c r="D45" s="1" t="s">
        <v>2336</v>
      </c>
      <c r="E45" s="1" t="s">
        <v>2351</v>
      </c>
      <c r="F45" s="1" t="s">
        <v>2051</v>
      </c>
      <c r="G45" s="12">
        <v>44196</v>
      </c>
      <c r="H45" s="269"/>
      <c r="I45" s="296">
        <v>14705823.49</v>
      </c>
      <c r="J45" s="296"/>
      <c r="K45" s="422"/>
      <c r="L45" s="242">
        <v>21.774999999999999</v>
      </c>
      <c r="M45" s="7"/>
      <c r="N45" s="243"/>
      <c r="O45" s="242"/>
      <c r="P45" s="243"/>
      <c r="Q45" s="242">
        <v>1</v>
      </c>
      <c r="R45" s="7"/>
      <c r="S45" s="243"/>
      <c r="T45" s="242"/>
      <c r="U45" s="243"/>
      <c r="V45" s="242">
        <v>7450</v>
      </c>
      <c r="W45" s="7"/>
      <c r="X45" s="243"/>
      <c r="Y45" s="242"/>
      <c r="Z45" s="7"/>
      <c r="AA45" s="243"/>
      <c r="AB45" s="242"/>
      <c r="AC45" s="7"/>
      <c r="AD45" s="243"/>
      <c r="AE45" s="242"/>
      <c r="AF45" s="243"/>
      <c r="AG45" s="242"/>
      <c r="AH45" s="7"/>
      <c r="AI45" s="425"/>
    </row>
    <row r="46" spans="1:35" ht="25.5" x14ac:dyDescent="0.25">
      <c r="A46" s="70">
        <f t="shared" si="4"/>
        <v>42</v>
      </c>
      <c r="B46" s="4" t="s">
        <v>523</v>
      </c>
      <c r="C46" s="1" t="s">
        <v>1799</v>
      </c>
      <c r="D46" s="1" t="s">
        <v>2336</v>
      </c>
      <c r="E46" s="1" t="s">
        <v>2352</v>
      </c>
      <c r="F46" s="1" t="s">
        <v>2051</v>
      </c>
      <c r="G46" s="12">
        <v>44196</v>
      </c>
      <c r="H46" s="269"/>
      <c r="I46" s="296">
        <v>6956571.0199999996</v>
      </c>
      <c r="J46" s="296"/>
      <c r="K46" s="422"/>
      <c r="L46" s="242">
        <v>11.9084</v>
      </c>
      <c r="M46" s="7"/>
      <c r="N46" s="243"/>
      <c r="O46" s="242"/>
      <c r="P46" s="243"/>
      <c r="Q46" s="242">
        <v>1</v>
      </c>
      <c r="R46" s="7"/>
      <c r="S46" s="243"/>
      <c r="T46" s="242"/>
      <c r="U46" s="243"/>
      <c r="V46" s="242">
        <v>3000</v>
      </c>
      <c r="W46" s="7"/>
      <c r="X46" s="243"/>
      <c r="Y46" s="242"/>
      <c r="Z46" s="7"/>
      <c r="AA46" s="243"/>
      <c r="AB46" s="242"/>
      <c r="AC46" s="7"/>
      <c r="AD46" s="243"/>
      <c r="AE46" s="242"/>
      <c r="AF46" s="243"/>
      <c r="AG46" s="242"/>
      <c r="AH46" s="7"/>
      <c r="AI46" s="94"/>
    </row>
    <row r="47" spans="1:35" ht="16.5" x14ac:dyDescent="0.3">
      <c r="H47" s="285">
        <f t="shared" ref="H47:AH47" si="6">SUM(H5:H46)</f>
        <v>0</v>
      </c>
      <c r="I47" s="285">
        <f t="shared" si="6"/>
        <v>523957521.48000008</v>
      </c>
      <c r="J47" s="285">
        <f t="shared" si="6"/>
        <v>0</v>
      </c>
      <c r="K47" s="423">
        <f t="shared" si="6"/>
        <v>235419210.59999996</v>
      </c>
      <c r="L47" s="245">
        <f t="shared" si="6"/>
        <v>918.26030000000003</v>
      </c>
      <c r="M47" s="94">
        <f t="shared" si="6"/>
        <v>75.076400000000007</v>
      </c>
      <c r="N47" s="246">
        <f>SUM(N5:N46)</f>
        <v>377.7561</v>
      </c>
      <c r="O47" s="245">
        <f t="shared" si="6"/>
        <v>0</v>
      </c>
      <c r="P47" s="246">
        <f t="shared" si="6"/>
        <v>0</v>
      </c>
      <c r="Q47" s="245">
        <f t="shared" si="6"/>
        <v>42</v>
      </c>
      <c r="R47" s="94">
        <f t="shared" si="6"/>
        <v>2.76</v>
      </c>
      <c r="S47" s="246">
        <f>SUM(S5:S46)</f>
        <v>18</v>
      </c>
      <c r="T47" s="245">
        <f t="shared" si="6"/>
        <v>0</v>
      </c>
      <c r="U47" s="246">
        <f t="shared" si="6"/>
        <v>0</v>
      </c>
      <c r="V47" s="245">
        <f t="shared" si="6"/>
        <v>273863</v>
      </c>
      <c r="W47" s="94">
        <f t="shared" si="6"/>
        <v>3500</v>
      </c>
      <c r="X47" s="246">
        <f t="shared" si="6"/>
        <v>172746</v>
      </c>
      <c r="Y47" s="245">
        <f t="shared" si="6"/>
        <v>0</v>
      </c>
      <c r="Z47" s="94">
        <f t="shared" si="6"/>
        <v>0</v>
      </c>
      <c r="AA47" s="246">
        <f t="shared" si="6"/>
        <v>0</v>
      </c>
      <c r="AB47" s="245">
        <f t="shared" si="6"/>
        <v>28.127800000000001</v>
      </c>
      <c r="AC47" s="94">
        <f t="shared" si="6"/>
        <v>0.90229999999999999</v>
      </c>
      <c r="AD47" s="246">
        <f>SUM(AD5:AD46)</f>
        <v>5.7190000000000003</v>
      </c>
      <c r="AE47" s="245">
        <f t="shared" si="6"/>
        <v>0</v>
      </c>
      <c r="AF47" s="246">
        <f t="shared" si="6"/>
        <v>0</v>
      </c>
      <c r="AG47" s="245">
        <f t="shared" si="6"/>
        <v>3129</v>
      </c>
      <c r="AH47" s="94">
        <f t="shared" si="6"/>
        <v>0</v>
      </c>
      <c r="AI47" s="94">
        <f>SUM(AI5:AI46)</f>
        <v>729</v>
      </c>
    </row>
    <row r="49" spans="12:24" x14ac:dyDescent="0.25">
      <c r="L49" s="8"/>
      <c r="Q49" s="8"/>
      <c r="V49" s="8"/>
    </row>
    <row r="50" spans="12:24" x14ac:dyDescent="0.25">
      <c r="L50" s="8"/>
      <c r="Q50" s="8"/>
      <c r="V50" s="8"/>
    </row>
    <row r="51" spans="12:24" x14ac:dyDescent="0.25">
      <c r="L51" s="8"/>
      <c r="V51" s="8"/>
      <c r="W51" s="8"/>
      <c r="X51" s="8"/>
    </row>
    <row r="52" spans="12:24" x14ac:dyDescent="0.25">
      <c r="L52" s="8"/>
      <c r="V52" s="8"/>
    </row>
    <row r="53" spans="12:24" x14ac:dyDescent="0.25">
      <c r="V53" s="8"/>
    </row>
  </sheetData>
  <sheetProtection algorithmName="SHA-512" hashValue="gSUb5ISB0SMbILof8twF4J29rzu9Ii3dTDfwpeq8vijPJxZTLtsIiqgOt/TIDFpkiqJkMVzlMlxIa27wdhR4yw==" saltValue="rsaqK/AajGDu3Kh8U9OkQg==" spinCount="100000" sheet="1" objects="1" scenarios="1" autoFilter="0"/>
  <autoFilter ref="B4:AH47">
    <sortState ref="B8:AD47">
      <sortCondition ref="G4:G47"/>
    </sortState>
  </autoFilter>
  <mergeCells count="38">
    <mergeCell ref="B1:B4"/>
    <mergeCell ref="A1:A4"/>
    <mergeCell ref="Q2:S2"/>
    <mergeCell ref="Q3:S3"/>
    <mergeCell ref="AB1:AD1"/>
    <mergeCell ref="AB2:AD2"/>
    <mergeCell ref="AB3:AD3"/>
    <mergeCell ref="H1:H3"/>
    <mergeCell ref="I1:I3"/>
    <mergeCell ref="K1:K3"/>
    <mergeCell ref="J1:J3"/>
    <mergeCell ref="O1:P1"/>
    <mergeCell ref="O3:P3"/>
    <mergeCell ref="O2:P2"/>
    <mergeCell ref="L1:N1"/>
    <mergeCell ref="L2:N2"/>
    <mergeCell ref="L3:N3"/>
    <mergeCell ref="G1:G4"/>
    <mergeCell ref="C1:C4"/>
    <mergeCell ref="D1:D4"/>
    <mergeCell ref="E1:E4"/>
    <mergeCell ref="F1:F4"/>
    <mergeCell ref="Q1:S1"/>
    <mergeCell ref="AE1:AF1"/>
    <mergeCell ref="AE3:AF3"/>
    <mergeCell ref="AE2:AF2"/>
    <mergeCell ref="AG1:AI1"/>
    <mergeCell ref="AG2:AI2"/>
    <mergeCell ref="AG3:AI3"/>
    <mergeCell ref="T3:U3"/>
    <mergeCell ref="V1:X1"/>
    <mergeCell ref="V2:X2"/>
    <mergeCell ref="V3:X3"/>
    <mergeCell ref="Y1:AA1"/>
    <mergeCell ref="Y2:AA2"/>
    <mergeCell ref="Y3:AA3"/>
    <mergeCell ref="T1:U1"/>
    <mergeCell ref="T2:U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23"/>
  <sheetViews>
    <sheetView zoomScale="80" zoomScaleNormal="80" workbookViewId="0">
      <selection activeCell="C9" sqref="C9:C22"/>
    </sheetView>
  </sheetViews>
  <sheetFormatPr defaultRowHeight="15" x14ac:dyDescent="0.25"/>
  <cols>
    <col min="2" max="2" width="18.85546875" customWidth="1"/>
    <col min="3" max="3" width="26.42578125" customWidth="1"/>
    <col min="4" max="4" width="14.42578125" customWidth="1"/>
    <col min="5" max="5" width="27.7109375" customWidth="1"/>
    <col min="9" max="9" width="14.7109375" bestFit="1" customWidth="1"/>
    <col min="10" max="10" width="12.42578125" customWidth="1"/>
    <col min="17" max="17" width="10.7109375" customWidth="1"/>
    <col min="19" max="19" width="11.28515625" customWidth="1"/>
  </cols>
  <sheetData>
    <row r="1" spans="1:20" ht="60" customHeight="1" x14ac:dyDescent="0.25">
      <c r="A1" s="1555" t="s">
        <v>2412</v>
      </c>
      <c r="B1" s="1548" t="s">
        <v>709</v>
      </c>
      <c r="C1" s="1548" t="s">
        <v>477</v>
      </c>
      <c r="D1" s="1548" t="s">
        <v>710</v>
      </c>
      <c r="E1" s="1548" t="s">
        <v>711</v>
      </c>
      <c r="F1" s="1548" t="s">
        <v>712</v>
      </c>
      <c r="G1" s="1550" t="s">
        <v>684</v>
      </c>
      <c r="H1" s="1550" t="s">
        <v>2020</v>
      </c>
      <c r="I1" s="1550" t="s">
        <v>2021</v>
      </c>
      <c r="J1" s="1550" t="s">
        <v>2022</v>
      </c>
      <c r="K1" s="1575" t="s">
        <v>160</v>
      </c>
      <c r="L1" s="1576"/>
      <c r="M1" s="1575" t="s">
        <v>165</v>
      </c>
      <c r="N1" s="1576"/>
      <c r="O1" s="1575" t="s">
        <v>162</v>
      </c>
      <c r="P1" s="1576"/>
      <c r="Q1" s="1575" t="s">
        <v>169</v>
      </c>
      <c r="R1" s="1576"/>
      <c r="S1" s="1575" t="s">
        <v>33</v>
      </c>
      <c r="T1" s="1576"/>
    </row>
    <row r="2" spans="1:20" x14ac:dyDescent="0.25">
      <c r="A2" s="1556"/>
      <c r="B2" s="1549"/>
      <c r="C2" s="1549"/>
      <c r="D2" s="1549"/>
      <c r="E2" s="1549"/>
      <c r="F2" s="1549"/>
      <c r="G2" s="1550"/>
      <c r="H2" s="1550"/>
      <c r="I2" s="1550"/>
      <c r="J2" s="1550"/>
      <c r="K2" s="1573" t="s">
        <v>159</v>
      </c>
      <c r="L2" s="1574"/>
      <c r="M2" s="1573" t="s">
        <v>164</v>
      </c>
      <c r="N2" s="1574"/>
      <c r="O2" s="1573" t="s">
        <v>161</v>
      </c>
      <c r="P2" s="1574"/>
      <c r="Q2" s="1573" t="s">
        <v>168</v>
      </c>
      <c r="R2" s="1574"/>
      <c r="S2" s="1573" t="s">
        <v>163</v>
      </c>
      <c r="T2" s="1574"/>
    </row>
    <row r="3" spans="1:20" x14ac:dyDescent="0.25">
      <c r="A3" s="1556"/>
      <c r="B3" s="1549"/>
      <c r="C3" s="1549"/>
      <c r="D3" s="1549"/>
      <c r="E3" s="1549"/>
      <c r="F3" s="1549"/>
      <c r="G3" s="1550"/>
      <c r="H3" s="1550"/>
      <c r="I3" s="1550"/>
      <c r="J3" s="1550"/>
      <c r="K3" s="1573" t="s">
        <v>440</v>
      </c>
      <c r="L3" s="1574"/>
      <c r="M3" s="1573" t="s">
        <v>441</v>
      </c>
      <c r="N3" s="1574"/>
      <c r="O3" s="1573" t="s">
        <v>440</v>
      </c>
      <c r="P3" s="1574"/>
      <c r="Q3" s="1573" t="s">
        <v>441</v>
      </c>
      <c r="R3" s="1574"/>
      <c r="S3" s="1573" t="s">
        <v>440</v>
      </c>
      <c r="T3" s="1574"/>
    </row>
    <row r="4" spans="1:20" ht="26.25" x14ac:dyDescent="0.25">
      <c r="A4" s="1557"/>
      <c r="B4" s="1554"/>
      <c r="C4" s="1554"/>
      <c r="D4" s="1554"/>
      <c r="E4" s="1554"/>
      <c r="F4" s="1554"/>
      <c r="G4" s="1550"/>
      <c r="H4" s="229" t="s">
        <v>410</v>
      </c>
      <c r="I4" s="229" t="s">
        <v>410</v>
      </c>
      <c r="J4" s="229" t="s">
        <v>410</v>
      </c>
      <c r="K4" s="92" t="s">
        <v>1605</v>
      </c>
      <c r="L4" s="92" t="s">
        <v>713</v>
      </c>
      <c r="M4" s="92" t="s">
        <v>1605</v>
      </c>
      <c r="N4" s="92" t="s">
        <v>713</v>
      </c>
      <c r="O4" s="92" t="s">
        <v>1605</v>
      </c>
      <c r="P4" s="92" t="s">
        <v>713</v>
      </c>
      <c r="Q4" s="92" t="s">
        <v>1605</v>
      </c>
      <c r="R4" s="92" t="s">
        <v>713</v>
      </c>
      <c r="S4" s="92" t="s">
        <v>1605</v>
      </c>
      <c r="T4" s="92" t="s">
        <v>713</v>
      </c>
    </row>
    <row r="5" spans="1:20" x14ac:dyDescent="0.25">
      <c r="A5" s="70">
        <v>1</v>
      </c>
      <c r="B5" s="297" t="s">
        <v>1832</v>
      </c>
      <c r="C5" s="14" t="s">
        <v>1799</v>
      </c>
      <c r="D5" s="14" t="s">
        <v>1833</v>
      </c>
      <c r="E5" s="14" t="s">
        <v>1834</v>
      </c>
      <c r="F5" s="14" t="s">
        <v>1802</v>
      </c>
      <c r="G5" s="298">
        <v>42614</v>
      </c>
      <c r="H5" s="296"/>
      <c r="I5" s="301">
        <v>484562.29</v>
      </c>
      <c r="J5" s="296">
        <f t="shared" ref="J5:J16" si="0">I5</f>
        <v>484562.29</v>
      </c>
      <c r="K5" s="299">
        <v>0</v>
      </c>
      <c r="L5" s="299"/>
      <c r="M5" s="299" t="s">
        <v>557</v>
      </c>
      <c r="N5" s="299"/>
      <c r="O5" s="299">
        <v>1</v>
      </c>
      <c r="P5" s="299"/>
      <c r="Q5" s="299" t="s">
        <v>557</v>
      </c>
      <c r="R5" s="299"/>
      <c r="S5" s="299">
        <v>500</v>
      </c>
      <c r="T5" s="299"/>
    </row>
    <row r="6" spans="1:20" x14ac:dyDescent="0.25">
      <c r="A6" s="70">
        <f>A5+1</f>
        <v>2</v>
      </c>
      <c r="B6" s="297" t="s">
        <v>1835</v>
      </c>
      <c r="C6" s="14" t="s">
        <v>1799</v>
      </c>
      <c r="D6" s="14" t="s">
        <v>1052</v>
      </c>
      <c r="E6" s="14" t="s">
        <v>1836</v>
      </c>
      <c r="F6" s="14" t="s">
        <v>1802</v>
      </c>
      <c r="G6" s="298">
        <v>42614</v>
      </c>
      <c r="H6" s="296"/>
      <c r="I6" s="296">
        <v>4087165.38</v>
      </c>
      <c r="J6" s="296">
        <f t="shared" si="0"/>
        <v>4087165.38</v>
      </c>
      <c r="K6" s="299">
        <v>5.7130000000000001</v>
      </c>
      <c r="L6" s="299"/>
      <c r="M6" s="299" t="s">
        <v>557</v>
      </c>
      <c r="N6" s="299"/>
      <c r="O6" s="299">
        <v>0</v>
      </c>
      <c r="P6" s="299"/>
      <c r="Q6" s="299" t="s">
        <v>557</v>
      </c>
      <c r="R6" s="299"/>
      <c r="S6" s="299">
        <v>3500</v>
      </c>
      <c r="T6" s="299"/>
    </row>
    <row r="7" spans="1:20" x14ac:dyDescent="0.25">
      <c r="A7" s="70">
        <f t="shared" ref="A7:A22" si="1">A6+1</f>
        <v>3</v>
      </c>
      <c r="B7" s="297" t="s">
        <v>1812</v>
      </c>
      <c r="C7" s="14" t="s">
        <v>1799</v>
      </c>
      <c r="D7" s="14" t="s">
        <v>1050</v>
      </c>
      <c r="E7" s="14" t="s">
        <v>1813</v>
      </c>
      <c r="F7" s="14" t="s">
        <v>1802</v>
      </c>
      <c r="G7" s="298">
        <v>42979</v>
      </c>
      <c r="H7" s="300"/>
      <c r="I7" s="300">
        <v>8019284.6500000004</v>
      </c>
      <c r="J7" s="300">
        <f t="shared" si="0"/>
        <v>8019284.6500000004</v>
      </c>
      <c r="K7" s="299">
        <v>15.085800000000001</v>
      </c>
      <c r="L7" s="299"/>
      <c r="M7" s="299" t="s">
        <v>557</v>
      </c>
      <c r="N7" s="299"/>
      <c r="O7" s="299">
        <v>0</v>
      </c>
      <c r="P7" s="299"/>
      <c r="Q7" s="299" t="s">
        <v>557</v>
      </c>
      <c r="R7" s="299"/>
      <c r="S7" s="299">
        <v>2063</v>
      </c>
      <c r="T7" s="299"/>
    </row>
    <row r="8" spans="1:20" x14ac:dyDescent="0.25">
      <c r="A8" s="70">
        <f t="shared" si="1"/>
        <v>4</v>
      </c>
      <c r="B8" s="297" t="s">
        <v>1798</v>
      </c>
      <c r="C8" s="14" t="s">
        <v>1799</v>
      </c>
      <c r="D8" s="14" t="s">
        <v>1800</v>
      </c>
      <c r="E8" s="14" t="s">
        <v>1801</v>
      </c>
      <c r="F8" s="14" t="s">
        <v>1802</v>
      </c>
      <c r="G8" s="298">
        <v>43040</v>
      </c>
      <c r="H8" s="296"/>
      <c r="I8" s="302">
        <v>4001449.52</v>
      </c>
      <c r="J8" s="296">
        <f t="shared" si="0"/>
        <v>4001449.52</v>
      </c>
      <c r="K8" s="299">
        <v>7.0064000000000002</v>
      </c>
      <c r="L8" s="299"/>
      <c r="M8" s="299" t="s">
        <v>557</v>
      </c>
      <c r="N8" s="299"/>
      <c r="O8" s="299">
        <v>0</v>
      </c>
      <c r="P8" s="299"/>
      <c r="Q8" s="299" t="s">
        <v>557</v>
      </c>
      <c r="R8" s="299"/>
      <c r="S8" s="299">
        <v>744</v>
      </c>
      <c r="T8" s="299"/>
    </row>
    <row r="9" spans="1:20" x14ac:dyDescent="0.25">
      <c r="A9" s="70">
        <f t="shared" si="1"/>
        <v>5</v>
      </c>
      <c r="B9" s="297" t="s">
        <v>1806</v>
      </c>
      <c r="C9" s="14" t="s">
        <v>1799</v>
      </c>
      <c r="D9" s="14" t="s">
        <v>1807</v>
      </c>
      <c r="E9" s="14" t="s">
        <v>1808</v>
      </c>
      <c r="F9" s="14" t="s">
        <v>1802</v>
      </c>
      <c r="G9" s="298">
        <v>43070</v>
      </c>
      <c r="H9" s="296"/>
      <c r="I9" s="296">
        <v>12089940.9</v>
      </c>
      <c r="J9" s="296">
        <f t="shared" si="0"/>
        <v>12089940.9</v>
      </c>
      <c r="K9" s="299">
        <v>22.765000000000001</v>
      </c>
      <c r="L9" s="299"/>
      <c r="M9" s="299" t="s">
        <v>557</v>
      </c>
      <c r="N9" s="299"/>
      <c r="O9" s="299">
        <v>0</v>
      </c>
      <c r="P9" s="299"/>
      <c r="Q9" s="299" t="s">
        <v>557</v>
      </c>
      <c r="R9" s="299"/>
      <c r="S9" s="299">
        <v>1965</v>
      </c>
      <c r="T9" s="299"/>
    </row>
    <row r="10" spans="1:20" x14ac:dyDescent="0.25">
      <c r="A10" s="70">
        <f t="shared" si="1"/>
        <v>6</v>
      </c>
      <c r="B10" s="297" t="s">
        <v>1820</v>
      </c>
      <c r="C10" s="14" t="s">
        <v>1799</v>
      </c>
      <c r="D10" s="14" t="s">
        <v>1821</v>
      </c>
      <c r="E10" s="14" t="s">
        <v>1822</v>
      </c>
      <c r="F10" s="14" t="s">
        <v>1802</v>
      </c>
      <c r="G10" s="298">
        <v>43070</v>
      </c>
      <c r="H10" s="296"/>
      <c r="I10" s="296">
        <v>498340.28</v>
      </c>
      <c r="J10" s="296">
        <f t="shared" si="0"/>
        <v>498340.28</v>
      </c>
      <c r="K10" s="299">
        <v>0</v>
      </c>
      <c r="L10" s="299"/>
      <c r="M10" s="299" t="s">
        <v>557</v>
      </c>
      <c r="N10" s="299"/>
      <c r="O10" s="299">
        <v>1</v>
      </c>
      <c r="P10" s="299"/>
      <c r="Q10" s="299" t="s">
        <v>557</v>
      </c>
      <c r="R10" s="299"/>
      <c r="S10" s="299">
        <v>680</v>
      </c>
      <c r="T10" s="299"/>
    </row>
    <row r="11" spans="1:20" x14ac:dyDescent="0.25">
      <c r="A11" s="70">
        <f t="shared" si="1"/>
        <v>7</v>
      </c>
      <c r="B11" s="297" t="s">
        <v>1826</v>
      </c>
      <c r="C11" s="14" t="s">
        <v>1799</v>
      </c>
      <c r="D11" s="14" t="s">
        <v>1827</v>
      </c>
      <c r="E11" s="14" t="s">
        <v>1828</v>
      </c>
      <c r="F11" s="14" t="s">
        <v>1802</v>
      </c>
      <c r="G11" s="298">
        <v>43101</v>
      </c>
      <c r="H11" s="296"/>
      <c r="I11" s="296">
        <v>4797794.66</v>
      </c>
      <c r="J11" s="296">
        <f t="shared" si="0"/>
        <v>4797794.66</v>
      </c>
      <c r="K11" s="299">
        <v>9.1300000000000008</v>
      </c>
      <c r="L11" s="299"/>
      <c r="M11" s="299" t="s">
        <v>557</v>
      </c>
      <c r="N11" s="299"/>
      <c r="O11" s="299">
        <v>0</v>
      </c>
      <c r="P11" s="299"/>
      <c r="Q11" s="299" t="s">
        <v>557</v>
      </c>
      <c r="R11" s="299"/>
      <c r="S11" s="299">
        <v>1138</v>
      </c>
      <c r="T11" s="299"/>
    </row>
    <row r="12" spans="1:20" x14ac:dyDescent="0.25">
      <c r="A12" s="70">
        <f t="shared" si="1"/>
        <v>8</v>
      </c>
      <c r="B12" s="297" t="s">
        <v>1803</v>
      </c>
      <c r="C12" s="14" t="s">
        <v>1799</v>
      </c>
      <c r="D12" s="14" t="s">
        <v>1804</v>
      </c>
      <c r="E12" s="14" t="s">
        <v>1805</v>
      </c>
      <c r="F12" s="14" t="s">
        <v>1802</v>
      </c>
      <c r="G12" s="298">
        <v>43191</v>
      </c>
      <c r="H12" s="296"/>
      <c r="I12" s="296">
        <v>13099264.119999999</v>
      </c>
      <c r="J12" s="296">
        <f t="shared" si="0"/>
        <v>13099264.119999999</v>
      </c>
      <c r="K12" s="299">
        <v>22.199000000000002</v>
      </c>
      <c r="L12" s="299"/>
      <c r="M12" s="299" t="s">
        <v>557</v>
      </c>
      <c r="N12" s="299"/>
      <c r="O12" s="299">
        <v>0</v>
      </c>
      <c r="P12" s="299"/>
      <c r="Q12" s="299" t="s">
        <v>557</v>
      </c>
      <c r="R12" s="299"/>
      <c r="S12" s="299">
        <v>2189</v>
      </c>
      <c r="T12" s="299"/>
    </row>
    <row r="13" spans="1:20" x14ac:dyDescent="0.25">
      <c r="A13" s="70">
        <f t="shared" si="1"/>
        <v>9</v>
      </c>
      <c r="B13" s="297" t="s">
        <v>1829</v>
      </c>
      <c r="C13" s="14" t="s">
        <v>1799</v>
      </c>
      <c r="D13" s="14" t="s">
        <v>1830</v>
      </c>
      <c r="E13" s="14" t="s">
        <v>1831</v>
      </c>
      <c r="F13" s="14" t="s">
        <v>1802</v>
      </c>
      <c r="G13" s="298">
        <v>43191</v>
      </c>
      <c r="H13" s="296"/>
      <c r="I13" s="296">
        <v>3476811.91</v>
      </c>
      <c r="J13" s="296">
        <f t="shared" si="0"/>
        <v>3476811.91</v>
      </c>
      <c r="K13" s="299">
        <v>5.9189999999999996</v>
      </c>
      <c r="L13" s="299"/>
      <c r="M13" s="299">
        <v>6.1680000000000001</v>
      </c>
      <c r="N13" s="299"/>
      <c r="O13" s="299">
        <v>0</v>
      </c>
      <c r="P13" s="299"/>
      <c r="Q13" s="299">
        <v>1610</v>
      </c>
      <c r="R13" s="299"/>
      <c r="S13" s="299">
        <v>1515</v>
      </c>
      <c r="T13" s="299"/>
    </row>
    <row r="14" spans="1:20" x14ac:dyDescent="0.25">
      <c r="A14" s="70">
        <f t="shared" si="1"/>
        <v>10</v>
      </c>
      <c r="B14" s="297" t="s">
        <v>1814</v>
      </c>
      <c r="C14" s="14" t="s">
        <v>1799</v>
      </c>
      <c r="D14" s="14" t="s">
        <v>1815</v>
      </c>
      <c r="E14" s="14" t="s">
        <v>1816</v>
      </c>
      <c r="F14" s="14" t="s">
        <v>1802</v>
      </c>
      <c r="G14" s="298">
        <v>43313</v>
      </c>
      <c r="H14" s="296"/>
      <c r="I14" s="296">
        <v>5864141.2000000002</v>
      </c>
      <c r="J14" s="296">
        <f t="shared" si="0"/>
        <v>5864141.2000000002</v>
      </c>
      <c r="K14" s="299">
        <v>16.759499999999999</v>
      </c>
      <c r="L14" s="299"/>
      <c r="M14" s="299" t="s">
        <v>557</v>
      </c>
      <c r="N14" s="299"/>
      <c r="O14" s="299">
        <v>0</v>
      </c>
      <c r="P14" s="299"/>
      <c r="Q14" s="299" t="s">
        <v>557</v>
      </c>
      <c r="R14" s="299"/>
      <c r="S14" s="299">
        <v>2912</v>
      </c>
      <c r="T14" s="299"/>
    </row>
    <row r="15" spans="1:20" x14ac:dyDescent="0.25">
      <c r="A15" s="70">
        <f t="shared" si="1"/>
        <v>11</v>
      </c>
      <c r="B15" s="297" t="s">
        <v>1817</v>
      </c>
      <c r="C15" s="14" t="s">
        <v>1799</v>
      </c>
      <c r="D15" s="14" t="s">
        <v>1818</v>
      </c>
      <c r="E15" s="14" t="s">
        <v>1819</v>
      </c>
      <c r="F15" s="14" t="s">
        <v>1802</v>
      </c>
      <c r="G15" s="298">
        <v>43344</v>
      </c>
      <c r="H15" s="296"/>
      <c r="I15" s="296">
        <v>7947115.5499999998</v>
      </c>
      <c r="J15" s="296">
        <f t="shared" si="0"/>
        <v>7947115.5499999998</v>
      </c>
      <c r="K15" s="299">
        <v>18.128</v>
      </c>
      <c r="L15" s="299"/>
      <c r="M15" s="299" t="s">
        <v>557</v>
      </c>
      <c r="N15" s="299"/>
      <c r="O15" s="299">
        <v>0</v>
      </c>
      <c r="P15" s="299"/>
      <c r="Q15" s="299" t="s">
        <v>557</v>
      </c>
      <c r="R15" s="299"/>
      <c r="S15" s="299">
        <v>2867</v>
      </c>
      <c r="T15" s="299"/>
    </row>
    <row r="16" spans="1:20" x14ac:dyDescent="0.25">
      <c r="A16" s="70">
        <f t="shared" si="1"/>
        <v>12</v>
      </c>
      <c r="B16" s="297" t="s">
        <v>1840</v>
      </c>
      <c r="C16" s="14" t="s">
        <v>1799</v>
      </c>
      <c r="D16" s="14" t="s">
        <v>1841</v>
      </c>
      <c r="E16" s="14" t="s">
        <v>1842</v>
      </c>
      <c r="F16" s="14" t="s">
        <v>1802</v>
      </c>
      <c r="G16" s="298">
        <v>43435</v>
      </c>
      <c r="H16" s="296"/>
      <c r="I16" s="296">
        <v>9708613.6999999993</v>
      </c>
      <c r="J16" s="296">
        <f t="shared" si="0"/>
        <v>9708613.6999999993</v>
      </c>
      <c r="K16" s="299">
        <v>18.158000000000001</v>
      </c>
      <c r="L16" s="299"/>
      <c r="M16" s="299" t="s">
        <v>557</v>
      </c>
      <c r="N16" s="299"/>
      <c r="O16" s="299">
        <v>0</v>
      </c>
      <c r="P16" s="299"/>
      <c r="Q16" s="299" t="s">
        <v>557</v>
      </c>
      <c r="R16" s="299"/>
      <c r="S16" s="299">
        <v>2513</v>
      </c>
      <c r="T16" s="299"/>
    </row>
    <row r="17" spans="1:20" x14ac:dyDescent="0.25">
      <c r="A17" s="70">
        <f t="shared" si="1"/>
        <v>13</v>
      </c>
      <c r="B17" s="297" t="s">
        <v>1837</v>
      </c>
      <c r="C17" s="14" t="s">
        <v>1799</v>
      </c>
      <c r="D17" s="14" t="s">
        <v>1838</v>
      </c>
      <c r="E17" s="14" t="s">
        <v>1839</v>
      </c>
      <c r="F17" s="14" t="s">
        <v>1802</v>
      </c>
      <c r="G17" s="298">
        <v>43617</v>
      </c>
      <c r="H17" s="296"/>
      <c r="I17" s="296">
        <v>17694957.18</v>
      </c>
      <c r="J17" s="296"/>
      <c r="K17" s="299">
        <v>30.003</v>
      </c>
      <c r="L17" s="299"/>
      <c r="M17" s="299" t="s">
        <v>557</v>
      </c>
      <c r="N17" s="299"/>
      <c r="O17" s="299">
        <v>0</v>
      </c>
      <c r="P17" s="299"/>
      <c r="Q17" s="299" t="s">
        <v>557</v>
      </c>
      <c r="R17" s="299"/>
      <c r="S17" s="299">
        <v>2100</v>
      </c>
      <c r="T17" s="299"/>
    </row>
    <row r="18" spans="1:20" x14ac:dyDescent="0.25">
      <c r="A18" s="70">
        <f t="shared" si="1"/>
        <v>14</v>
      </c>
      <c r="B18" s="297" t="s">
        <v>1823</v>
      </c>
      <c r="C18" s="14" t="s">
        <v>1799</v>
      </c>
      <c r="D18" s="14" t="s">
        <v>1824</v>
      </c>
      <c r="E18" s="14" t="s">
        <v>1825</v>
      </c>
      <c r="F18" s="14" t="s">
        <v>1802</v>
      </c>
      <c r="G18" s="298">
        <v>43647</v>
      </c>
      <c r="H18" s="296"/>
      <c r="I18" s="296">
        <v>22782214.960000001</v>
      </c>
      <c r="J18" s="296"/>
      <c r="K18" s="299">
        <v>37.2684</v>
      </c>
      <c r="L18" s="299"/>
      <c r="M18" s="299" t="s">
        <v>557</v>
      </c>
      <c r="N18" s="299"/>
      <c r="O18" s="299">
        <v>0</v>
      </c>
      <c r="P18" s="299"/>
      <c r="Q18" s="299" t="s">
        <v>557</v>
      </c>
      <c r="R18" s="299"/>
      <c r="S18" s="299">
        <v>5000</v>
      </c>
      <c r="T18" s="299"/>
    </row>
    <row r="19" spans="1:20" x14ac:dyDescent="0.25">
      <c r="A19" s="70">
        <f t="shared" si="1"/>
        <v>15</v>
      </c>
      <c r="B19" s="297" t="s">
        <v>1848</v>
      </c>
      <c r="C19" s="14" t="s">
        <v>1799</v>
      </c>
      <c r="D19" s="14" t="s">
        <v>1849</v>
      </c>
      <c r="E19" s="14" t="s">
        <v>1850</v>
      </c>
      <c r="F19" s="14" t="s">
        <v>1802</v>
      </c>
      <c r="G19" s="298">
        <v>43678</v>
      </c>
      <c r="H19" s="296"/>
      <c r="I19" s="296">
        <v>12411751.539999999</v>
      </c>
      <c r="J19" s="296"/>
      <c r="K19" s="299">
        <v>24.1828</v>
      </c>
      <c r="L19" s="299"/>
      <c r="M19" s="299" t="s">
        <v>557</v>
      </c>
      <c r="N19" s="299"/>
      <c r="O19" s="299">
        <v>0</v>
      </c>
      <c r="P19" s="299"/>
      <c r="Q19" s="299" t="s">
        <v>557</v>
      </c>
      <c r="R19" s="299"/>
      <c r="S19" s="299">
        <v>2754</v>
      </c>
      <c r="T19" s="299"/>
    </row>
    <row r="20" spans="1:20" x14ac:dyDescent="0.25">
      <c r="A20" s="70">
        <f t="shared" si="1"/>
        <v>16</v>
      </c>
      <c r="B20" s="297" t="s">
        <v>1843</v>
      </c>
      <c r="C20" s="14" t="s">
        <v>1799</v>
      </c>
      <c r="D20" s="14" t="s">
        <v>1844</v>
      </c>
      <c r="E20" s="14" t="s">
        <v>1845</v>
      </c>
      <c r="F20" s="14" t="s">
        <v>1802</v>
      </c>
      <c r="G20" s="298">
        <v>43800</v>
      </c>
      <c r="H20" s="296"/>
      <c r="I20" s="296">
        <v>9405996.5800000001</v>
      </c>
      <c r="J20" s="296"/>
      <c r="K20" s="299">
        <v>19.815000000000001</v>
      </c>
      <c r="L20" s="299"/>
      <c r="M20" s="299" t="s">
        <v>557</v>
      </c>
      <c r="N20" s="299"/>
      <c r="O20" s="299">
        <v>1</v>
      </c>
      <c r="P20" s="299"/>
      <c r="Q20" s="299" t="s">
        <v>557</v>
      </c>
      <c r="R20" s="299"/>
      <c r="S20" s="299">
        <v>2792</v>
      </c>
      <c r="T20" s="299"/>
    </row>
    <row r="21" spans="1:20" x14ac:dyDescent="0.25">
      <c r="A21" s="70">
        <f t="shared" si="1"/>
        <v>17</v>
      </c>
      <c r="B21" s="297" t="s">
        <v>1809</v>
      </c>
      <c r="C21" s="14" t="s">
        <v>1799</v>
      </c>
      <c r="D21" s="14" t="s">
        <v>1810</v>
      </c>
      <c r="E21" s="14" t="s">
        <v>1811</v>
      </c>
      <c r="F21" s="14" t="s">
        <v>1802</v>
      </c>
      <c r="G21" s="298">
        <v>44166</v>
      </c>
      <c r="H21" s="296"/>
      <c r="I21" s="296">
        <v>4559674.74</v>
      </c>
      <c r="J21" s="296"/>
      <c r="K21" s="299">
        <v>0</v>
      </c>
      <c r="L21" s="299"/>
      <c r="M21" s="299" t="s">
        <v>557</v>
      </c>
      <c r="N21" s="299"/>
      <c r="O21" s="299">
        <v>1</v>
      </c>
      <c r="P21" s="299"/>
      <c r="Q21" s="299" t="s">
        <v>557</v>
      </c>
      <c r="R21" s="299"/>
      <c r="S21" s="299">
        <v>3345</v>
      </c>
      <c r="T21" s="299"/>
    </row>
    <row r="22" spans="1:20" x14ac:dyDescent="0.25">
      <c r="A22" s="70">
        <f t="shared" si="1"/>
        <v>18</v>
      </c>
      <c r="B22" s="297" t="s">
        <v>1846</v>
      </c>
      <c r="C22" s="14" t="s">
        <v>1799</v>
      </c>
      <c r="D22" s="14" t="s">
        <v>1810</v>
      </c>
      <c r="E22" s="14" t="s">
        <v>1847</v>
      </c>
      <c r="F22" s="14" t="s">
        <v>1802</v>
      </c>
      <c r="G22" s="298">
        <v>44166</v>
      </c>
      <c r="H22" s="296"/>
      <c r="I22" s="296">
        <v>17108557.5</v>
      </c>
      <c r="J22" s="296"/>
      <c r="K22" s="299">
        <v>34.140999999999998</v>
      </c>
      <c r="L22" s="299"/>
      <c r="M22" s="299" t="s">
        <v>557</v>
      </c>
      <c r="N22" s="299"/>
      <c r="O22" s="299">
        <v>0</v>
      </c>
      <c r="P22" s="299"/>
      <c r="Q22" s="299" t="s">
        <v>557</v>
      </c>
      <c r="R22" s="299"/>
      <c r="S22" s="299">
        <v>3695</v>
      </c>
      <c r="T22" s="299"/>
    </row>
    <row r="23" spans="1:20" x14ac:dyDescent="0.25">
      <c r="B23" s="310"/>
      <c r="C23" s="310"/>
      <c r="D23" s="310"/>
      <c r="E23" s="310"/>
      <c r="F23" s="310"/>
      <c r="G23" s="310"/>
      <c r="H23" s="287"/>
      <c r="I23" s="287">
        <f t="shared" ref="I23:T23" si="2">SUM(I5:I22)</f>
        <v>158037636.66000003</v>
      </c>
      <c r="J23" s="287">
        <f t="shared" si="2"/>
        <v>74074484.160000011</v>
      </c>
      <c r="K23" s="293">
        <f t="shared" si="2"/>
        <v>286.27389999999997</v>
      </c>
      <c r="L23" s="293">
        <f t="shared" si="2"/>
        <v>0</v>
      </c>
      <c r="M23" s="293">
        <f t="shared" si="2"/>
        <v>6.1680000000000001</v>
      </c>
      <c r="N23" s="293">
        <f t="shared" si="2"/>
        <v>0</v>
      </c>
      <c r="O23" s="293">
        <f t="shared" si="2"/>
        <v>4</v>
      </c>
      <c r="P23" s="293">
        <f t="shared" si="2"/>
        <v>0</v>
      </c>
      <c r="Q23" s="293">
        <f t="shared" si="2"/>
        <v>1610</v>
      </c>
      <c r="R23" s="293">
        <f t="shared" si="2"/>
        <v>0</v>
      </c>
      <c r="S23" s="293">
        <f t="shared" si="2"/>
        <v>42272</v>
      </c>
      <c r="T23" s="293">
        <f t="shared" si="2"/>
        <v>0</v>
      </c>
    </row>
  </sheetData>
  <sheetProtection algorithmName="SHA-512" hashValue="ulzZvJhnYKtAd3orSw5ZkFv+KfCLyjMPwvoAzHLhncjCNwrKspM2Rt0O6XSr3As7butwifrL/U1ofnUaQATNbg==" saltValue="lK2FIb9eC8qd3i7SEV7llg==" spinCount="100000" sheet="1" objects="1" scenarios="1" autoFilter="0"/>
  <autoFilter ref="B1:T23">
    <filterColumn colId="9" showButton="0"/>
    <filterColumn colId="11" showButton="0"/>
    <filterColumn colId="13" showButton="0"/>
    <filterColumn colId="15" showButton="0"/>
    <filterColumn colId="17" showButton="0"/>
    <sortState ref="B8:T23">
      <sortCondition ref="G1:G23"/>
    </sortState>
  </autoFilter>
  <sortState ref="B5:T22">
    <sortCondition ref="G5:G22"/>
  </sortState>
  <mergeCells count="25">
    <mergeCell ref="S3:T3"/>
    <mergeCell ref="K1:L1"/>
    <mergeCell ref="M1:N1"/>
    <mergeCell ref="O1:P1"/>
    <mergeCell ref="Q1:R1"/>
    <mergeCell ref="S1:T1"/>
    <mergeCell ref="K2:L2"/>
    <mergeCell ref="M2:N2"/>
    <mergeCell ref="O2:P2"/>
    <mergeCell ref="Q2:R2"/>
    <mergeCell ref="S2:T2"/>
    <mergeCell ref="A1:A4"/>
    <mergeCell ref="K3:L3"/>
    <mergeCell ref="M3:N3"/>
    <mergeCell ref="O3:P3"/>
    <mergeCell ref="Q3:R3"/>
    <mergeCell ref="H1:H3"/>
    <mergeCell ref="I1:I3"/>
    <mergeCell ref="J1:J3"/>
    <mergeCell ref="G1:G4"/>
    <mergeCell ref="B1:B4"/>
    <mergeCell ref="C1:C4"/>
    <mergeCell ref="D1:D4"/>
    <mergeCell ref="E1:E4"/>
    <mergeCell ref="F1:F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A9"/>
  <sheetViews>
    <sheetView zoomScale="60" zoomScaleNormal="6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R27" sqref="R27"/>
    </sheetView>
  </sheetViews>
  <sheetFormatPr defaultRowHeight="12.75" x14ac:dyDescent="0.2"/>
  <cols>
    <col min="1" max="1" width="9.140625" style="16"/>
    <col min="2" max="2" width="10.85546875" style="16" bestFit="1" customWidth="1"/>
    <col min="3" max="3" width="22.140625" style="16" bestFit="1" customWidth="1"/>
    <col min="4" max="4" width="22" style="16" bestFit="1" customWidth="1"/>
    <col min="5" max="5" width="36.42578125" style="16" bestFit="1" customWidth="1"/>
    <col min="6" max="11" width="16.42578125" style="16" customWidth="1"/>
    <col min="12" max="15" width="11.42578125" style="16" hidden="1" customWidth="1"/>
    <col min="16" max="17" width="11.42578125" style="16" customWidth="1"/>
    <col min="18" max="18" width="12.85546875" style="16" customWidth="1"/>
    <col min="19" max="24" width="11.42578125" style="16" customWidth="1"/>
    <col min="25" max="27" width="11.42578125" style="16" hidden="1" customWidth="1"/>
    <col min="28" max="33" width="11.42578125" style="16" customWidth="1"/>
    <col min="34" max="43" width="11.42578125" style="16" hidden="1" customWidth="1"/>
    <col min="44" max="49" width="11.42578125" style="16" customWidth="1"/>
    <col min="50" max="53" width="11.42578125" style="16" hidden="1" customWidth="1"/>
    <col min="54" max="16384" width="9.140625" style="16"/>
  </cols>
  <sheetData>
    <row r="1" spans="1:53" ht="57" customHeight="1" x14ac:dyDescent="0.2">
      <c r="A1" s="1585" t="s">
        <v>2412</v>
      </c>
      <c r="B1" s="1548" t="s">
        <v>476</v>
      </c>
      <c r="C1" s="1548" t="s">
        <v>477</v>
      </c>
      <c r="D1" s="1548" t="s">
        <v>478</v>
      </c>
      <c r="E1" s="1548" t="s">
        <v>479</v>
      </c>
      <c r="F1" s="1548" t="s">
        <v>481</v>
      </c>
      <c r="G1" s="1550" t="s">
        <v>684</v>
      </c>
      <c r="H1" s="1550" t="s">
        <v>2020</v>
      </c>
      <c r="I1" s="1550" t="s">
        <v>2021</v>
      </c>
      <c r="J1" s="1550" t="s">
        <v>2032</v>
      </c>
      <c r="K1" s="1572" t="s">
        <v>2022</v>
      </c>
      <c r="L1" s="1583" t="s">
        <v>171</v>
      </c>
      <c r="M1" s="1584"/>
      <c r="N1" s="1583" t="s">
        <v>173</v>
      </c>
      <c r="O1" s="1584"/>
      <c r="P1" s="1560" t="s">
        <v>175</v>
      </c>
      <c r="Q1" s="1561"/>
      <c r="R1" s="1562"/>
      <c r="S1" s="1560" t="s">
        <v>177</v>
      </c>
      <c r="T1" s="1561"/>
      <c r="U1" s="1562"/>
      <c r="V1" s="1560" t="s">
        <v>179</v>
      </c>
      <c r="W1" s="1561"/>
      <c r="X1" s="1562"/>
      <c r="Y1" s="1560" t="s">
        <v>181</v>
      </c>
      <c r="Z1" s="1561"/>
      <c r="AA1" s="1562"/>
      <c r="AB1" s="1560" t="s">
        <v>183</v>
      </c>
      <c r="AC1" s="1561"/>
      <c r="AD1" s="1562"/>
      <c r="AE1" s="1532" t="s">
        <v>185</v>
      </c>
      <c r="AF1" s="1533"/>
      <c r="AG1" s="1534"/>
      <c r="AH1" s="1577" t="s">
        <v>39</v>
      </c>
      <c r="AI1" s="1578"/>
      <c r="AJ1" s="1577" t="s">
        <v>188</v>
      </c>
      <c r="AK1" s="1578"/>
      <c r="AL1" s="1577" t="s">
        <v>146</v>
      </c>
      <c r="AM1" s="1578"/>
      <c r="AN1" s="1577" t="s">
        <v>190</v>
      </c>
      <c r="AO1" s="1578"/>
      <c r="AP1" s="1577" t="s">
        <v>192</v>
      </c>
      <c r="AQ1" s="1578"/>
      <c r="AR1" s="1532" t="s">
        <v>194</v>
      </c>
      <c r="AS1" s="1533"/>
      <c r="AT1" s="1534"/>
      <c r="AU1" s="1532" t="s">
        <v>196</v>
      </c>
      <c r="AV1" s="1533"/>
      <c r="AW1" s="1534"/>
      <c r="AX1" s="1580" t="s">
        <v>152</v>
      </c>
      <c r="AY1" s="1580"/>
      <c r="AZ1" s="1580" t="s">
        <v>198</v>
      </c>
      <c r="BA1" s="1580"/>
    </row>
    <row r="2" spans="1:53" x14ac:dyDescent="0.2">
      <c r="A2" s="1585"/>
      <c r="B2" s="1549"/>
      <c r="C2" s="1549"/>
      <c r="D2" s="1549"/>
      <c r="E2" s="1549"/>
      <c r="F2" s="1549"/>
      <c r="G2" s="1550"/>
      <c r="H2" s="1550"/>
      <c r="I2" s="1550"/>
      <c r="J2" s="1550"/>
      <c r="K2" s="1572"/>
      <c r="L2" s="1568" t="s">
        <v>170</v>
      </c>
      <c r="M2" s="1569"/>
      <c r="N2" s="1568" t="s">
        <v>172</v>
      </c>
      <c r="O2" s="1569"/>
      <c r="P2" s="1563" t="s">
        <v>174</v>
      </c>
      <c r="Q2" s="1570"/>
      <c r="R2" s="1564"/>
      <c r="S2" s="1563" t="s">
        <v>176</v>
      </c>
      <c r="T2" s="1570"/>
      <c r="U2" s="1564"/>
      <c r="V2" s="1563" t="s">
        <v>178</v>
      </c>
      <c r="W2" s="1570"/>
      <c r="X2" s="1564"/>
      <c r="Y2" s="1563" t="s">
        <v>180</v>
      </c>
      <c r="Z2" s="1570"/>
      <c r="AA2" s="1564"/>
      <c r="AB2" s="1563" t="s">
        <v>182</v>
      </c>
      <c r="AC2" s="1570"/>
      <c r="AD2" s="1564"/>
      <c r="AE2" s="1535" t="s">
        <v>184</v>
      </c>
      <c r="AF2" s="1536"/>
      <c r="AG2" s="1537"/>
      <c r="AH2" s="1581" t="s">
        <v>186</v>
      </c>
      <c r="AI2" s="1582"/>
      <c r="AJ2" s="1581" t="s">
        <v>187</v>
      </c>
      <c r="AK2" s="1582"/>
      <c r="AL2" s="1581" t="s">
        <v>145</v>
      </c>
      <c r="AM2" s="1582"/>
      <c r="AN2" s="1581" t="s">
        <v>189</v>
      </c>
      <c r="AO2" s="1582"/>
      <c r="AP2" s="1581" t="s">
        <v>191</v>
      </c>
      <c r="AQ2" s="1582"/>
      <c r="AR2" s="1535" t="s">
        <v>193</v>
      </c>
      <c r="AS2" s="1536"/>
      <c r="AT2" s="1537"/>
      <c r="AU2" s="1535" t="s">
        <v>195</v>
      </c>
      <c r="AV2" s="1536"/>
      <c r="AW2" s="1537"/>
      <c r="AX2" s="1579" t="s">
        <v>151</v>
      </c>
      <c r="AY2" s="1579"/>
      <c r="AZ2" s="1579" t="s">
        <v>197</v>
      </c>
      <c r="BA2" s="1579"/>
    </row>
    <row r="3" spans="1:53" x14ac:dyDescent="0.2">
      <c r="A3" s="1585"/>
      <c r="B3" s="1549"/>
      <c r="C3" s="1549"/>
      <c r="D3" s="1549"/>
      <c r="E3" s="1549"/>
      <c r="F3" s="1549"/>
      <c r="G3" s="1550"/>
      <c r="H3" s="1550"/>
      <c r="I3" s="1550"/>
      <c r="J3" s="1550"/>
      <c r="K3" s="1572"/>
      <c r="L3" s="1568" t="s">
        <v>442</v>
      </c>
      <c r="M3" s="1569"/>
      <c r="N3" s="1568" t="s">
        <v>433</v>
      </c>
      <c r="O3" s="1569"/>
      <c r="P3" s="1563" t="s">
        <v>433</v>
      </c>
      <c r="Q3" s="1570"/>
      <c r="R3" s="1564"/>
      <c r="S3" s="1563" t="s">
        <v>433</v>
      </c>
      <c r="T3" s="1570"/>
      <c r="U3" s="1564"/>
      <c r="V3" s="1563" t="s">
        <v>433</v>
      </c>
      <c r="W3" s="1570"/>
      <c r="X3" s="1564"/>
      <c r="Y3" s="1563" t="s">
        <v>425</v>
      </c>
      <c r="Z3" s="1570"/>
      <c r="AA3" s="1564"/>
      <c r="AB3" s="1563" t="s">
        <v>433</v>
      </c>
      <c r="AC3" s="1570"/>
      <c r="AD3" s="1564"/>
      <c r="AE3" s="1535" t="s">
        <v>433</v>
      </c>
      <c r="AF3" s="1536"/>
      <c r="AG3" s="1537"/>
      <c r="AH3" s="1581" t="s">
        <v>442</v>
      </c>
      <c r="AI3" s="1582"/>
      <c r="AJ3" s="1581" t="s">
        <v>433</v>
      </c>
      <c r="AK3" s="1582"/>
      <c r="AL3" s="1581" t="s">
        <v>425</v>
      </c>
      <c r="AM3" s="1582"/>
      <c r="AN3" s="1581" t="s">
        <v>433</v>
      </c>
      <c r="AO3" s="1582"/>
      <c r="AP3" s="1581" t="s">
        <v>433</v>
      </c>
      <c r="AQ3" s="1582"/>
      <c r="AR3" s="1535" t="s">
        <v>433</v>
      </c>
      <c r="AS3" s="1536"/>
      <c r="AT3" s="1537"/>
      <c r="AU3" s="1535" t="s">
        <v>433</v>
      </c>
      <c r="AV3" s="1536"/>
      <c r="AW3" s="1537"/>
      <c r="AX3" s="1579" t="s">
        <v>425</v>
      </c>
      <c r="AY3" s="1579"/>
      <c r="AZ3" s="1579" t="s">
        <v>442</v>
      </c>
      <c r="BA3" s="1579"/>
    </row>
    <row r="4" spans="1:53" ht="51" x14ac:dyDescent="0.2">
      <c r="A4" s="1585"/>
      <c r="B4" s="1554"/>
      <c r="C4" s="1554"/>
      <c r="D4" s="1554"/>
      <c r="E4" s="1554"/>
      <c r="F4" s="1554"/>
      <c r="G4" s="1550"/>
      <c r="H4" s="229" t="s">
        <v>410</v>
      </c>
      <c r="I4" s="229" t="s">
        <v>410</v>
      </c>
      <c r="J4" s="229" t="s">
        <v>410</v>
      </c>
      <c r="K4" s="421" t="s">
        <v>410</v>
      </c>
      <c r="L4" s="424" t="s">
        <v>484</v>
      </c>
      <c r="M4" s="420" t="s">
        <v>485</v>
      </c>
      <c r="N4" s="424" t="s">
        <v>484</v>
      </c>
      <c r="O4" s="420" t="s">
        <v>485</v>
      </c>
      <c r="P4" s="424" t="s">
        <v>484</v>
      </c>
      <c r="Q4" s="91" t="s">
        <v>485</v>
      </c>
      <c r="R4" s="420" t="s">
        <v>2016</v>
      </c>
      <c r="S4" s="424" t="s">
        <v>484</v>
      </c>
      <c r="T4" s="91" t="s">
        <v>485</v>
      </c>
      <c r="U4" s="420" t="s">
        <v>2016</v>
      </c>
      <c r="V4" s="424" t="s">
        <v>484</v>
      </c>
      <c r="W4" s="91" t="s">
        <v>485</v>
      </c>
      <c r="X4" s="420" t="s">
        <v>2016</v>
      </c>
      <c r="Y4" s="424" t="s">
        <v>484</v>
      </c>
      <c r="Z4" s="91" t="s">
        <v>485</v>
      </c>
      <c r="AA4" s="428" t="s">
        <v>2016</v>
      </c>
      <c r="AB4" s="424" t="s">
        <v>484</v>
      </c>
      <c r="AC4" s="91" t="s">
        <v>485</v>
      </c>
      <c r="AD4" s="420" t="s">
        <v>2016</v>
      </c>
      <c r="AE4" s="240" t="s">
        <v>484</v>
      </c>
      <c r="AF4" s="5" t="s">
        <v>485</v>
      </c>
      <c r="AG4" s="420" t="s">
        <v>2016</v>
      </c>
      <c r="AH4" s="240" t="s">
        <v>484</v>
      </c>
      <c r="AI4" s="241" t="s">
        <v>485</v>
      </c>
      <c r="AJ4" s="240" t="s">
        <v>484</v>
      </c>
      <c r="AK4" s="241" t="s">
        <v>485</v>
      </c>
      <c r="AL4" s="240" t="s">
        <v>484</v>
      </c>
      <c r="AM4" s="241" t="s">
        <v>485</v>
      </c>
      <c r="AN4" s="240" t="s">
        <v>484</v>
      </c>
      <c r="AO4" s="241" t="s">
        <v>485</v>
      </c>
      <c r="AP4" s="240" t="s">
        <v>484</v>
      </c>
      <c r="AQ4" s="241" t="s">
        <v>485</v>
      </c>
      <c r="AR4" s="240" t="s">
        <v>484</v>
      </c>
      <c r="AS4" s="5" t="s">
        <v>485</v>
      </c>
      <c r="AT4" s="420" t="s">
        <v>2016</v>
      </c>
      <c r="AU4" s="240" t="s">
        <v>484</v>
      </c>
      <c r="AV4" s="5" t="s">
        <v>485</v>
      </c>
      <c r="AW4" s="420"/>
      <c r="AX4" s="5" t="s">
        <v>484</v>
      </c>
      <c r="AY4" s="5" t="s">
        <v>485</v>
      </c>
      <c r="AZ4" s="5" t="s">
        <v>484</v>
      </c>
      <c r="BA4" s="5" t="s">
        <v>485</v>
      </c>
    </row>
    <row r="5" spans="1:53" ht="38.25" x14ac:dyDescent="0.2">
      <c r="A5" s="14">
        <v>1</v>
      </c>
      <c r="B5" s="4" t="s">
        <v>532</v>
      </c>
      <c r="C5" s="1" t="s">
        <v>2353</v>
      </c>
      <c r="D5" s="1" t="s">
        <v>2354</v>
      </c>
      <c r="E5" s="1" t="s">
        <v>2355</v>
      </c>
      <c r="F5" s="303" t="s">
        <v>2356</v>
      </c>
      <c r="G5" s="298">
        <v>42521</v>
      </c>
      <c r="H5" s="307">
        <v>581554.67000000004</v>
      </c>
      <c r="I5" s="307">
        <v>681181.97</v>
      </c>
      <c r="J5" s="307">
        <f>I5</f>
        <v>681181.97</v>
      </c>
      <c r="K5" s="426">
        <f>J5</f>
        <v>681181.97</v>
      </c>
      <c r="L5" s="244"/>
      <c r="M5" s="243"/>
      <c r="N5" s="242"/>
      <c r="O5" s="243"/>
      <c r="P5" s="242">
        <v>94954</v>
      </c>
      <c r="Q5" s="7">
        <v>94954</v>
      </c>
      <c r="R5" s="243">
        <f>P5</f>
        <v>94954</v>
      </c>
      <c r="S5" s="242"/>
      <c r="T5" s="7"/>
      <c r="U5" s="243">
        <f>S5</f>
        <v>0</v>
      </c>
      <c r="V5" s="242">
        <v>4763</v>
      </c>
      <c r="W5" s="7">
        <v>4763</v>
      </c>
      <c r="X5" s="243">
        <f>V5</f>
        <v>4763</v>
      </c>
      <c r="Y5" s="242"/>
      <c r="Z5" s="7"/>
      <c r="AA5" s="429">
        <f>Y5</f>
        <v>0</v>
      </c>
      <c r="AB5" s="242"/>
      <c r="AC5" s="7"/>
      <c r="AD5" s="243">
        <f>AB5</f>
        <v>0</v>
      </c>
      <c r="AE5" s="242">
        <v>308</v>
      </c>
      <c r="AF5" s="7">
        <v>308</v>
      </c>
      <c r="AG5" s="243"/>
      <c r="AH5" s="242"/>
      <c r="AI5" s="243"/>
      <c r="AJ5" s="244"/>
      <c r="AK5" s="243"/>
      <c r="AL5" s="244"/>
      <c r="AM5" s="243"/>
      <c r="AN5" s="244"/>
      <c r="AO5" s="243"/>
      <c r="AP5" s="244"/>
      <c r="AQ5" s="243"/>
      <c r="AR5" s="242"/>
      <c r="AS5" s="7"/>
      <c r="AT5" s="243">
        <f>AR5</f>
        <v>0</v>
      </c>
      <c r="AU5" s="242"/>
      <c r="AV5" s="7"/>
      <c r="AW5" s="243">
        <f>AU5</f>
        <v>0</v>
      </c>
      <c r="AX5" s="7"/>
      <c r="AY5" s="7"/>
      <c r="AZ5" s="7"/>
      <c r="BA5" s="7"/>
    </row>
    <row r="6" spans="1:53" ht="25.5" x14ac:dyDescent="0.2">
      <c r="A6" s="14">
        <f>A5+1</f>
        <v>2</v>
      </c>
      <c r="B6" s="4" t="s">
        <v>533</v>
      </c>
      <c r="C6" s="1" t="s">
        <v>2353</v>
      </c>
      <c r="D6" s="1" t="s">
        <v>2357</v>
      </c>
      <c r="E6" s="1" t="s">
        <v>2358</v>
      </c>
      <c r="F6" s="303" t="s">
        <v>2051</v>
      </c>
      <c r="G6" s="298">
        <v>44166</v>
      </c>
      <c r="H6" s="307">
        <v>18338602.699999999</v>
      </c>
      <c r="I6" s="307">
        <v>21574826.710000001</v>
      </c>
      <c r="J6" s="307"/>
      <c r="K6" s="426"/>
      <c r="L6" s="244"/>
      <c r="M6" s="243"/>
      <c r="N6" s="242"/>
      <c r="O6" s="243"/>
      <c r="P6" s="242"/>
      <c r="Q6" s="7"/>
      <c r="R6" s="243"/>
      <c r="S6" s="242">
        <v>105830</v>
      </c>
      <c r="T6" s="7">
        <v>3996</v>
      </c>
      <c r="U6" s="243"/>
      <c r="V6" s="242">
        <v>271179</v>
      </c>
      <c r="W6" s="7">
        <v>64066</v>
      </c>
      <c r="X6" s="243"/>
      <c r="Y6" s="242"/>
      <c r="Z6" s="7"/>
      <c r="AA6" s="429"/>
      <c r="AB6" s="242">
        <v>49</v>
      </c>
      <c r="AC6" s="7">
        <v>49</v>
      </c>
      <c r="AD6" s="243"/>
      <c r="AE6" s="242">
        <v>607</v>
      </c>
      <c r="AF6" s="7">
        <v>273</v>
      </c>
      <c r="AG6" s="243"/>
      <c r="AH6" s="242"/>
      <c r="AI6" s="243"/>
      <c r="AJ6" s="244"/>
      <c r="AK6" s="243"/>
      <c r="AL6" s="244"/>
      <c r="AM6" s="243"/>
      <c r="AN6" s="244"/>
      <c r="AO6" s="243"/>
      <c r="AP6" s="244"/>
      <c r="AQ6" s="243"/>
      <c r="AR6" s="242">
        <v>49</v>
      </c>
      <c r="AS6" s="7">
        <v>49</v>
      </c>
      <c r="AT6" s="243"/>
      <c r="AU6" s="242">
        <v>1510</v>
      </c>
      <c r="AV6" s="7">
        <v>0</v>
      </c>
      <c r="AW6" s="243"/>
      <c r="AX6" s="7"/>
      <c r="AY6" s="7"/>
      <c r="AZ6" s="7"/>
      <c r="BA6" s="7"/>
    </row>
    <row r="7" spans="1:53" ht="25.5" x14ac:dyDescent="0.2">
      <c r="A7" s="14">
        <f t="shared" ref="A7:A8" si="0">A6+1</f>
        <v>3</v>
      </c>
      <c r="B7" s="4" t="s">
        <v>534</v>
      </c>
      <c r="C7" s="1" t="s">
        <v>2353</v>
      </c>
      <c r="D7" s="1" t="s">
        <v>2359</v>
      </c>
      <c r="E7" s="1" t="s">
        <v>2360</v>
      </c>
      <c r="F7" s="303" t="s">
        <v>2051</v>
      </c>
      <c r="G7" s="298">
        <v>44166</v>
      </c>
      <c r="H7" s="307">
        <v>3680237.67</v>
      </c>
      <c r="I7" s="307">
        <v>4329691.38</v>
      </c>
      <c r="J7" s="307"/>
      <c r="K7" s="426"/>
      <c r="L7" s="244"/>
      <c r="M7" s="243"/>
      <c r="N7" s="242"/>
      <c r="O7" s="243"/>
      <c r="P7" s="242"/>
      <c r="Q7" s="7"/>
      <c r="R7" s="243"/>
      <c r="S7" s="242">
        <v>6360</v>
      </c>
      <c r="T7" s="7">
        <v>1269</v>
      </c>
      <c r="U7" s="243"/>
      <c r="V7" s="242"/>
      <c r="W7" s="7"/>
      <c r="X7" s="243"/>
      <c r="Y7" s="242"/>
      <c r="Z7" s="7"/>
      <c r="AA7" s="429"/>
      <c r="AB7" s="242">
        <v>73</v>
      </c>
      <c r="AC7" s="7">
        <v>73</v>
      </c>
      <c r="AD7" s="243"/>
      <c r="AE7" s="242"/>
      <c r="AF7" s="7"/>
      <c r="AG7" s="243"/>
      <c r="AH7" s="242"/>
      <c r="AI7" s="243"/>
      <c r="AJ7" s="244"/>
      <c r="AK7" s="243"/>
      <c r="AL7" s="244"/>
      <c r="AM7" s="243"/>
      <c r="AN7" s="244"/>
      <c r="AO7" s="243"/>
      <c r="AP7" s="244"/>
      <c r="AQ7" s="243"/>
      <c r="AR7" s="242">
        <v>73</v>
      </c>
      <c r="AS7" s="7"/>
      <c r="AT7" s="243"/>
      <c r="AU7" s="242"/>
      <c r="AV7" s="7"/>
      <c r="AW7" s="243"/>
      <c r="AX7" s="7"/>
      <c r="AY7" s="7"/>
      <c r="AZ7" s="7"/>
      <c r="BA7" s="7"/>
    </row>
    <row r="8" spans="1:53" ht="38.25" x14ac:dyDescent="0.2">
      <c r="A8" s="14">
        <f t="shared" si="0"/>
        <v>4</v>
      </c>
      <c r="B8" s="4" t="s">
        <v>704</v>
      </c>
      <c r="C8" s="1" t="s">
        <v>2353</v>
      </c>
      <c r="D8" s="1" t="s">
        <v>2361</v>
      </c>
      <c r="E8" s="1" t="s">
        <v>2362</v>
      </c>
      <c r="F8" s="303" t="s">
        <v>2051</v>
      </c>
      <c r="G8" s="298">
        <v>44501</v>
      </c>
      <c r="H8" s="307">
        <v>3620433.43</v>
      </c>
      <c r="I8" s="307">
        <v>4259333.45</v>
      </c>
      <c r="J8" s="307"/>
      <c r="K8" s="426"/>
      <c r="L8" s="244"/>
      <c r="M8" s="243"/>
      <c r="N8" s="242"/>
      <c r="O8" s="243"/>
      <c r="P8" s="242"/>
      <c r="Q8" s="7"/>
      <c r="R8" s="243"/>
      <c r="S8" s="242"/>
      <c r="T8" s="7"/>
      <c r="U8" s="243"/>
      <c r="V8" s="242">
        <v>499414</v>
      </c>
      <c r="W8" s="7"/>
      <c r="X8" s="243"/>
      <c r="Y8" s="242"/>
      <c r="Z8" s="7"/>
      <c r="AA8" s="429"/>
      <c r="AB8" s="242"/>
      <c r="AC8" s="7"/>
      <c r="AD8" s="243"/>
      <c r="AE8" s="242">
        <v>571</v>
      </c>
      <c r="AF8" s="7"/>
      <c r="AG8" s="243"/>
      <c r="AH8" s="242"/>
      <c r="AI8" s="243"/>
      <c r="AJ8" s="244"/>
      <c r="AK8" s="243"/>
      <c r="AL8" s="244"/>
      <c r="AM8" s="243"/>
      <c r="AN8" s="244"/>
      <c r="AO8" s="243"/>
      <c r="AP8" s="244"/>
      <c r="AQ8" s="243"/>
      <c r="AR8" s="242"/>
      <c r="AS8" s="7"/>
      <c r="AT8" s="243"/>
      <c r="AU8" s="242"/>
      <c r="AV8" s="7"/>
      <c r="AW8" s="243"/>
      <c r="AX8" s="7"/>
      <c r="AY8" s="7"/>
      <c r="AZ8" s="7"/>
      <c r="BA8" s="7"/>
    </row>
    <row r="9" spans="1:53" s="149" customFormat="1" ht="24" customHeight="1" x14ac:dyDescent="0.2">
      <c r="H9" s="308">
        <f>SUM(H5:H8)</f>
        <v>26220828.469999999</v>
      </c>
      <c r="I9" s="308">
        <f t="shared" ref="I9" si="1">SUM(I5:I8)</f>
        <v>30845033.509999998</v>
      </c>
      <c r="J9" s="308">
        <f>SUM(J5:J8)</f>
        <v>681181.97</v>
      </c>
      <c r="K9" s="427">
        <f>SUM(K5:K8)</f>
        <v>681181.97</v>
      </c>
      <c r="L9" s="245">
        <f>SUM(L5:L8)</f>
        <v>0</v>
      </c>
      <c r="M9" s="246">
        <f t="shared" ref="M9:AI9" si="2">SUM(M5:M8)</f>
        <v>0</v>
      </c>
      <c r="N9" s="245">
        <f t="shared" si="2"/>
        <v>0</v>
      </c>
      <c r="O9" s="246">
        <f t="shared" si="2"/>
        <v>0</v>
      </c>
      <c r="P9" s="245">
        <f t="shared" si="2"/>
        <v>94954</v>
      </c>
      <c r="Q9" s="94">
        <f t="shared" si="2"/>
        <v>94954</v>
      </c>
      <c r="R9" s="246">
        <f>SUM(R5:R8)</f>
        <v>94954</v>
      </c>
      <c r="S9" s="245">
        <f t="shared" si="2"/>
        <v>112190</v>
      </c>
      <c r="T9" s="94">
        <f t="shared" si="2"/>
        <v>5265</v>
      </c>
      <c r="U9" s="246">
        <f>SUM(U5:U8)</f>
        <v>0</v>
      </c>
      <c r="V9" s="245">
        <f t="shared" si="2"/>
        <v>775356</v>
      </c>
      <c r="W9" s="94">
        <f t="shared" si="2"/>
        <v>68829</v>
      </c>
      <c r="X9" s="246">
        <f>SUM(X5:X8)</f>
        <v>4763</v>
      </c>
      <c r="Y9" s="245">
        <f t="shared" si="2"/>
        <v>0</v>
      </c>
      <c r="Z9" s="94">
        <f t="shared" si="2"/>
        <v>0</v>
      </c>
      <c r="AA9" s="430">
        <f>SUM(AA5:AA8)</f>
        <v>0</v>
      </c>
      <c r="AB9" s="245">
        <f t="shared" si="2"/>
        <v>122</v>
      </c>
      <c r="AC9" s="94">
        <f t="shared" si="2"/>
        <v>122</v>
      </c>
      <c r="AD9" s="246">
        <f>SUM(AD5:AD8)</f>
        <v>0</v>
      </c>
      <c r="AE9" s="245">
        <f t="shared" si="2"/>
        <v>1486</v>
      </c>
      <c r="AF9" s="94">
        <f>SUM(AF5:AF8)</f>
        <v>581</v>
      </c>
      <c r="AG9" s="246">
        <f>SUM(AG5:AG8)</f>
        <v>0</v>
      </c>
      <c r="AH9" s="245">
        <f t="shared" si="2"/>
        <v>0</v>
      </c>
      <c r="AI9" s="246">
        <f t="shared" si="2"/>
        <v>0</v>
      </c>
      <c r="AJ9" s="245">
        <f t="shared" ref="AJ9:BA9" si="3">SUM(AJ5:AJ8)</f>
        <v>0</v>
      </c>
      <c r="AK9" s="246">
        <f t="shared" si="3"/>
        <v>0</v>
      </c>
      <c r="AL9" s="245">
        <f t="shared" si="3"/>
        <v>0</v>
      </c>
      <c r="AM9" s="246">
        <f t="shared" si="3"/>
        <v>0</v>
      </c>
      <c r="AN9" s="245">
        <f t="shared" si="3"/>
        <v>0</v>
      </c>
      <c r="AO9" s="246">
        <f t="shared" si="3"/>
        <v>0</v>
      </c>
      <c r="AP9" s="245">
        <f t="shared" si="3"/>
        <v>0</v>
      </c>
      <c r="AQ9" s="246">
        <f t="shared" si="3"/>
        <v>0</v>
      </c>
      <c r="AR9" s="245">
        <f t="shared" si="3"/>
        <v>122</v>
      </c>
      <c r="AS9" s="94">
        <f t="shared" si="3"/>
        <v>49</v>
      </c>
      <c r="AT9" s="246">
        <f>SUM(AT5:AT8)</f>
        <v>0</v>
      </c>
      <c r="AU9" s="245">
        <f t="shared" si="3"/>
        <v>1510</v>
      </c>
      <c r="AV9" s="94">
        <f t="shared" si="3"/>
        <v>0</v>
      </c>
      <c r="AW9" s="246">
        <f>SUM(AW5:AW8)</f>
        <v>0</v>
      </c>
      <c r="AX9" s="94">
        <f t="shared" si="3"/>
        <v>0</v>
      </c>
      <c r="AY9" s="94">
        <f t="shared" si="3"/>
        <v>0</v>
      </c>
      <c r="AZ9" s="94">
        <f t="shared" si="3"/>
        <v>0</v>
      </c>
      <c r="BA9" s="94">
        <f t="shared" si="3"/>
        <v>0</v>
      </c>
    </row>
  </sheetData>
  <sheetProtection algorithmName="SHA-512" hashValue="Fg4uqHvOxjfURsxZDFKJyEaLYDD0VyDpiw1NF7FaMZ2TLHEFT5qaLRnoYBsPVcXFyFiAazhYj0LKM/GMPNAQuw==" saltValue="/POzdd1tzKfZgcZ55TnQkg==" spinCount="100000" sheet="1" objects="1" scenarios="1" autoFilter="0"/>
  <mergeCells count="62">
    <mergeCell ref="D1:D4"/>
    <mergeCell ref="L1:M1"/>
    <mergeCell ref="AE1:AG1"/>
    <mergeCell ref="V3:X3"/>
    <mergeCell ref="AB1:AD1"/>
    <mergeCell ref="AB2:AD2"/>
    <mergeCell ref="A1:A4"/>
    <mergeCell ref="P1:R1"/>
    <mergeCell ref="P2:R2"/>
    <mergeCell ref="P3:R3"/>
    <mergeCell ref="S1:U1"/>
    <mergeCell ref="S2:U2"/>
    <mergeCell ref="S3:U3"/>
    <mergeCell ref="H1:H3"/>
    <mergeCell ref="I1:I3"/>
    <mergeCell ref="K1:K3"/>
    <mergeCell ref="J1:J3"/>
    <mergeCell ref="G1:G4"/>
    <mergeCell ref="L3:M3"/>
    <mergeCell ref="N3:O3"/>
    <mergeCell ref="B1:B4"/>
    <mergeCell ref="C1:C4"/>
    <mergeCell ref="AJ3:AK3"/>
    <mergeCell ref="AJ2:AK2"/>
    <mergeCell ref="AN3:AO3"/>
    <mergeCell ref="AN2:AO2"/>
    <mergeCell ref="E1:E4"/>
    <mergeCell ref="F1:F4"/>
    <mergeCell ref="AJ1:AK1"/>
    <mergeCell ref="AL1:AM1"/>
    <mergeCell ref="AL2:AM2"/>
    <mergeCell ref="AL3:AM3"/>
    <mergeCell ref="N1:O1"/>
    <mergeCell ref="Y1:AA1"/>
    <mergeCell ref="Y2:AA2"/>
    <mergeCell ref="Y3:AA3"/>
    <mergeCell ref="V1:X1"/>
    <mergeCell ref="AH1:AI1"/>
    <mergeCell ref="AH3:AI3"/>
    <mergeCell ref="L2:M2"/>
    <mergeCell ref="N2:O2"/>
    <mergeCell ref="AB3:AD3"/>
    <mergeCell ref="AE2:AG2"/>
    <mergeCell ref="AE3:AG3"/>
    <mergeCell ref="V2:X2"/>
    <mergeCell ref="AH2:AI2"/>
    <mergeCell ref="AN1:AO1"/>
    <mergeCell ref="AZ3:BA3"/>
    <mergeCell ref="AZ2:BA2"/>
    <mergeCell ref="AZ1:BA1"/>
    <mergeCell ref="AP3:AQ3"/>
    <mergeCell ref="AP2:AQ2"/>
    <mergeCell ref="AP1:AQ1"/>
    <mergeCell ref="AX3:AY3"/>
    <mergeCell ref="AX2:AY2"/>
    <mergeCell ref="AX1:AY1"/>
    <mergeCell ref="AU1:AW1"/>
    <mergeCell ref="AU2:AW2"/>
    <mergeCell ref="AU3:AW3"/>
    <mergeCell ref="AR1:AT1"/>
    <mergeCell ref="AR2:AT2"/>
    <mergeCell ref="AR3:AT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BD23"/>
  <sheetViews>
    <sheetView zoomScale="70" zoomScaleNormal="70" workbookViewId="0">
      <selection activeCell="AP40" sqref="AP40"/>
    </sheetView>
  </sheetViews>
  <sheetFormatPr defaultRowHeight="12.75" x14ac:dyDescent="0.2"/>
  <cols>
    <col min="1" max="1" width="10.85546875" style="16" bestFit="1" customWidth="1"/>
    <col min="2" max="2" width="22.140625" style="16" bestFit="1" customWidth="1"/>
    <col min="3" max="3" width="22" style="16" bestFit="1" customWidth="1"/>
    <col min="4" max="4" width="36.42578125" style="16" bestFit="1" customWidth="1"/>
    <col min="5" max="6" width="16.42578125" style="16" customWidth="1"/>
    <col min="7" max="7" width="11.42578125" style="16" customWidth="1"/>
    <col min="8" max="8" width="12.85546875" style="16" customWidth="1"/>
    <col min="9" max="10" width="11.42578125" style="16" customWidth="1"/>
    <col min="11" max="30" width="11.42578125" style="16" hidden="1" customWidth="1"/>
    <col min="31" max="33" width="11.42578125" style="16" customWidth="1"/>
    <col min="34" max="41" width="11.42578125" style="16" hidden="1" customWidth="1"/>
    <col min="42" max="50" width="11.42578125" style="16" customWidth="1"/>
    <col min="51" max="16384" width="9.140625" style="16"/>
  </cols>
  <sheetData>
    <row r="1" spans="1:56" ht="82.5" customHeight="1" x14ac:dyDescent="0.2">
      <c r="A1" s="1548" t="s">
        <v>476</v>
      </c>
      <c r="B1" s="1548" t="s">
        <v>477</v>
      </c>
      <c r="C1" s="1548" t="s">
        <v>478</v>
      </c>
      <c r="D1" s="1548" t="s">
        <v>479</v>
      </c>
      <c r="E1" s="1548" t="s">
        <v>481</v>
      </c>
      <c r="F1" s="1550" t="s">
        <v>684</v>
      </c>
      <c r="G1" s="1550" t="s">
        <v>2020</v>
      </c>
      <c r="H1" s="1550" t="s">
        <v>2021</v>
      </c>
      <c r="I1" s="1550" t="s">
        <v>2032</v>
      </c>
      <c r="J1" s="1572" t="s">
        <v>2022</v>
      </c>
      <c r="K1" s="1560" t="s">
        <v>53</v>
      </c>
      <c r="L1" s="1562"/>
      <c r="M1" s="1561" t="s">
        <v>51</v>
      </c>
      <c r="N1" s="1561"/>
      <c r="O1" s="1560" t="s">
        <v>218</v>
      </c>
      <c r="P1" s="1562"/>
      <c r="Q1" s="1560" t="s">
        <v>220</v>
      </c>
      <c r="R1" s="1562"/>
      <c r="S1" s="1560" t="s">
        <v>222</v>
      </c>
      <c r="T1" s="1562"/>
      <c r="U1" s="1560" t="s">
        <v>224</v>
      </c>
      <c r="V1" s="1562"/>
      <c r="W1" s="1560" t="s">
        <v>146</v>
      </c>
      <c r="X1" s="1562"/>
      <c r="Y1" s="1560" t="s">
        <v>226</v>
      </c>
      <c r="Z1" s="1562"/>
      <c r="AA1" s="1560" t="s">
        <v>228</v>
      </c>
      <c r="AB1" s="1562"/>
      <c r="AC1" s="1560" t="s">
        <v>230</v>
      </c>
      <c r="AD1" s="1562"/>
      <c r="AE1" s="1588" t="s">
        <v>55</v>
      </c>
      <c r="AF1" s="1589"/>
      <c r="AG1" s="1590"/>
      <c r="AH1" s="1560" t="s">
        <v>233</v>
      </c>
      <c r="AI1" s="1562"/>
      <c r="AJ1" s="1560" t="s">
        <v>235</v>
      </c>
      <c r="AK1" s="1562"/>
      <c r="AL1" s="1560" t="s">
        <v>152</v>
      </c>
      <c r="AM1" s="1562"/>
      <c r="AN1" s="1560" t="s">
        <v>237</v>
      </c>
      <c r="AO1" s="1562"/>
      <c r="AP1" s="1583" t="s">
        <v>239</v>
      </c>
      <c r="AQ1" s="1559"/>
      <c r="AR1" s="1584"/>
      <c r="AS1" s="1583" t="s">
        <v>241</v>
      </c>
      <c r="AT1" s="1559"/>
      <c r="AU1" s="1586"/>
      <c r="AV1" s="1583" t="s">
        <v>243</v>
      </c>
      <c r="AW1" s="1559"/>
      <c r="AX1" s="1584"/>
      <c r="AY1" s="1583" t="s">
        <v>245</v>
      </c>
      <c r="AZ1" s="1559"/>
      <c r="BA1" s="1584"/>
      <c r="BB1" s="1583" t="s">
        <v>247</v>
      </c>
      <c r="BC1" s="1559"/>
      <c r="BD1" s="1584"/>
    </row>
    <row r="2" spans="1:56" x14ac:dyDescent="0.2">
      <c r="A2" s="1549"/>
      <c r="B2" s="1549"/>
      <c r="C2" s="1549"/>
      <c r="D2" s="1549"/>
      <c r="E2" s="1549"/>
      <c r="F2" s="1550"/>
      <c r="G2" s="1550"/>
      <c r="H2" s="1550"/>
      <c r="I2" s="1550"/>
      <c r="J2" s="1572"/>
      <c r="K2" s="1563" t="s">
        <v>215</v>
      </c>
      <c r="L2" s="1564"/>
      <c r="M2" s="1570" t="s">
        <v>216</v>
      </c>
      <c r="N2" s="1570"/>
      <c r="O2" s="1563" t="s">
        <v>217</v>
      </c>
      <c r="P2" s="1564"/>
      <c r="Q2" s="1563" t="s">
        <v>219</v>
      </c>
      <c r="R2" s="1564"/>
      <c r="S2" s="1563" t="s">
        <v>221</v>
      </c>
      <c r="T2" s="1564"/>
      <c r="U2" s="1563" t="s">
        <v>223</v>
      </c>
      <c r="V2" s="1564"/>
      <c r="W2" s="1563" t="s">
        <v>145</v>
      </c>
      <c r="X2" s="1564"/>
      <c r="Y2" s="1563" t="s">
        <v>225</v>
      </c>
      <c r="Z2" s="1564"/>
      <c r="AA2" s="1563" t="s">
        <v>227</v>
      </c>
      <c r="AB2" s="1564"/>
      <c r="AC2" s="1563" t="s">
        <v>229</v>
      </c>
      <c r="AD2" s="1564"/>
      <c r="AE2" s="1568" t="s">
        <v>231</v>
      </c>
      <c r="AF2" s="1558"/>
      <c r="AG2" s="1569"/>
      <c r="AH2" s="1563" t="s">
        <v>232</v>
      </c>
      <c r="AI2" s="1564"/>
      <c r="AJ2" s="1563" t="s">
        <v>234</v>
      </c>
      <c r="AK2" s="1564"/>
      <c r="AL2" s="1563" t="s">
        <v>151</v>
      </c>
      <c r="AM2" s="1564"/>
      <c r="AN2" s="1563" t="s">
        <v>236</v>
      </c>
      <c r="AO2" s="1564"/>
      <c r="AP2" s="1568" t="s">
        <v>238</v>
      </c>
      <c r="AQ2" s="1558"/>
      <c r="AR2" s="1569"/>
      <c r="AS2" s="1568" t="s">
        <v>240</v>
      </c>
      <c r="AT2" s="1558"/>
      <c r="AU2" s="1587"/>
      <c r="AV2" s="1568" t="s">
        <v>242</v>
      </c>
      <c r="AW2" s="1558"/>
      <c r="AX2" s="1569"/>
      <c r="AY2" s="1568" t="s">
        <v>244</v>
      </c>
      <c r="AZ2" s="1558"/>
      <c r="BA2" s="1569"/>
      <c r="BB2" s="1568" t="s">
        <v>246</v>
      </c>
      <c r="BC2" s="1558"/>
      <c r="BD2" s="1569"/>
    </row>
    <row r="3" spans="1:56" x14ac:dyDescent="0.2">
      <c r="A3" s="1549"/>
      <c r="B3" s="1549"/>
      <c r="C3" s="1549"/>
      <c r="D3" s="1549"/>
      <c r="E3" s="1549"/>
      <c r="F3" s="1550"/>
      <c r="G3" s="1550"/>
      <c r="H3" s="1550"/>
      <c r="I3" s="1550"/>
      <c r="J3" s="1572"/>
      <c r="K3" s="1563" t="s">
        <v>435</v>
      </c>
      <c r="L3" s="1564"/>
      <c r="M3" s="1570" t="s">
        <v>427</v>
      </c>
      <c r="N3" s="1570"/>
      <c r="O3" s="1563" t="s">
        <v>435</v>
      </c>
      <c r="P3" s="1564"/>
      <c r="Q3" s="1563" t="s">
        <v>427</v>
      </c>
      <c r="R3" s="1564"/>
      <c r="S3" s="1563" t="s">
        <v>427</v>
      </c>
      <c r="T3" s="1564"/>
      <c r="U3" s="1563" t="s">
        <v>427</v>
      </c>
      <c r="V3" s="1564"/>
      <c r="W3" s="1563" t="s">
        <v>430</v>
      </c>
      <c r="X3" s="1564"/>
      <c r="Y3" s="1563" t="s">
        <v>427</v>
      </c>
      <c r="Z3" s="1564"/>
      <c r="AA3" s="1563" t="s">
        <v>427</v>
      </c>
      <c r="AB3" s="1564"/>
      <c r="AC3" s="1563" t="s">
        <v>435</v>
      </c>
      <c r="AD3" s="1564"/>
      <c r="AE3" s="488" t="s">
        <v>435</v>
      </c>
      <c r="AF3" s="489"/>
      <c r="AG3" s="460"/>
      <c r="AH3" s="1563" t="s">
        <v>427</v>
      </c>
      <c r="AI3" s="1564"/>
      <c r="AJ3" s="1563" t="s">
        <v>427</v>
      </c>
      <c r="AK3" s="1564"/>
      <c r="AL3" s="1563" t="s">
        <v>430</v>
      </c>
      <c r="AM3" s="1564"/>
      <c r="AN3" s="1563" t="s">
        <v>435</v>
      </c>
      <c r="AO3" s="1564"/>
      <c r="AP3" s="1568" t="s">
        <v>435</v>
      </c>
      <c r="AQ3" s="1558"/>
      <c r="AR3" s="1569"/>
      <c r="AS3" s="1568" t="s">
        <v>435</v>
      </c>
      <c r="AT3" s="1558"/>
      <c r="AU3" s="1587"/>
      <c r="AV3" s="1568" t="s">
        <v>435</v>
      </c>
      <c r="AW3" s="1558"/>
      <c r="AX3" s="1569"/>
      <c r="AY3" s="1568" t="s">
        <v>435</v>
      </c>
      <c r="AZ3" s="1558"/>
      <c r="BA3" s="1569"/>
      <c r="BB3" s="1568" t="s">
        <v>435</v>
      </c>
      <c r="BC3" s="1558"/>
      <c r="BD3" s="1569"/>
    </row>
    <row r="4" spans="1:56" ht="76.5" x14ac:dyDescent="0.2">
      <c r="A4" s="1554"/>
      <c r="B4" s="1554"/>
      <c r="C4" s="1554"/>
      <c r="D4" s="1554"/>
      <c r="E4" s="1554"/>
      <c r="F4" s="1550"/>
      <c r="G4" s="229" t="s">
        <v>410</v>
      </c>
      <c r="H4" s="229" t="s">
        <v>410</v>
      </c>
      <c r="I4" s="229" t="s">
        <v>410</v>
      </c>
      <c r="J4" s="421" t="s">
        <v>410</v>
      </c>
      <c r="K4" s="424" t="s">
        <v>484</v>
      </c>
      <c r="L4" s="420" t="s">
        <v>485</v>
      </c>
      <c r="M4" s="480" t="s">
        <v>484</v>
      </c>
      <c r="N4" s="486" t="s">
        <v>485</v>
      </c>
      <c r="O4" s="424" t="s">
        <v>484</v>
      </c>
      <c r="P4" s="420" t="s">
        <v>485</v>
      </c>
      <c r="Q4" s="424" t="s">
        <v>484</v>
      </c>
      <c r="R4" s="420" t="s">
        <v>485</v>
      </c>
      <c r="S4" s="424" t="s">
        <v>484</v>
      </c>
      <c r="T4" s="420" t="s">
        <v>485</v>
      </c>
      <c r="U4" s="424" t="s">
        <v>484</v>
      </c>
      <c r="V4" s="420" t="s">
        <v>485</v>
      </c>
      <c r="W4" s="424" t="s">
        <v>484</v>
      </c>
      <c r="X4" s="420" t="s">
        <v>485</v>
      </c>
      <c r="Y4" s="424" t="s">
        <v>484</v>
      </c>
      <c r="Z4" s="420" t="s">
        <v>485</v>
      </c>
      <c r="AA4" s="424" t="s">
        <v>484</v>
      </c>
      <c r="AB4" s="420" t="s">
        <v>485</v>
      </c>
      <c r="AC4" s="424" t="s">
        <v>484</v>
      </c>
      <c r="AD4" s="420" t="s">
        <v>485</v>
      </c>
      <c r="AE4" s="424" t="s">
        <v>484</v>
      </c>
      <c r="AF4" s="91" t="s">
        <v>485</v>
      </c>
      <c r="AG4" s="420" t="s">
        <v>2016</v>
      </c>
      <c r="AH4" s="424" t="s">
        <v>484</v>
      </c>
      <c r="AI4" s="420" t="s">
        <v>485</v>
      </c>
      <c r="AJ4" s="424" t="s">
        <v>484</v>
      </c>
      <c r="AK4" s="420" t="s">
        <v>485</v>
      </c>
      <c r="AL4" s="424" t="s">
        <v>484</v>
      </c>
      <c r="AM4" s="420" t="s">
        <v>485</v>
      </c>
      <c r="AN4" s="424" t="s">
        <v>484</v>
      </c>
      <c r="AO4" s="420" t="s">
        <v>485</v>
      </c>
      <c r="AP4" s="424" t="s">
        <v>484</v>
      </c>
      <c r="AQ4" s="91" t="s">
        <v>485</v>
      </c>
      <c r="AR4" s="420" t="s">
        <v>2016</v>
      </c>
      <c r="AS4" s="424" t="s">
        <v>484</v>
      </c>
      <c r="AT4" s="91" t="s">
        <v>485</v>
      </c>
      <c r="AU4" s="486" t="s">
        <v>2016</v>
      </c>
      <c r="AV4" s="424" t="s">
        <v>484</v>
      </c>
      <c r="AW4" s="91" t="s">
        <v>485</v>
      </c>
      <c r="AX4" s="420" t="s">
        <v>2016</v>
      </c>
      <c r="AY4" s="424" t="s">
        <v>484</v>
      </c>
      <c r="AZ4" s="91" t="s">
        <v>485</v>
      </c>
      <c r="BA4" s="420" t="s">
        <v>2016</v>
      </c>
      <c r="BB4" s="424" t="s">
        <v>484</v>
      </c>
      <c r="BC4" s="91" t="s">
        <v>485</v>
      </c>
      <c r="BD4" s="420" t="s">
        <v>2016</v>
      </c>
    </row>
    <row r="5" spans="1:56" customFormat="1" ht="15" x14ac:dyDescent="0.25">
      <c r="A5" s="4" t="s">
        <v>535</v>
      </c>
      <c r="B5" s="1" t="s">
        <v>2363</v>
      </c>
      <c r="C5" s="1" t="s">
        <v>2364</v>
      </c>
      <c r="D5" s="1" t="s">
        <v>2365</v>
      </c>
      <c r="E5" s="1" t="s">
        <v>2051</v>
      </c>
      <c r="F5" s="298">
        <v>43344</v>
      </c>
      <c r="G5" s="307"/>
      <c r="H5" s="307">
        <v>2185000</v>
      </c>
      <c r="I5" s="307"/>
      <c r="J5" s="426">
        <f>H5</f>
        <v>2185000</v>
      </c>
      <c r="K5" s="244"/>
      <c r="L5" s="243"/>
      <c r="M5" s="11"/>
      <c r="N5" s="236"/>
      <c r="O5" s="242"/>
      <c r="P5" s="243"/>
      <c r="Q5" s="242"/>
      <c r="R5" s="243"/>
      <c r="S5" s="242"/>
      <c r="T5" s="243"/>
      <c r="U5" s="242"/>
      <c r="V5" s="243"/>
      <c r="W5" s="242"/>
      <c r="X5" s="243"/>
      <c r="Y5" s="242"/>
      <c r="Z5" s="243"/>
      <c r="AA5" s="242"/>
      <c r="AB5" s="243"/>
      <c r="AC5" s="242"/>
      <c r="AD5" s="243"/>
      <c r="AE5" s="242">
        <v>1</v>
      </c>
      <c r="AF5" s="7"/>
      <c r="AG5" s="493">
        <f>AE5</f>
        <v>1</v>
      </c>
      <c r="AH5" s="242"/>
      <c r="AI5" s="243"/>
      <c r="AJ5" s="242"/>
      <c r="AK5" s="243"/>
      <c r="AL5" s="242"/>
      <c r="AM5" s="243"/>
      <c r="AN5" s="242"/>
      <c r="AO5" s="243"/>
      <c r="AP5" s="242"/>
      <c r="AQ5" s="7"/>
      <c r="AR5" s="493">
        <f>AP5</f>
        <v>0</v>
      </c>
      <c r="AS5" s="242">
        <v>5137</v>
      </c>
      <c r="AT5" s="7"/>
      <c r="AU5" s="494">
        <f>AS5</f>
        <v>5137</v>
      </c>
      <c r="AV5" s="242">
        <v>4824</v>
      </c>
      <c r="AW5" s="7"/>
      <c r="AX5" s="493">
        <f>AV5</f>
        <v>4824</v>
      </c>
      <c r="AY5" s="242"/>
      <c r="AZ5" s="7"/>
      <c r="BA5" s="493">
        <f>AY5</f>
        <v>0</v>
      </c>
      <c r="BB5" s="242"/>
      <c r="BC5" s="7"/>
      <c r="BD5" s="493">
        <f>BB5</f>
        <v>0</v>
      </c>
    </row>
    <row r="6" spans="1:56" customFormat="1" ht="15" x14ac:dyDescent="0.25">
      <c r="A6" s="4" t="s">
        <v>536</v>
      </c>
      <c r="B6" s="1" t="s">
        <v>2363</v>
      </c>
      <c r="C6" s="1" t="s">
        <v>2364</v>
      </c>
      <c r="D6" s="1" t="s">
        <v>2366</v>
      </c>
      <c r="E6" s="1" t="s">
        <v>2051</v>
      </c>
      <c r="F6" s="298">
        <v>43374</v>
      </c>
      <c r="G6" s="307"/>
      <c r="H6" s="307">
        <v>3248970</v>
      </c>
      <c r="I6" s="307"/>
      <c r="J6" s="426">
        <f>H6</f>
        <v>3248970</v>
      </c>
      <c r="K6" s="244"/>
      <c r="L6" s="243"/>
      <c r="M6" s="11"/>
      <c r="N6" s="236"/>
      <c r="O6" s="242"/>
      <c r="P6" s="243"/>
      <c r="Q6" s="242"/>
      <c r="R6" s="243"/>
      <c r="S6" s="242"/>
      <c r="T6" s="243"/>
      <c r="U6" s="242"/>
      <c r="V6" s="243"/>
      <c r="W6" s="242"/>
      <c r="X6" s="243"/>
      <c r="Y6" s="242"/>
      <c r="Z6" s="243"/>
      <c r="AA6" s="242"/>
      <c r="AB6" s="243"/>
      <c r="AC6" s="242"/>
      <c r="AD6" s="243"/>
      <c r="AE6" s="242">
        <v>1</v>
      </c>
      <c r="AF6" s="7"/>
      <c r="AG6" s="493">
        <f>AE6</f>
        <v>1</v>
      </c>
      <c r="AH6" s="242"/>
      <c r="AI6" s="243"/>
      <c r="AJ6" s="242"/>
      <c r="AK6" s="243"/>
      <c r="AL6" s="242"/>
      <c r="AM6" s="243"/>
      <c r="AN6" s="242"/>
      <c r="AO6" s="243"/>
      <c r="AP6" s="242"/>
      <c r="AQ6" s="7"/>
      <c r="AR6" s="493">
        <f>AP6</f>
        <v>0</v>
      </c>
      <c r="AS6" s="242">
        <v>6172</v>
      </c>
      <c r="AT6" s="7"/>
      <c r="AU6" s="494">
        <f>AS6</f>
        <v>6172</v>
      </c>
      <c r="AV6" s="242">
        <v>5748</v>
      </c>
      <c r="AW6" s="7"/>
      <c r="AX6" s="493">
        <f>AV6</f>
        <v>5748</v>
      </c>
      <c r="AY6" s="242"/>
      <c r="AZ6" s="7"/>
      <c r="BA6" s="493">
        <f>AY6</f>
        <v>0</v>
      </c>
      <c r="BB6" s="242"/>
      <c r="BC6" s="7"/>
      <c r="BD6" s="493">
        <f>BB6</f>
        <v>0</v>
      </c>
    </row>
    <row r="7" spans="1:56" customFormat="1" ht="38.25" x14ac:dyDescent="0.25">
      <c r="A7" s="4" t="s">
        <v>538</v>
      </c>
      <c r="B7" s="1" t="s">
        <v>2363</v>
      </c>
      <c r="C7" s="1" t="s">
        <v>2367</v>
      </c>
      <c r="D7" s="1" t="s">
        <v>2368</v>
      </c>
      <c r="E7" s="1" t="s">
        <v>2051</v>
      </c>
      <c r="F7" s="298">
        <v>43466</v>
      </c>
      <c r="G7" s="307"/>
      <c r="H7" s="307">
        <v>6278816.6699999999</v>
      </c>
      <c r="I7" s="307"/>
      <c r="J7" s="426"/>
      <c r="K7" s="244"/>
      <c r="L7" s="243"/>
      <c r="M7" s="11"/>
      <c r="N7" s="236"/>
      <c r="O7" s="242"/>
      <c r="P7" s="243"/>
      <c r="Q7" s="242"/>
      <c r="R7" s="243"/>
      <c r="S7" s="242"/>
      <c r="T7" s="243"/>
      <c r="U7" s="242"/>
      <c r="V7" s="243"/>
      <c r="W7" s="242"/>
      <c r="X7" s="243"/>
      <c r="Y7" s="242"/>
      <c r="Z7" s="243"/>
      <c r="AA7" s="242"/>
      <c r="AB7" s="243"/>
      <c r="AC7" s="242"/>
      <c r="AD7" s="243"/>
      <c r="AE7" s="242">
        <v>1</v>
      </c>
      <c r="AF7" s="7"/>
      <c r="AG7" s="460"/>
      <c r="AH7" s="242"/>
      <c r="AI7" s="243"/>
      <c r="AJ7" s="242"/>
      <c r="AK7" s="243"/>
      <c r="AL7" s="242"/>
      <c r="AM7" s="243"/>
      <c r="AN7" s="242"/>
      <c r="AO7" s="243"/>
      <c r="AP7" s="242"/>
      <c r="AQ7" s="7"/>
      <c r="AR7" s="460"/>
      <c r="AS7" s="242">
        <v>5980</v>
      </c>
      <c r="AT7" s="7"/>
      <c r="AU7" s="491"/>
      <c r="AV7" s="242">
        <v>3870</v>
      </c>
      <c r="AW7" s="7"/>
      <c r="AX7" s="460"/>
      <c r="AY7" s="242"/>
      <c r="AZ7" s="7"/>
      <c r="BA7" s="460"/>
      <c r="BB7" s="242"/>
      <c r="BC7" s="7"/>
      <c r="BD7" s="460"/>
    </row>
    <row r="8" spans="1:56" customFormat="1" ht="38.25" x14ac:dyDescent="0.25">
      <c r="A8" s="4" t="s">
        <v>540</v>
      </c>
      <c r="B8" s="1" t="s">
        <v>2363</v>
      </c>
      <c r="C8" s="1" t="s">
        <v>2369</v>
      </c>
      <c r="D8" s="1" t="s">
        <v>2370</v>
      </c>
      <c r="E8" s="1" t="s">
        <v>2051</v>
      </c>
      <c r="F8" s="298">
        <v>43525</v>
      </c>
      <c r="G8" s="307"/>
      <c r="H8" s="307">
        <v>1436346.08</v>
      </c>
      <c r="I8" s="307"/>
      <c r="J8" s="426"/>
      <c r="K8" s="244"/>
      <c r="L8" s="243"/>
      <c r="M8" s="11"/>
      <c r="N8" s="236"/>
      <c r="O8" s="242"/>
      <c r="P8" s="243"/>
      <c r="Q8" s="242"/>
      <c r="R8" s="243"/>
      <c r="S8" s="242"/>
      <c r="T8" s="243"/>
      <c r="U8" s="242"/>
      <c r="V8" s="243"/>
      <c r="W8" s="242"/>
      <c r="X8" s="243"/>
      <c r="Y8" s="242"/>
      <c r="Z8" s="243"/>
      <c r="AA8" s="242"/>
      <c r="AB8" s="243"/>
      <c r="AC8" s="242"/>
      <c r="AD8" s="243"/>
      <c r="AE8" s="242">
        <v>1</v>
      </c>
      <c r="AF8" s="7"/>
      <c r="AG8" s="460"/>
      <c r="AH8" s="242"/>
      <c r="AI8" s="243"/>
      <c r="AJ8" s="242"/>
      <c r="AK8" s="243"/>
      <c r="AL8" s="242"/>
      <c r="AM8" s="243"/>
      <c r="AN8" s="242"/>
      <c r="AO8" s="243"/>
      <c r="AP8" s="242"/>
      <c r="AQ8" s="7"/>
      <c r="AR8" s="460"/>
      <c r="AS8" s="242">
        <v>883.30600000000004</v>
      </c>
      <c r="AT8" s="7"/>
      <c r="AU8" s="491"/>
      <c r="AV8" s="242">
        <v>787.29399999999998</v>
      </c>
      <c r="AW8" s="7"/>
      <c r="AX8" s="460"/>
      <c r="AY8" s="242"/>
      <c r="AZ8" s="7"/>
      <c r="BA8" s="460"/>
      <c r="BB8" s="242"/>
      <c r="BC8" s="7"/>
      <c r="BD8" s="460"/>
    </row>
    <row r="9" spans="1:56" x14ac:dyDescent="0.2">
      <c r="A9" s="1" t="s">
        <v>698</v>
      </c>
      <c r="B9" s="1" t="s">
        <v>2363</v>
      </c>
      <c r="C9" s="1" t="s">
        <v>2364</v>
      </c>
      <c r="D9" s="1" t="s">
        <v>2378</v>
      </c>
      <c r="E9" s="1" t="s">
        <v>2051</v>
      </c>
      <c r="F9" s="298">
        <v>43647</v>
      </c>
      <c r="G9" s="307"/>
      <c r="H9" s="307">
        <v>684450</v>
      </c>
      <c r="I9" s="307"/>
      <c r="J9" s="426"/>
      <c r="K9" s="244"/>
      <c r="L9" s="243"/>
      <c r="M9" s="11"/>
      <c r="N9" s="236"/>
      <c r="O9" s="242"/>
      <c r="P9" s="243"/>
      <c r="Q9" s="242"/>
      <c r="R9" s="243"/>
      <c r="S9" s="242"/>
      <c r="T9" s="243"/>
      <c r="U9" s="242"/>
      <c r="V9" s="243"/>
      <c r="W9" s="242"/>
      <c r="X9" s="243"/>
      <c r="Y9" s="242"/>
      <c r="Z9" s="243"/>
      <c r="AA9" s="242"/>
      <c r="AB9" s="243"/>
      <c r="AC9" s="242"/>
      <c r="AD9" s="243"/>
      <c r="AE9" s="242">
        <v>1</v>
      </c>
      <c r="AF9" s="7"/>
      <c r="AG9" s="460"/>
      <c r="AH9" s="242"/>
      <c r="AI9" s="243"/>
      <c r="AJ9" s="242"/>
      <c r="AK9" s="243"/>
      <c r="AL9" s="242"/>
      <c r="AM9" s="243"/>
      <c r="AN9" s="242"/>
      <c r="AO9" s="243"/>
      <c r="AP9" s="244"/>
      <c r="AQ9" s="7"/>
      <c r="AR9" s="460"/>
      <c r="AS9" s="242">
        <v>1606.83</v>
      </c>
      <c r="AT9" s="7"/>
      <c r="AU9" s="491"/>
      <c r="AV9" s="242">
        <v>16.239999999999998</v>
      </c>
      <c r="AW9" s="7"/>
      <c r="AX9" s="460"/>
      <c r="AY9" s="242"/>
      <c r="AZ9" s="7"/>
      <c r="BA9" s="460"/>
      <c r="BB9" s="242"/>
      <c r="BC9" s="7"/>
      <c r="BD9" s="460"/>
    </row>
    <row r="10" spans="1:56" x14ac:dyDescent="0.2">
      <c r="A10" s="4" t="s">
        <v>699</v>
      </c>
      <c r="B10" s="1" t="s">
        <v>2363</v>
      </c>
      <c r="C10" s="1" t="s">
        <v>2364</v>
      </c>
      <c r="D10" s="1" t="s">
        <v>2382</v>
      </c>
      <c r="E10" s="1" t="s">
        <v>2051</v>
      </c>
      <c r="F10" s="298">
        <v>43678</v>
      </c>
      <c r="G10" s="307"/>
      <c r="H10" s="307">
        <v>7178627.8200000003</v>
      </c>
      <c r="I10" s="307"/>
      <c r="J10" s="426"/>
      <c r="K10" s="244"/>
      <c r="L10" s="243"/>
      <c r="M10" s="11"/>
      <c r="N10" s="236"/>
      <c r="O10" s="242"/>
      <c r="P10" s="243"/>
      <c r="Q10" s="242"/>
      <c r="R10" s="243"/>
      <c r="S10" s="242"/>
      <c r="T10" s="243"/>
      <c r="U10" s="242"/>
      <c r="V10" s="243"/>
      <c r="W10" s="242"/>
      <c r="X10" s="243"/>
      <c r="Y10" s="242"/>
      <c r="Z10" s="243"/>
      <c r="AA10" s="242"/>
      <c r="AB10" s="243"/>
      <c r="AC10" s="242"/>
      <c r="AD10" s="243"/>
      <c r="AE10" s="242">
        <v>1</v>
      </c>
      <c r="AF10" s="7"/>
      <c r="AG10" s="460"/>
      <c r="AH10" s="242"/>
      <c r="AI10" s="243"/>
      <c r="AJ10" s="242"/>
      <c r="AK10" s="243"/>
      <c r="AL10" s="242"/>
      <c r="AM10" s="243"/>
      <c r="AN10" s="242"/>
      <c r="AO10" s="243"/>
      <c r="AP10" s="242"/>
      <c r="AQ10" s="7"/>
      <c r="AR10" s="460"/>
      <c r="AS10" s="242">
        <v>12665.48</v>
      </c>
      <c r="AT10" s="7"/>
      <c r="AU10" s="491"/>
      <c r="AV10" s="242">
        <v>11072.42</v>
      </c>
      <c r="AW10" s="7"/>
      <c r="AX10" s="460"/>
      <c r="AY10" s="242"/>
      <c r="AZ10" s="7"/>
      <c r="BA10" s="460"/>
      <c r="BB10" s="242"/>
      <c r="BC10" s="7"/>
      <c r="BD10" s="460"/>
    </row>
    <row r="11" spans="1:56" x14ac:dyDescent="0.2">
      <c r="A11" s="4" t="s">
        <v>537</v>
      </c>
      <c r="B11" s="1" t="s">
        <v>2363</v>
      </c>
      <c r="C11" s="1" t="s">
        <v>2364</v>
      </c>
      <c r="D11" s="1" t="s">
        <v>2383</v>
      </c>
      <c r="E11" s="1" t="s">
        <v>2051</v>
      </c>
      <c r="F11" s="298">
        <v>43709</v>
      </c>
      <c r="G11" s="307"/>
      <c r="H11" s="307">
        <v>16506692.300000001</v>
      </c>
      <c r="I11" s="307"/>
      <c r="J11" s="426"/>
      <c r="K11" s="244"/>
      <c r="L11" s="243"/>
      <c r="M11" s="11"/>
      <c r="N11" s="236"/>
      <c r="O11" s="242"/>
      <c r="P11" s="243"/>
      <c r="Q11" s="242"/>
      <c r="R11" s="243"/>
      <c r="S11" s="242"/>
      <c r="T11" s="243"/>
      <c r="U11" s="242"/>
      <c r="V11" s="243"/>
      <c r="W11" s="242"/>
      <c r="X11" s="243"/>
      <c r="Y11" s="242"/>
      <c r="Z11" s="243"/>
      <c r="AA11" s="242"/>
      <c r="AB11" s="243"/>
      <c r="AC11" s="242"/>
      <c r="AD11" s="243"/>
      <c r="AE11" s="242">
        <v>3</v>
      </c>
      <c r="AF11" s="7"/>
      <c r="AG11" s="460"/>
      <c r="AH11" s="242"/>
      <c r="AI11" s="243"/>
      <c r="AJ11" s="242"/>
      <c r="AK11" s="243"/>
      <c r="AL11" s="242"/>
      <c r="AM11" s="243"/>
      <c r="AN11" s="242"/>
      <c r="AO11" s="243"/>
      <c r="AP11" s="242"/>
      <c r="AQ11" s="7"/>
      <c r="AR11" s="460"/>
      <c r="AS11" s="242">
        <v>32913</v>
      </c>
      <c r="AT11" s="7"/>
      <c r="AU11" s="491"/>
      <c r="AV11" s="242">
        <v>18077</v>
      </c>
      <c r="AW11" s="7"/>
      <c r="AX11" s="460"/>
      <c r="AY11" s="242"/>
      <c r="AZ11" s="7"/>
      <c r="BA11" s="460"/>
      <c r="BB11" s="242"/>
      <c r="BC11" s="7"/>
      <c r="BD11" s="460"/>
    </row>
    <row r="12" spans="1:56" x14ac:dyDescent="0.2">
      <c r="A12" s="1" t="s">
        <v>695</v>
      </c>
      <c r="B12" s="1" t="s">
        <v>2363</v>
      </c>
      <c r="C12" s="1" t="s">
        <v>2364</v>
      </c>
      <c r="D12" s="1" t="s">
        <v>2384</v>
      </c>
      <c r="E12" s="1" t="s">
        <v>2051</v>
      </c>
      <c r="F12" s="298">
        <v>43770</v>
      </c>
      <c r="G12" s="307"/>
      <c r="H12" s="307">
        <v>11846820</v>
      </c>
      <c r="I12" s="307"/>
      <c r="J12" s="426"/>
      <c r="K12" s="244"/>
      <c r="L12" s="243"/>
      <c r="M12" s="11"/>
      <c r="N12" s="236"/>
      <c r="O12" s="242"/>
      <c r="P12" s="243"/>
      <c r="Q12" s="242"/>
      <c r="R12" s="243"/>
      <c r="S12" s="242"/>
      <c r="T12" s="243"/>
      <c r="U12" s="242"/>
      <c r="V12" s="243"/>
      <c r="W12" s="242"/>
      <c r="X12" s="243"/>
      <c r="Y12" s="242"/>
      <c r="Z12" s="243"/>
      <c r="AA12" s="242"/>
      <c r="AB12" s="243"/>
      <c r="AC12" s="242"/>
      <c r="AD12" s="243"/>
      <c r="AE12" s="242">
        <v>2</v>
      </c>
      <c r="AF12" s="7"/>
      <c r="AG12" s="460"/>
      <c r="AH12" s="242"/>
      <c r="AI12" s="243"/>
      <c r="AJ12" s="242"/>
      <c r="AK12" s="243"/>
      <c r="AL12" s="242"/>
      <c r="AM12" s="243"/>
      <c r="AN12" s="242"/>
      <c r="AO12" s="243"/>
      <c r="AP12" s="244"/>
      <c r="AQ12" s="7"/>
      <c r="AR12" s="460"/>
      <c r="AS12" s="242">
        <v>28865.08</v>
      </c>
      <c r="AT12" s="7"/>
      <c r="AU12" s="491"/>
      <c r="AV12" s="242">
        <v>16397.490000000002</v>
      </c>
      <c r="AW12" s="7"/>
      <c r="AX12" s="460"/>
      <c r="AY12" s="242"/>
      <c r="AZ12" s="7"/>
      <c r="BA12" s="460"/>
      <c r="BB12" s="242"/>
      <c r="BC12" s="7"/>
      <c r="BD12" s="460"/>
    </row>
    <row r="13" spans="1:56" x14ac:dyDescent="0.2">
      <c r="A13" s="1" t="s">
        <v>696</v>
      </c>
      <c r="B13" s="1" t="s">
        <v>2363</v>
      </c>
      <c r="C13" s="1" t="s">
        <v>2364</v>
      </c>
      <c r="D13" s="1" t="s">
        <v>2385</v>
      </c>
      <c r="E13" s="1" t="s">
        <v>2051</v>
      </c>
      <c r="F13" s="298">
        <v>44105</v>
      </c>
      <c r="G13" s="307"/>
      <c r="H13" s="307">
        <v>7979165.0700000003</v>
      </c>
      <c r="I13" s="307"/>
      <c r="J13" s="426"/>
      <c r="K13" s="244"/>
      <c r="L13" s="243"/>
      <c r="M13" s="11"/>
      <c r="N13" s="236"/>
      <c r="O13" s="242"/>
      <c r="P13" s="243"/>
      <c r="Q13" s="242"/>
      <c r="R13" s="243"/>
      <c r="S13" s="242"/>
      <c r="T13" s="243"/>
      <c r="U13" s="242"/>
      <c r="V13" s="243"/>
      <c r="W13" s="242"/>
      <c r="X13" s="243"/>
      <c r="Y13" s="242"/>
      <c r="Z13" s="243"/>
      <c r="AA13" s="242"/>
      <c r="AB13" s="243"/>
      <c r="AC13" s="242"/>
      <c r="AD13" s="243"/>
      <c r="AE13" s="242">
        <v>2</v>
      </c>
      <c r="AF13" s="7"/>
      <c r="AG13" s="460"/>
      <c r="AH13" s="242"/>
      <c r="AI13" s="243"/>
      <c r="AJ13" s="242"/>
      <c r="AK13" s="243"/>
      <c r="AL13" s="242"/>
      <c r="AM13" s="243"/>
      <c r="AN13" s="242"/>
      <c r="AO13" s="243"/>
      <c r="AP13" s="244"/>
      <c r="AQ13" s="7"/>
      <c r="AR13" s="460"/>
      <c r="AS13" s="242">
        <v>3275.11</v>
      </c>
      <c r="AT13" s="7"/>
      <c r="AU13" s="491"/>
      <c r="AV13" s="242">
        <v>128.94</v>
      </c>
      <c r="AW13" s="7"/>
      <c r="AX13" s="460"/>
      <c r="AY13" s="242"/>
      <c r="AZ13" s="7"/>
      <c r="BA13" s="460"/>
      <c r="BB13" s="242"/>
      <c r="BC13" s="7"/>
      <c r="BD13" s="460"/>
    </row>
    <row r="14" spans="1:56" x14ac:dyDescent="0.2">
      <c r="A14" s="1" t="s">
        <v>697</v>
      </c>
      <c r="B14" s="1" t="s">
        <v>2363</v>
      </c>
      <c r="C14" s="1" t="s">
        <v>2364</v>
      </c>
      <c r="D14" s="1" t="s">
        <v>2386</v>
      </c>
      <c r="E14" s="1" t="s">
        <v>2051</v>
      </c>
      <c r="F14" s="298">
        <v>44105</v>
      </c>
      <c r="G14" s="307"/>
      <c r="H14" s="307">
        <v>6863943.5899999999</v>
      </c>
      <c r="I14" s="307"/>
      <c r="J14" s="426"/>
      <c r="K14" s="244"/>
      <c r="L14" s="243"/>
      <c r="M14" s="11"/>
      <c r="N14" s="236"/>
      <c r="O14" s="242"/>
      <c r="P14" s="243"/>
      <c r="Q14" s="242"/>
      <c r="R14" s="243"/>
      <c r="S14" s="242"/>
      <c r="T14" s="243"/>
      <c r="U14" s="242"/>
      <c r="V14" s="243"/>
      <c r="W14" s="242"/>
      <c r="X14" s="243"/>
      <c r="Y14" s="242"/>
      <c r="Z14" s="243"/>
      <c r="AA14" s="242"/>
      <c r="AB14" s="243"/>
      <c r="AC14" s="242"/>
      <c r="AD14" s="243"/>
      <c r="AE14" s="242">
        <v>1</v>
      </c>
      <c r="AF14" s="7"/>
      <c r="AG14" s="460"/>
      <c r="AH14" s="242"/>
      <c r="AI14" s="243"/>
      <c r="AJ14" s="242"/>
      <c r="AK14" s="243"/>
      <c r="AL14" s="242"/>
      <c r="AM14" s="243"/>
      <c r="AN14" s="242"/>
      <c r="AO14" s="243"/>
      <c r="AP14" s="244"/>
      <c r="AQ14" s="7"/>
      <c r="AR14" s="460"/>
      <c r="AS14" s="242">
        <v>5151.24</v>
      </c>
      <c r="AT14" s="7"/>
      <c r="AU14" s="491"/>
      <c r="AV14" s="242">
        <v>151.30000000000001</v>
      </c>
      <c r="AW14" s="7"/>
      <c r="AX14" s="460"/>
      <c r="AY14" s="242"/>
      <c r="AZ14" s="7"/>
      <c r="BA14" s="460"/>
      <c r="BB14" s="242"/>
      <c r="BC14" s="7"/>
      <c r="BD14" s="460"/>
    </row>
    <row r="15" spans="1:56" customFormat="1" ht="15" x14ac:dyDescent="0.25">
      <c r="A15" s="1" t="s">
        <v>542</v>
      </c>
      <c r="B15" s="1" t="s">
        <v>2371</v>
      </c>
      <c r="C15" s="1" t="s">
        <v>2364</v>
      </c>
      <c r="D15" s="1" t="s">
        <v>2372</v>
      </c>
      <c r="E15" s="1" t="s">
        <v>2051</v>
      </c>
      <c r="F15" s="298"/>
      <c r="G15" s="307"/>
      <c r="H15" s="307">
        <v>12483355.85</v>
      </c>
      <c r="I15" s="307"/>
      <c r="J15" s="426"/>
      <c r="K15" s="244"/>
      <c r="L15" s="243"/>
      <c r="M15" s="11"/>
      <c r="N15" s="236"/>
      <c r="O15" s="242"/>
      <c r="P15" s="243"/>
      <c r="Q15" s="242"/>
      <c r="R15" s="243"/>
      <c r="S15" s="242"/>
      <c r="T15" s="243"/>
      <c r="U15" s="242"/>
      <c r="V15" s="243"/>
      <c r="W15" s="242"/>
      <c r="X15" s="243"/>
      <c r="Y15" s="242"/>
      <c r="Z15" s="243"/>
      <c r="AA15" s="242"/>
      <c r="AB15" s="243"/>
      <c r="AC15" s="242"/>
      <c r="AD15" s="243"/>
      <c r="AE15" s="242">
        <v>1</v>
      </c>
      <c r="AF15" s="7"/>
      <c r="AG15" s="460"/>
      <c r="AH15" s="242"/>
      <c r="AI15" s="243"/>
      <c r="AJ15" s="242"/>
      <c r="AK15" s="243"/>
      <c r="AL15" s="242"/>
      <c r="AM15" s="243"/>
      <c r="AN15" s="242"/>
      <c r="AO15" s="243"/>
      <c r="AP15" s="242"/>
      <c r="AQ15" s="7"/>
      <c r="AR15" s="460"/>
      <c r="AS15" s="242">
        <v>388733.91</v>
      </c>
      <c r="AT15" s="7"/>
      <c r="AU15" s="491"/>
      <c r="AV15" s="242">
        <v>249612.22</v>
      </c>
      <c r="AW15" s="7"/>
      <c r="AX15" s="460"/>
      <c r="AY15" s="242"/>
      <c r="AZ15" s="7"/>
      <c r="BA15" s="460"/>
      <c r="BB15" s="242"/>
      <c r="BC15" s="7"/>
      <c r="BD15" s="460"/>
    </row>
    <row r="16" spans="1:56" x14ac:dyDescent="0.2">
      <c r="A16" s="1" t="s">
        <v>543</v>
      </c>
      <c r="B16" s="1" t="s">
        <v>2371</v>
      </c>
      <c r="C16" s="1" t="s">
        <v>2364</v>
      </c>
      <c r="D16" s="1" t="s">
        <v>2373</v>
      </c>
      <c r="E16" s="1" t="s">
        <v>2051</v>
      </c>
      <c r="F16" s="298"/>
      <c r="G16" s="307"/>
      <c r="H16" s="307">
        <v>12920513.1</v>
      </c>
      <c r="I16" s="307"/>
      <c r="J16" s="426"/>
      <c r="K16" s="244"/>
      <c r="L16" s="243"/>
      <c r="M16" s="11"/>
      <c r="N16" s="236"/>
      <c r="O16" s="242"/>
      <c r="P16" s="243"/>
      <c r="Q16" s="242"/>
      <c r="R16" s="243"/>
      <c r="S16" s="242"/>
      <c r="T16" s="243"/>
      <c r="U16" s="242"/>
      <c r="V16" s="243"/>
      <c r="W16" s="242"/>
      <c r="X16" s="243"/>
      <c r="Y16" s="242"/>
      <c r="Z16" s="243"/>
      <c r="AA16" s="242"/>
      <c r="AB16" s="243"/>
      <c r="AC16" s="242"/>
      <c r="AD16" s="243"/>
      <c r="AE16" s="242">
        <v>1</v>
      </c>
      <c r="AF16" s="7"/>
      <c r="AG16" s="460"/>
      <c r="AH16" s="242"/>
      <c r="AI16" s="243"/>
      <c r="AJ16" s="242"/>
      <c r="AK16" s="243"/>
      <c r="AL16" s="242"/>
      <c r="AM16" s="243"/>
      <c r="AN16" s="242"/>
      <c r="AO16" s="243"/>
      <c r="AP16" s="242"/>
      <c r="AQ16" s="7"/>
      <c r="AR16" s="460"/>
      <c r="AS16" s="242">
        <v>346777.61</v>
      </c>
      <c r="AT16" s="7"/>
      <c r="AU16" s="491"/>
      <c r="AV16" s="242">
        <v>222464.02</v>
      </c>
      <c r="AW16" s="7"/>
      <c r="AX16" s="460"/>
      <c r="AY16" s="242"/>
      <c r="AZ16" s="7"/>
      <c r="BA16" s="460"/>
      <c r="BB16" s="242"/>
      <c r="BC16" s="7"/>
      <c r="BD16" s="460"/>
    </row>
    <row r="17" spans="1:56" x14ac:dyDescent="0.2">
      <c r="A17" s="1" t="s">
        <v>544</v>
      </c>
      <c r="B17" s="1" t="s">
        <v>2371</v>
      </c>
      <c r="C17" s="1" t="s">
        <v>2364</v>
      </c>
      <c r="D17" s="1" t="s">
        <v>2374</v>
      </c>
      <c r="E17" s="1" t="s">
        <v>2051</v>
      </c>
      <c r="F17" s="298"/>
      <c r="G17" s="307"/>
      <c r="H17" s="307">
        <v>13664826.470000001</v>
      </c>
      <c r="I17" s="307"/>
      <c r="J17" s="426"/>
      <c r="K17" s="244"/>
      <c r="L17" s="243"/>
      <c r="M17" s="11"/>
      <c r="N17" s="236"/>
      <c r="O17" s="242"/>
      <c r="P17" s="243"/>
      <c r="Q17" s="242"/>
      <c r="R17" s="243"/>
      <c r="S17" s="242"/>
      <c r="T17" s="243"/>
      <c r="U17" s="242"/>
      <c r="V17" s="243"/>
      <c r="W17" s="242"/>
      <c r="X17" s="243"/>
      <c r="Y17" s="242"/>
      <c r="Z17" s="243"/>
      <c r="AA17" s="242"/>
      <c r="AB17" s="243"/>
      <c r="AC17" s="242"/>
      <c r="AD17" s="243"/>
      <c r="AE17" s="242">
        <v>1</v>
      </c>
      <c r="AF17" s="7"/>
      <c r="AG17" s="460"/>
      <c r="AH17" s="242"/>
      <c r="AI17" s="243"/>
      <c r="AJ17" s="242"/>
      <c r="AK17" s="243"/>
      <c r="AL17" s="242"/>
      <c r="AM17" s="243"/>
      <c r="AN17" s="242"/>
      <c r="AO17" s="243"/>
      <c r="AP17" s="242"/>
      <c r="AQ17" s="7"/>
      <c r="AR17" s="460"/>
      <c r="AS17" s="242">
        <v>304419.23</v>
      </c>
      <c r="AT17" s="7"/>
      <c r="AU17" s="491"/>
      <c r="AV17" s="242">
        <v>195055.66</v>
      </c>
      <c r="AW17" s="7"/>
      <c r="AX17" s="460"/>
      <c r="AY17" s="242"/>
      <c r="AZ17" s="7"/>
      <c r="BA17" s="460"/>
      <c r="BB17" s="242"/>
      <c r="BC17" s="7"/>
      <c r="BD17" s="460"/>
    </row>
    <row r="18" spans="1:56" customFormat="1" ht="15" x14ac:dyDescent="0.25">
      <c r="A18" s="1" t="s">
        <v>545</v>
      </c>
      <c r="B18" s="1" t="s">
        <v>2371</v>
      </c>
      <c r="C18" s="1" t="s">
        <v>2364</v>
      </c>
      <c r="D18" s="1" t="s">
        <v>2375</v>
      </c>
      <c r="E18" s="1" t="s">
        <v>2051</v>
      </c>
      <c r="F18" s="298"/>
      <c r="G18" s="307"/>
      <c r="H18" s="307">
        <v>12929032</v>
      </c>
      <c r="I18" s="307"/>
      <c r="J18" s="426"/>
      <c r="K18" s="244"/>
      <c r="L18" s="243"/>
      <c r="M18" s="11"/>
      <c r="N18" s="236"/>
      <c r="O18" s="242"/>
      <c r="P18" s="243"/>
      <c r="Q18" s="242"/>
      <c r="R18" s="243"/>
      <c r="S18" s="242"/>
      <c r="T18" s="243"/>
      <c r="U18" s="242"/>
      <c r="V18" s="243"/>
      <c r="W18" s="242"/>
      <c r="X18" s="243"/>
      <c r="Y18" s="242"/>
      <c r="Z18" s="243"/>
      <c r="AA18" s="242"/>
      <c r="AB18" s="243"/>
      <c r="AC18" s="242"/>
      <c r="AD18" s="243"/>
      <c r="AE18" s="242">
        <v>1</v>
      </c>
      <c r="AF18" s="7"/>
      <c r="AG18" s="460"/>
      <c r="AH18" s="242"/>
      <c r="AI18" s="243"/>
      <c r="AJ18" s="242"/>
      <c r="AK18" s="243"/>
      <c r="AL18" s="242"/>
      <c r="AM18" s="243"/>
      <c r="AN18" s="242"/>
      <c r="AO18" s="243"/>
      <c r="AP18" s="242"/>
      <c r="AQ18" s="7"/>
      <c r="AR18" s="460"/>
      <c r="AS18" s="242">
        <v>220182.26</v>
      </c>
      <c r="AT18" s="7"/>
      <c r="AU18" s="491"/>
      <c r="AV18" s="242">
        <v>140549.39000000001</v>
      </c>
      <c r="AW18" s="7"/>
      <c r="AX18" s="460"/>
      <c r="AY18" s="242"/>
      <c r="AZ18" s="7"/>
      <c r="BA18" s="460"/>
      <c r="BB18" s="242"/>
      <c r="BC18" s="7"/>
      <c r="BD18" s="460"/>
    </row>
    <row r="19" spans="1:56" customFormat="1" ht="15" x14ac:dyDescent="0.25">
      <c r="A19" s="1" t="s">
        <v>546</v>
      </c>
      <c r="B19" s="1" t="s">
        <v>2371</v>
      </c>
      <c r="C19" s="1" t="s">
        <v>2364</v>
      </c>
      <c r="D19" s="1" t="s">
        <v>2376</v>
      </c>
      <c r="E19" s="1" t="s">
        <v>2051</v>
      </c>
      <c r="F19" s="298"/>
      <c r="G19" s="307"/>
      <c r="H19" s="307">
        <v>5980795</v>
      </c>
      <c r="I19" s="307"/>
      <c r="J19" s="426"/>
      <c r="K19" s="244"/>
      <c r="L19" s="243"/>
      <c r="M19" s="11"/>
      <c r="N19" s="236"/>
      <c r="O19" s="242"/>
      <c r="P19" s="243"/>
      <c r="Q19" s="242"/>
      <c r="R19" s="243"/>
      <c r="S19" s="242"/>
      <c r="T19" s="243"/>
      <c r="U19" s="242"/>
      <c r="V19" s="243"/>
      <c r="W19" s="242"/>
      <c r="X19" s="243"/>
      <c r="Y19" s="242"/>
      <c r="Z19" s="243"/>
      <c r="AA19" s="242"/>
      <c r="AB19" s="243"/>
      <c r="AC19" s="242"/>
      <c r="AD19" s="243"/>
      <c r="AE19" s="242">
        <v>1</v>
      </c>
      <c r="AF19" s="7"/>
      <c r="AG19" s="460"/>
      <c r="AH19" s="242"/>
      <c r="AI19" s="243"/>
      <c r="AJ19" s="242"/>
      <c r="AK19" s="243"/>
      <c r="AL19" s="242"/>
      <c r="AM19" s="243"/>
      <c r="AN19" s="242"/>
      <c r="AO19" s="243"/>
      <c r="AP19" s="242"/>
      <c r="AQ19" s="7"/>
      <c r="AR19" s="460"/>
      <c r="AS19" s="242">
        <v>43363.14</v>
      </c>
      <c r="AT19" s="7"/>
      <c r="AU19" s="491"/>
      <c r="AV19" s="242">
        <v>4224.8100000000004</v>
      </c>
      <c r="AW19" s="7"/>
      <c r="AX19" s="460"/>
      <c r="AY19" s="242"/>
      <c r="AZ19" s="7"/>
      <c r="BA19" s="460"/>
      <c r="BB19" s="242"/>
      <c r="BC19" s="7"/>
      <c r="BD19" s="460"/>
    </row>
    <row r="20" spans="1:56" customFormat="1" ht="15" x14ac:dyDescent="0.25">
      <c r="A20" s="1" t="s">
        <v>547</v>
      </c>
      <c r="B20" s="1" t="s">
        <v>2371</v>
      </c>
      <c r="C20" s="1" t="s">
        <v>2364</v>
      </c>
      <c r="D20" s="1" t="s">
        <v>2377</v>
      </c>
      <c r="E20" s="1" t="s">
        <v>2051</v>
      </c>
      <c r="F20" s="298"/>
      <c r="G20" s="307"/>
      <c r="H20" s="307">
        <v>6382915</v>
      </c>
      <c r="I20" s="307"/>
      <c r="J20" s="426"/>
      <c r="K20" s="244"/>
      <c r="L20" s="243"/>
      <c r="M20" s="11"/>
      <c r="N20" s="236"/>
      <c r="O20" s="242"/>
      <c r="P20" s="243"/>
      <c r="Q20" s="242"/>
      <c r="R20" s="243"/>
      <c r="S20" s="242"/>
      <c r="T20" s="243"/>
      <c r="U20" s="242"/>
      <c r="V20" s="243"/>
      <c r="W20" s="242"/>
      <c r="X20" s="243"/>
      <c r="Y20" s="242"/>
      <c r="Z20" s="243"/>
      <c r="AA20" s="242"/>
      <c r="AB20" s="243"/>
      <c r="AC20" s="242"/>
      <c r="AD20" s="243"/>
      <c r="AE20" s="242">
        <v>1</v>
      </c>
      <c r="AF20" s="7"/>
      <c r="AG20" s="460"/>
      <c r="AH20" s="242"/>
      <c r="AI20" s="243"/>
      <c r="AJ20" s="242"/>
      <c r="AK20" s="243"/>
      <c r="AL20" s="242"/>
      <c r="AM20" s="243"/>
      <c r="AN20" s="242"/>
      <c r="AO20" s="243"/>
      <c r="AP20" s="242"/>
      <c r="AQ20" s="7"/>
      <c r="AR20" s="460"/>
      <c r="AS20" s="242">
        <v>88354.43</v>
      </c>
      <c r="AT20" s="7"/>
      <c r="AU20" s="491"/>
      <c r="AV20" s="242">
        <v>44182.53</v>
      </c>
      <c r="AW20" s="7"/>
      <c r="AX20" s="460"/>
      <c r="AY20" s="242"/>
      <c r="AZ20" s="7"/>
      <c r="BA20" s="460"/>
      <c r="BB20" s="242"/>
      <c r="BC20" s="7"/>
      <c r="BD20" s="460"/>
    </row>
    <row r="21" spans="1:56" customFormat="1" ht="25.5" x14ac:dyDescent="0.25">
      <c r="A21" s="1" t="s">
        <v>549</v>
      </c>
      <c r="B21" s="1" t="s">
        <v>2371</v>
      </c>
      <c r="C21" s="1" t="s">
        <v>2379</v>
      </c>
      <c r="D21" s="1" t="s">
        <v>2380</v>
      </c>
      <c r="E21" s="1" t="s">
        <v>2051</v>
      </c>
      <c r="F21" s="298"/>
      <c r="G21" s="307"/>
      <c r="H21" s="307">
        <v>10761201.4</v>
      </c>
      <c r="I21" s="307"/>
      <c r="J21" s="426"/>
      <c r="K21" s="244"/>
      <c r="L21" s="243"/>
      <c r="M21" s="11"/>
      <c r="N21" s="236"/>
      <c r="O21" s="242"/>
      <c r="P21" s="243"/>
      <c r="Q21" s="242"/>
      <c r="R21" s="243"/>
      <c r="S21" s="242"/>
      <c r="T21" s="243"/>
      <c r="U21" s="242"/>
      <c r="V21" s="243"/>
      <c r="W21" s="242"/>
      <c r="X21" s="243"/>
      <c r="Y21" s="242"/>
      <c r="Z21" s="243"/>
      <c r="AA21" s="242"/>
      <c r="AB21" s="243"/>
      <c r="AC21" s="242"/>
      <c r="AD21" s="243"/>
      <c r="AE21" s="242">
        <v>1</v>
      </c>
      <c r="AF21" s="7"/>
      <c r="AG21" s="460"/>
      <c r="AH21" s="242"/>
      <c r="AI21" s="243"/>
      <c r="AJ21" s="242"/>
      <c r="AK21" s="243"/>
      <c r="AL21" s="242"/>
      <c r="AM21" s="243"/>
      <c r="AN21" s="242"/>
      <c r="AO21" s="243"/>
      <c r="AP21" s="244">
        <v>29105.666700000002</v>
      </c>
      <c r="AQ21" s="7"/>
      <c r="AR21" s="460"/>
      <c r="AS21" s="242">
        <v>16.0367</v>
      </c>
      <c r="AT21" s="7"/>
      <c r="AU21" s="491"/>
      <c r="AV21" s="242">
        <v>1.1319999999999999</v>
      </c>
      <c r="AW21" s="7"/>
      <c r="AX21" s="460"/>
      <c r="AY21" s="242">
        <v>238.16669999999999</v>
      </c>
      <c r="AZ21" s="7"/>
      <c r="BA21" s="460"/>
      <c r="BB21" s="242"/>
      <c r="BC21" s="7"/>
      <c r="BD21" s="460"/>
    </row>
    <row r="22" spans="1:56" customFormat="1" ht="25.5" x14ac:dyDescent="0.25">
      <c r="A22" s="4" t="s">
        <v>548</v>
      </c>
      <c r="B22" s="1" t="s">
        <v>2371</v>
      </c>
      <c r="C22" s="1" t="s">
        <v>2364</v>
      </c>
      <c r="D22" s="1" t="s">
        <v>2381</v>
      </c>
      <c r="E22" s="1" t="s">
        <v>2051</v>
      </c>
      <c r="F22" s="298"/>
      <c r="G22" s="307"/>
      <c r="H22" s="307">
        <v>5088418.59</v>
      </c>
      <c r="I22" s="307"/>
      <c r="J22" s="426"/>
      <c r="K22" s="244"/>
      <c r="L22" s="243"/>
      <c r="M22" s="11"/>
      <c r="N22" s="236"/>
      <c r="O22" s="242"/>
      <c r="P22" s="243"/>
      <c r="Q22" s="242"/>
      <c r="R22" s="243"/>
      <c r="S22" s="242"/>
      <c r="T22" s="243"/>
      <c r="U22" s="242"/>
      <c r="V22" s="243"/>
      <c r="W22" s="242"/>
      <c r="X22" s="243"/>
      <c r="Y22" s="242"/>
      <c r="Z22" s="243"/>
      <c r="AA22" s="242"/>
      <c r="AB22" s="243"/>
      <c r="AC22" s="242"/>
      <c r="AD22" s="243"/>
      <c r="AE22" s="242">
        <v>1</v>
      </c>
      <c r="AF22" s="7"/>
      <c r="AG22" s="460"/>
      <c r="AH22" s="242"/>
      <c r="AI22" s="243"/>
      <c r="AJ22" s="242"/>
      <c r="AK22" s="243"/>
      <c r="AL22" s="242"/>
      <c r="AM22" s="243"/>
      <c r="AN22" s="242"/>
      <c r="AO22" s="243"/>
      <c r="AP22" s="242"/>
      <c r="AQ22" s="7"/>
      <c r="AR22" s="460"/>
      <c r="AS22" s="242">
        <v>15898.07</v>
      </c>
      <c r="AT22" s="7"/>
      <c r="AU22" s="491"/>
      <c r="AV22" s="242">
        <v>7381.45</v>
      </c>
      <c r="AW22" s="7"/>
      <c r="AX22" s="460"/>
      <c r="AY22" s="242"/>
      <c r="AZ22" s="7"/>
      <c r="BA22" s="460"/>
      <c r="BB22" s="242"/>
      <c r="BC22" s="7"/>
      <c r="BD22" s="460"/>
    </row>
    <row r="23" spans="1:56" s="481" customFormat="1" x14ac:dyDescent="0.2">
      <c r="G23" s="482"/>
      <c r="H23" s="482">
        <f>SUBTOTAL(9,H9:H22)</f>
        <v>131270756.19000001</v>
      </c>
      <c r="I23" s="482">
        <f>SUBTOTAL(9,I5:I22)</f>
        <v>0</v>
      </c>
      <c r="J23" s="483">
        <f>SUBTOTAL(9,J5:J22)</f>
        <v>5433970</v>
      </c>
      <c r="K23" s="484">
        <f>SUM(K5:K22)</f>
        <v>0</v>
      </c>
      <c r="L23" s="485">
        <f t="shared" ref="L23:AB23" si="0">SUM(L5:L22)</f>
        <v>0</v>
      </c>
      <c r="M23" s="450">
        <f t="shared" si="0"/>
        <v>0</v>
      </c>
      <c r="N23" s="487">
        <f t="shared" si="0"/>
        <v>0</v>
      </c>
      <c r="O23" s="484">
        <f t="shared" si="0"/>
        <v>0</v>
      </c>
      <c r="P23" s="485">
        <f t="shared" si="0"/>
        <v>0</v>
      </c>
      <c r="Q23" s="484">
        <f t="shared" si="0"/>
        <v>0</v>
      </c>
      <c r="R23" s="485">
        <f t="shared" si="0"/>
        <v>0</v>
      </c>
      <c r="S23" s="484">
        <f t="shared" si="0"/>
        <v>0</v>
      </c>
      <c r="T23" s="485">
        <f t="shared" si="0"/>
        <v>0</v>
      </c>
      <c r="U23" s="484">
        <f t="shared" si="0"/>
        <v>0</v>
      </c>
      <c r="V23" s="485">
        <f t="shared" si="0"/>
        <v>0</v>
      </c>
      <c r="W23" s="484">
        <f t="shared" si="0"/>
        <v>0</v>
      </c>
      <c r="X23" s="485">
        <f t="shared" si="0"/>
        <v>0</v>
      </c>
      <c r="Y23" s="484">
        <f t="shared" si="0"/>
        <v>0</v>
      </c>
      <c r="Z23" s="485">
        <f t="shared" si="0"/>
        <v>0</v>
      </c>
      <c r="AA23" s="484">
        <f t="shared" si="0"/>
        <v>0</v>
      </c>
      <c r="AB23" s="485">
        <f t="shared" si="0"/>
        <v>0</v>
      </c>
      <c r="AC23" s="484">
        <f>SUM(AC5:AC22)</f>
        <v>0</v>
      </c>
      <c r="AD23" s="485">
        <f t="shared" ref="AD23:AF23" si="1">SUM(AD5:AD22)</f>
        <v>0</v>
      </c>
      <c r="AE23" s="484">
        <f t="shared" si="1"/>
        <v>22</v>
      </c>
      <c r="AF23" s="451">
        <f t="shared" si="1"/>
        <v>0</v>
      </c>
      <c r="AG23" s="490">
        <f>SUBTOTAL(9,AG5:AG22)</f>
        <v>2</v>
      </c>
      <c r="AH23" s="484">
        <f t="shared" ref="AH23:AQ23" si="2">SUM(AH5:AH22)</f>
        <v>0</v>
      </c>
      <c r="AI23" s="485">
        <f t="shared" si="2"/>
        <v>0</v>
      </c>
      <c r="AJ23" s="484">
        <f t="shared" si="2"/>
        <v>0</v>
      </c>
      <c r="AK23" s="485">
        <f t="shared" si="2"/>
        <v>0</v>
      </c>
      <c r="AL23" s="484">
        <f t="shared" si="2"/>
        <v>0</v>
      </c>
      <c r="AM23" s="485">
        <f t="shared" si="2"/>
        <v>0</v>
      </c>
      <c r="AN23" s="484">
        <f t="shared" si="2"/>
        <v>0</v>
      </c>
      <c r="AO23" s="485">
        <f t="shared" si="2"/>
        <v>0</v>
      </c>
      <c r="AP23" s="484">
        <f t="shared" si="2"/>
        <v>29105.666700000002</v>
      </c>
      <c r="AQ23" s="451">
        <f t="shared" si="2"/>
        <v>0</v>
      </c>
      <c r="AR23" s="490">
        <f>SUBTOTAL(9,AR5:AR22)</f>
        <v>0</v>
      </c>
      <c r="AS23" s="484">
        <f>SUM(AS5:AS22)</f>
        <v>1510393.7327000001</v>
      </c>
      <c r="AT23" s="451">
        <f>SUM(AT5:AT22)</f>
        <v>0</v>
      </c>
      <c r="AU23" s="492">
        <f>SUBTOTAL(9,AU5:AU22)</f>
        <v>11309</v>
      </c>
      <c r="AV23" s="484">
        <f>SUM(AV5:AV22)</f>
        <v>924543.89600000007</v>
      </c>
      <c r="AW23" s="451">
        <f>SUM(AW5:AW22)</f>
        <v>0</v>
      </c>
      <c r="AX23" s="490">
        <f>SUBTOTAL(9,AX5:AX22)</f>
        <v>10572</v>
      </c>
      <c r="AY23" s="484">
        <f>SUM(AY5:AY22)</f>
        <v>238.16669999999999</v>
      </c>
      <c r="AZ23" s="451">
        <f>SUM(AZ5:AZ22)</f>
        <v>0</v>
      </c>
      <c r="BA23" s="490">
        <f>SUBTOTAL(9,BA5:BA22)</f>
        <v>0</v>
      </c>
      <c r="BB23" s="484">
        <f>SUM(BB5:BB22)</f>
        <v>0</v>
      </c>
      <c r="BC23" s="451">
        <f>SUM(BC5:BC22)</f>
        <v>0</v>
      </c>
      <c r="BD23" s="490">
        <f>SUBTOTAL(9,BD21)</f>
        <v>0</v>
      </c>
    </row>
  </sheetData>
  <sheetProtection algorithmName="SHA-512" hashValue="o5SeOTj8AR4jFhL5csOVYAFt3LW089uCv5E2dSuqyCuUM1kdZfuLlk3C4OZpXpR0dxPEo2dOqUoLDVXR1aGoNw==" saltValue="FFWribS5ylxIWAlLO2k39Q==" spinCount="100000" sheet="1" objects="1" scenarios="1" autoFilter="0"/>
  <autoFilter ref="A1:AX22"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sortState ref="A8:AX22">
      <sortCondition ref="F1:F22"/>
    </sortState>
  </autoFilter>
  <sortState ref="A5:BD22">
    <sortCondition ref="F5:F22"/>
  </sortState>
  <mergeCells count="69">
    <mergeCell ref="G1:G3"/>
    <mergeCell ref="H1:H3"/>
    <mergeCell ref="I1:I3"/>
    <mergeCell ref="J1:J3"/>
    <mergeCell ref="F1:F4"/>
    <mergeCell ref="W1:X1"/>
    <mergeCell ref="U3:V3"/>
    <mergeCell ref="U2:V2"/>
    <mergeCell ref="U1:V1"/>
    <mergeCell ref="S3:T3"/>
    <mergeCell ref="S2:T2"/>
    <mergeCell ref="S1:T1"/>
    <mergeCell ref="W3:X3"/>
    <mergeCell ref="W2:X2"/>
    <mergeCell ref="Y3:Z3"/>
    <mergeCell ref="Y2:Z2"/>
    <mergeCell ref="AJ2:AK2"/>
    <mergeCell ref="AJ1:AK1"/>
    <mergeCell ref="AH3:AI3"/>
    <mergeCell ref="AH2:AI2"/>
    <mergeCell ref="AH1:AI1"/>
    <mergeCell ref="AC3:AD3"/>
    <mergeCell ref="AC2:AD2"/>
    <mergeCell ref="AC1:AD1"/>
    <mergeCell ref="AA3:AB3"/>
    <mergeCell ref="Y1:Z1"/>
    <mergeCell ref="AA2:AB2"/>
    <mergeCell ref="AA1:AB1"/>
    <mergeCell ref="AE1:AG1"/>
    <mergeCell ref="AE2:AG2"/>
    <mergeCell ref="A1:A4"/>
    <mergeCell ref="B1:B4"/>
    <mergeCell ref="C1:C4"/>
    <mergeCell ref="D1:D4"/>
    <mergeCell ref="E1:E4"/>
    <mergeCell ref="K3:L3"/>
    <mergeCell ref="K2:L2"/>
    <mergeCell ref="K1:L1"/>
    <mergeCell ref="Q3:R3"/>
    <mergeCell ref="Q2:R2"/>
    <mergeCell ref="Q1:R1"/>
    <mergeCell ref="O3:P3"/>
    <mergeCell ref="O2:P2"/>
    <mergeCell ref="M3:N3"/>
    <mergeCell ref="M2:N2"/>
    <mergeCell ref="M1:N1"/>
    <mergeCell ref="O1:P1"/>
    <mergeCell ref="AP1:AR1"/>
    <mergeCell ref="AP2:AR2"/>
    <mergeCell ref="AP3:AR3"/>
    <mergeCell ref="AJ3:AK3"/>
    <mergeCell ref="AL3:AM3"/>
    <mergeCell ref="AL2:AM2"/>
    <mergeCell ref="AL1:AM1"/>
    <mergeCell ref="AN3:AO3"/>
    <mergeCell ref="AN2:AO2"/>
    <mergeCell ref="AN1:AO1"/>
    <mergeCell ref="AS1:AU1"/>
    <mergeCell ref="AS2:AU2"/>
    <mergeCell ref="AS3:AU3"/>
    <mergeCell ref="AV1:AX1"/>
    <mergeCell ref="AV2:AX2"/>
    <mergeCell ref="AV3:AX3"/>
    <mergeCell ref="AY1:BA1"/>
    <mergeCell ref="AY2:BA2"/>
    <mergeCell ref="AY3:BA3"/>
    <mergeCell ref="BB1:BD1"/>
    <mergeCell ref="BB2:BD2"/>
    <mergeCell ref="BB3:BD3"/>
  </mergeCell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J7"/>
  <sheetViews>
    <sheetView zoomScale="70" zoomScaleNormal="70" workbookViewId="0">
      <selection activeCell="D35" sqref="D35"/>
    </sheetView>
  </sheetViews>
  <sheetFormatPr defaultRowHeight="12.75" x14ac:dyDescent="0.2"/>
  <cols>
    <col min="1" max="1" width="9.140625" style="16"/>
    <col min="2" max="2" width="10.85546875" style="16" bestFit="1" customWidth="1"/>
    <col min="3" max="3" width="22.140625" style="16" bestFit="1" customWidth="1"/>
    <col min="4" max="4" width="22" style="16" bestFit="1" customWidth="1"/>
    <col min="5" max="5" width="36.42578125" style="16" bestFit="1" customWidth="1"/>
    <col min="6" max="11" width="16.42578125" style="16" customWidth="1"/>
    <col min="12" max="35" width="11.42578125" style="16" customWidth="1"/>
    <col min="36" max="16384" width="9.140625" style="16"/>
  </cols>
  <sheetData>
    <row r="1" spans="1:36" s="481" customFormat="1" ht="57" customHeight="1" x14ac:dyDescent="0.2">
      <c r="A1" s="1597" t="s">
        <v>2412</v>
      </c>
      <c r="B1" s="1602" t="s">
        <v>476</v>
      </c>
      <c r="C1" s="1602" t="s">
        <v>477</v>
      </c>
      <c r="D1" s="1602" t="s">
        <v>478</v>
      </c>
      <c r="E1" s="1602" t="s">
        <v>479</v>
      </c>
      <c r="F1" s="1602" t="s">
        <v>481</v>
      </c>
      <c r="G1" s="1605" t="s">
        <v>684</v>
      </c>
      <c r="H1" s="1605" t="s">
        <v>2020</v>
      </c>
      <c r="I1" s="1605" t="s">
        <v>2021</v>
      </c>
      <c r="J1" s="1605" t="s">
        <v>2032</v>
      </c>
      <c r="K1" s="1606" t="s">
        <v>2022</v>
      </c>
      <c r="L1" s="1600" t="s">
        <v>249</v>
      </c>
      <c r="M1" s="1601"/>
      <c r="N1" s="1591" t="s">
        <v>60</v>
      </c>
      <c r="O1" s="1592"/>
      <c r="P1" s="1593"/>
      <c r="Q1" s="1591" t="s">
        <v>58</v>
      </c>
      <c r="R1" s="1592"/>
      <c r="S1" s="1593"/>
      <c r="T1" s="1591" t="s">
        <v>253</v>
      </c>
      <c r="U1" s="1592"/>
      <c r="V1" s="1593"/>
      <c r="W1" s="1591" t="s">
        <v>146</v>
      </c>
      <c r="X1" s="1592"/>
      <c r="Y1" s="1593"/>
      <c r="Z1" s="1591" t="s">
        <v>255</v>
      </c>
      <c r="AA1" s="1592"/>
      <c r="AB1" s="1593"/>
      <c r="AC1" s="1600" t="s">
        <v>257</v>
      </c>
      <c r="AD1" s="1601"/>
      <c r="AE1" s="1591" t="s">
        <v>259</v>
      </c>
      <c r="AF1" s="1592"/>
      <c r="AG1" s="1593"/>
      <c r="AH1" s="1610" t="s">
        <v>152</v>
      </c>
      <c r="AI1" s="1610"/>
    </row>
    <row r="2" spans="1:36" s="481" customFormat="1" x14ac:dyDescent="0.2">
      <c r="A2" s="1598"/>
      <c r="B2" s="1603"/>
      <c r="C2" s="1603"/>
      <c r="D2" s="1603"/>
      <c r="E2" s="1603"/>
      <c r="F2" s="1603"/>
      <c r="G2" s="1605"/>
      <c r="H2" s="1605"/>
      <c r="I2" s="1605"/>
      <c r="J2" s="1605"/>
      <c r="K2" s="1606"/>
      <c r="L2" s="1608" t="s">
        <v>248</v>
      </c>
      <c r="M2" s="1609"/>
      <c r="N2" s="1594" t="s">
        <v>250</v>
      </c>
      <c r="O2" s="1595"/>
      <c r="P2" s="1596"/>
      <c r="Q2" s="1594" t="s">
        <v>251</v>
      </c>
      <c r="R2" s="1595"/>
      <c r="S2" s="1596"/>
      <c r="T2" s="1594" t="s">
        <v>252</v>
      </c>
      <c r="U2" s="1595"/>
      <c r="V2" s="1596"/>
      <c r="W2" s="1594" t="s">
        <v>145</v>
      </c>
      <c r="X2" s="1595"/>
      <c r="Y2" s="1596"/>
      <c r="Z2" s="1594" t="s">
        <v>254</v>
      </c>
      <c r="AA2" s="1595"/>
      <c r="AB2" s="1596"/>
      <c r="AC2" s="1608" t="s">
        <v>256</v>
      </c>
      <c r="AD2" s="1609"/>
      <c r="AE2" s="1594" t="s">
        <v>258</v>
      </c>
      <c r="AF2" s="1595"/>
      <c r="AG2" s="1596"/>
      <c r="AH2" s="1607" t="s">
        <v>151</v>
      </c>
      <c r="AI2" s="1607"/>
    </row>
    <row r="3" spans="1:36" s="481" customFormat="1" x14ac:dyDescent="0.2">
      <c r="A3" s="1598"/>
      <c r="B3" s="1603"/>
      <c r="C3" s="1603"/>
      <c r="D3" s="1603"/>
      <c r="E3" s="1603"/>
      <c r="F3" s="1603"/>
      <c r="G3" s="1605"/>
      <c r="H3" s="1605"/>
      <c r="I3" s="1605"/>
      <c r="J3" s="1605"/>
      <c r="K3" s="1606"/>
      <c r="L3" s="1608" t="s">
        <v>448</v>
      </c>
      <c r="M3" s="1609"/>
      <c r="N3" s="1594" t="s">
        <v>448</v>
      </c>
      <c r="O3" s="1595"/>
      <c r="P3" s="1596"/>
      <c r="Q3" s="1594" t="s">
        <v>448</v>
      </c>
      <c r="R3" s="1595"/>
      <c r="S3" s="1596"/>
      <c r="T3" s="1594" t="s">
        <v>448</v>
      </c>
      <c r="U3" s="1595"/>
      <c r="V3" s="1596"/>
      <c r="W3" s="1594" t="s">
        <v>431</v>
      </c>
      <c r="X3" s="1595"/>
      <c r="Y3" s="1596"/>
      <c r="Z3" s="1594" t="s">
        <v>448</v>
      </c>
      <c r="AA3" s="1595"/>
      <c r="AB3" s="1596"/>
      <c r="AC3" s="1608" t="s">
        <v>448</v>
      </c>
      <c r="AD3" s="1609"/>
      <c r="AE3" s="1594" t="s">
        <v>448</v>
      </c>
      <c r="AF3" s="1595"/>
      <c r="AG3" s="1596"/>
      <c r="AH3" s="1607" t="s">
        <v>431</v>
      </c>
      <c r="AI3" s="1607"/>
    </row>
    <row r="4" spans="1:36" s="481" customFormat="1" ht="51" x14ac:dyDescent="0.2">
      <c r="A4" s="1599"/>
      <c r="B4" s="1604"/>
      <c r="C4" s="1604"/>
      <c r="D4" s="1604"/>
      <c r="E4" s="1604"/>
      <c r="F4" s="1604"/>
      <c r="G4" s="1605"/>
      <c r="H4" s="495" t="s">
        <v>410</v>
      </c>
      <c r="I4" s="495" t="s">
        <v>410</v>
      </c>
      <c r="J4" s="495" t="s">
        <v>410</v>
      </c>
      <c r="K4" s="496" t="s">
        <v>410</v>
      </c>
      <c r="L4" s="497" t="s">
        <v>484</v>
      </c>
      <c r="M4" s="498" t="s">
        <v>485</v>
      </c>
      <c r="N4" s="497" t="s">
        <v>484</v>
      </c>
      <c r="O4" s="449" t="s">
        <v>485</v>
      </c>
      <c r="P4" s="499" t="s">
        <v>2016</v>
      </c>
      <c r="Q4" s="497" t="s">
        <v>484</v>
      </c>
      <c r="R4" s="449" t="s">
        <v>485</v>
      </c>
      <c r="S4" s="498" t="s">
        <v>2016</v>
      </c>
      <c r="T4" s="497" t="s">
        <v>484</v>
      </c>
      <c r="U4" s="449" t="s">
        <v>485</v>
      </c>
      <c r="V4" s="498" t="s">
        <v>2016</v>
      </c>
      <c r="W4" s="497" t="s">
        <v>484</v>
      </c>
      <c r="X4" s="449" t="s">
        <v>485</v>
      </c>
      <c r="Y4" s="498" t="s">
        <v>2016</v>
      </c>
      <c r="Z4" s="497" t="s">
        <v>484</v>
      </c>
      <c r="AA4" s="449" t="s">
        <v>485</v>
      </c>
      <c r="AB4" s="498" t="s">
        <v>2016</v>
      </c>
      <c r="AC4" s="497" t="s">
        <v>484</v>
      </c>
      <c r="AD4" s="498" t="s">
        <v>485</v>
      </c>
      <c r="AE4" s="497" t="s">
        <v>484</v>
      </c>
      <c r="AF4" s="449" t="s">
        <v>485</v>
      </c>
      <c r="AG4" s="498" t="s">
        <v>2016</v>
      </c>
      <c r="AH4" s="449" t="s">
        <v>484</v>
      </c>
      <c r="AI4" s="449" t="s">
        <v>485</v>
      </c>
    </row>
    <row r="5" spans="1:36" ht="25.5" customHeight="1" x14ac:dyDescent="0.2">
      <c r="A5" s="14">
        <v>1</v>
      </c>
      <c r="B5" s="1" t="s">
        <v>541</v>
      </c>
      <c r="C5" s="1" t="s">
        <v>2387</v>
      </c>
      <c r="D5" s="1" t="s">
        <v>2359</v>
      </c>
      <c r="E5" s="1" t="s">
        <v>2388</v>
      </c>
      <c r="F5" s="1" t="s">
        <v>2051</v>
      </c>
      <c r="G5" s="298">
        <v>44531</v>
      </c>
      <c r="H5" s="307">
        <v>3375372.33</v>
      </c>
      <c r="I5" s="307">
        <v>3971026.27</v>
      </c>
      <c r="J5" s="307"/>
      <c r="K5" s="426"/>
      <c r="L5" s="244"/>
      <c r="M5" s="936"/>
      <c r="N5" s="934">
        <v>205.1</v>
      </c>
      <c r="O5" s="935">
        <v>195</v>
      </c>
      <c r="P5" s="936">
        <f>O5</f>
        <v>195</v>
      </c>
      <c r="Q5" s="934"/>
      <c r="R5" s="935"/>
      <c r="S5" s="936"/>
      <c r="T5" s="934">
        <v>83</v>
      </c>
      <c r="U5" s="935">
        <v>82</v>
      </c>
      <c r="V5" s="936">
        <f>U5</f>
        <v>82</v>
      </c>
      <c r="W5" s="934"/>
      <c r="X5" s="935"/>
      <c r="Y5" s="936"/>
      <c r="Z5" s="934"/>
      <c r="AA5" s="935"/>
      <c r="AB5" s="936"/>
      <c r="AC5" s="934"/>
      <c r="AD5" s="936"/>
      <c r="AE5" s="934">
        <v>20</v>
      </c>
      <c r="AF5" s="935"/>
      <c r="AG5" s="936"/>
      <c r="AH5" s="935"/>
      <c r="AI5" s="935"/>
      <c r="AJ5" s="899"/>
    </row>
    <row r="6" spans="1:36" ht="25.5" x14ac:dyDescent="0.2">
      <c r="A6" s="14">
        <f>A5+1</f>
        <v>2</v>
      </c>
      <c r="B6" s="1" t="s">
        <v>563</v>
      </c>
      <c r="C6" s="1" t="s">
        <v>2389</v>
      </c>
      <c r="D6" s="1" t="s">
        <v>564</v>
      </c>
      <c r="E6" s="1" t="s">
        <v>2390</v>
      </c>
      <c r="F6" s="1" t="s">
        <v>2051</v>
      </c>
      <c r="G6" s="298">
        <v>43617</v>
      </c>
      <c r="H6" s="307">
        <v>7758199.5800000001</v>
      </c>
      <c r="I6" s="307">
        <v>9127293.6199999992</v>
      </c>
      <c r="J6" s="307"/>
      <c r="K6" s="426"/>
      <c r="L6" s="244"/>
      <c r="M6" s="936"/>
      <c r="N6" s="934"/>
      <c r="O6" s="935"/>
      <c r="P6" s="936">
        <v>0</v>
      </c>
      <c r="Q6" s="934">
        <v>12.46</v>
      </c>
      <c r="R6" s="935"/>
      <c r="S6" s="936"/>
      <c r="T6" s="934"/>
      <c r="U6" s="935"/>
      <c r="V6" s="936"/>
      <c r="W6" s="934"/>
      <c r="X6" s="935"/>
      <c r="Y6" s="936"/>
      <c r="Z6" s="934">
        <v>53</v>
      </c>
      <c r="AA6" s="935"/>
      <c r="AB6" s="936"/>
      <c r="AC6" s="934"/>
      <c r="AD6" s="936"/>
      <c r="AE6" s="934"/>
      <c r="AF6" s="935"/>
      <c r="AG6" s="936"/>
      <c r="AH6" s="935"/>
      <c r="AI6" s="935"/>
      <c r="AJ6" s="899"/>
    </row>
    <row r="7" spans="1:36" s="481" customFormat="1" x14ac:dyDescent="0.2">
      <c r="H7" s="500">
        <f t="shared" ref="H7:AI7" si="0">SUM(H5:H6)</f>
        <v>11133571.91</v>
      </c>
      <c r="I7" s="500">
        <f t="shared" si="0"/>
        <v>13098319.889999999</v>
      </c>
      <c r="J7" s="500">
        <f t="shared" si="0"/>
        <v>0</v>
      </c>
      <c r="K7" s="501">
        <f t="shared" si="0"/>
        <v>0</v>
      </c>
      <c r="L7" s="484">
        <f t="shared" si="0"/>
        <v>0</v>
      </c>
      <c r="M7" s="246">
        <f t="shared" si="0"/>
        <v>0</v>
      </c>
      <c r="N7" s="245">
        <f t="shared" si="0"/>
        <v>205.1</v>
      </c>
      <c r="O7" s="94">
        <f t="shared" si="0"/>
        <v>195</v>
      </c>
      <c r="P7" s="246">
        <f t="shared" si="0"/>
        <v>195</v>
      </c>
      <c r="Q7" s="245">
        <f t="shared" si="0"/>
        <v>12.46</v>
      </c>
      <c r="R7" s="94">
        <f t="shared" si="0"/>
        <v>0</v>
      </c>
      <c r="S7" s="246">
        <f t="shared" si="0"/>
        <v>0</v>
      </c>
      <c r="T7" s="245">
        <f t="shared" si="0"/>
        <v>83</v>
      </c>
      <c r="U7" s="94">
        <f t="shared" si="0"/>
        <v>82</v>
      </c>
      <c r="V7" s="246">
        <f t="shared" si="0"/>
        <v>82</v>
      </c>
      <c r="W7" s="245">
        <f t="shared" si="0"/>
        <v>0</v>
      </c>
      <c r="X7" s="94">
        <f t="shared" si="0"/>
        <v>0</v>
      </c>
      <c r="Y7" s="246">
        <f t="shared" si="0"/>
        <v>0</v>
      </c>
      <c r="Z7" s="245">
        <f t="shared" si="0"/>
        <v>53</v>
      </c>
      <c r="AA7" s="94">
        <f t="shared" si="0"/>
        <v>0</v>
      </c>
      <c r="AB7" s="246">
        <f t="shared" si="0"/>
        <v>0</v>
      </c>
      <c r="AC7" s="245">
        <f t="shared" si="0"/>
        <v>0</v>
      </c>
      <c r="AD7" s="246">
        <f t="shared" si="0"/>
        <v>0</v>
      </c>
      <c r="AE7" s="245">
        <f t="shared" si="0"/>
        <v>20</v>
      </c>
      <c r="AF7" s="94">
        <f t="shared" si="0"/>
        <v>0</v>
      </c>
      <c r="AG7" s="246">
        <f t="shared" si="0"/>
        <v>0</v>
      </c>
      <c r="AH7" s="94">
        <f t="shared" si="0"/>
        <v>0</v>
      </c>
      <c r="AI7" s="94">
        <f t="shared" si="0"/>
        <v>0</v>
      </c>
      <c r="AJ7" s="777"/>
    </row>
  </sheetData>
  <sheetProtection algorithmName="SHA-512" hashValue="2xGreFX6GF1IK8y1yf8Ltq/toA5geClxnxOQJmHzsZUoMN3sQPI1jjDHfg/yuX79hP9X9xsnE+kZrQq2yoDycw==" saltValue="lDQAsWHbx3hn21R87tYycw==" spinCount="100000" sheet="1" objects="1" scenarios="1" autoFilter="0"/>
  <mergeCells count="38">
    <mergeCell ref="J1:J3"/>
    <mergeCell ref="K1:K3"/>
    <mergeCell ref="AH2:AI2"/>
    <mergeCell ref="L3:M3"/>
    <mergeCell ref="AC3:AD3"/>
    <mergeCell ref="AH3:AI3"/>
    <mergeCell ref="AH1:AI1"/>
    <mergeCell ref="L2:M2"/>
    <mergeCell ref="AC1:AD1"/>
    <mergeCell ref="AC2:AD2"/>
    <mergeCell ref="T1:V1"/>
    <mergeCell ref="T2:V2"/>
    <mergeCell ref="T3:V3"/>
    <mergeCell ref="W1:Y1"/>
    <mergeCell ref="W2:Y2"/>
    <mergeCell ref="W3:Y3"/>
    <mergeCell ref="A1:A4"/>
    <mergeCell ref="N1:P1"/>
    <mergeCell ref="Q1:S1"/>
    <mergeCell ref="Q2:S2"/>
    <mergeCell ref="Q3:S3"/>
    <mergeCell ref="N2:P2"/>
    <mergeCell ref="N3:P3"/>
    <mergeCell ref="L1:M1"/>
    <mergeCell ref="B1:B4"/>
    <mergeCell ref="C1:C4"/>
    <mergeCell ref="D1:D4"/>
    <mergeCell ref="E1:E4"/>
    <mergeCell ref="F1:F4"/>
    <mergeCell ref="G1:G4"/>
    <mergeCell ref="H1:H3"/>
    <mergeCell ref="I1:I3"/>
    <mergeCell ref="AE1:AG1"/>
    <mergeCell ref="AE2:AG2"/>
    <mergeCell ref="AE3:AG3"/>
    <mergeCell ref="Z1:AB1"/>
    <mergeCell ref="Z2:AB2"/>
    <mergeCell ref="Z3:AB3"/>
  </mergeCells>
  <pageMargins left="0.70866141732283472" right="0.70866141732283472" top="0.74803149606299213" bottom="0.74803149606299213" header="0.31496062992125984" footer="0.31496062992125984"/>
  <pageSetup paperSize="9" scale="41" orientation="landscape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"/>
  <sheetViews>
    <sheetView topLeftCell="E1" zoomScale="70" zoomScaleNormal="70" workbookViewId="0">
      <selection activeCell="A6" sqref="A6"/>
    </sheetView>
  </sheetViews>
  <sheetFormatPr defaultRowHeight="15" x14ac:dyDescent="0.25"/>
  <cols>
    <col min="1" max="1" width="19.7109375" customWidth="1"/>
    <col min="2" max="2" width="22.140625" bestFit="1" customWidth="1"/>
    <col min="3" max="3" width="22" bestFit="1" customWidth="1"/>
    <col min="4" max="4" width="41.28515625" customWidth="1"/>
    <col min="5" max="10" width="16.42578125" customWidth="1"/>
    <col min="11" max="15" width="11.42578125" customWidth="1"/>
  </cols>
  <sheetData>
    <row r="1" spans="1:16" ht="42" customHeight="1" x14ac:dyDescent="0.25">
      <c r="A1" s="1548" t="s">
        <v>476</v>
      </c>
      <c r="B1" s="1548" t="s">
        <v>477</v>
      </c>
      <c r="C1" s="1548" t="s">
        <v>478</v>
      </c>
      <c r="D1" s="1548" t="s">
        <v>479</v>
      </c>
      <c r="E1" s="1548" t="s">
        <v>481</v>
      </c>
      <c r="F1" s="1550" t="s">
        <v>684</v>
      </c>
      <c r="G1" s="1550" t="s">
        <v>2020</v>
      </c>
      <c r="H1" s="1550" t="s">
        <v>2021</v>
      </c>
      <c r="I1" s="1550" t="s">
        <v>2032</v>
      </c>
      <c r="J1" s="1550" t="s">
        <v>2022</v>
      </c>
      <c r="K1" s="1586" t="s">
        <v>80</v>
      </c>
      <c r="L1" s="1561"/>
      <c r="M1" s="1611"/>
      <c r="N1" s="1559" t="s">
        <v>320</v>
      </c>
      <c r="O1" s="1559"/>
      <c r="P1" s="1559"/>
    </row>
    <row r="2" spans="1:16" ht="13.5" customHeight="1" x14ac:dyDescent="0.25">
      <c r="A2" s="1549"/>
      <c r="B2" s="1549"/>
      <c r="C2" s="1549"/>
      <c r="D2" s="1549"/>
      <c r="E2" s="1549"/>
      <c r="F2" s="1550"/>
      <c r="G2" s="1550"/>
      <c r="H2" s="1550"/>
      <c r="I2" s="1550"/>
      <c r="J2" s="1550"/>
      <c r="K2" s="1587" t="s">
        <v>316</v>
      </c>
      <c r="L2" s="1570"/>
      <c r="M2" s="1612"/>
      <c r="N2" s="1558" t="s">
        <v>319</v>
      </c>
      <c r="O2" s="1558"/>
      <c r="P2" s="1558"/>
    </row>
    <row r="3" spans="1:16" x14ac:dyDescent="0.25">
      <c r="A3" s="1549"/>
      <c r="B3" s="1549"/>
      <c r="C3" s="1549"/>
      <c r="D3" s="1549"/>
      <c r="E3" s="1549"/>
      <c r="F3" s="1550"/>
      <c r="G3" s="1550"/>
      <c r="H3" s="1550"/>
      <c r="I3" s="1550"/>
      <c r="J3" s="1550"/>
      <c r="K3" s="1587" t="s">
        <v>459</v>
      </c>
      <c r="L3" s="1570"/>
      <c r="M3" s="1612"/>
      <c r="N3" s="1558" t="s">
        <v>459</v>
      </c>
      <c r="O3" s="1558"/>
      <c r="P3" s="1558"/>
    </row>
    <row r="4" spans="1:16" ht="51" x14ac:dyDescent="0.25">
      <c r="A4" s="1554"/>
      <c r="B4" s="1554"/>
      <c r="C4" s="1554"/>
      <c r="D4" s="1554"/>
      <c r="E4" s="1554"/>
      <c r="F4" s="1550"/>
      <c r="G4" s="229" t="s">
        <v>410</v>
      </c>
      <c r="H4" s="229" t="s">
        <v>410</v>
      </c>
      <c r="I4" s="229" t="s">
        <v>410</v>
      </c>
      <c r="J4" s="229" t="s">
        <v>410</v>
      </c>
      <c r="K4" s="91" t="s">
        <v>484</v>
      </c>
      <c r="L4" s="91" t="s">
        <v>485</v>
      </c>
      <c r="M4" s="91" t="s">
        <v>2403</v>
      </c>
      <c r="N4" s="91" t="s">
        <v>484</v>
      </c>
      <c r="O4" s="91" t="s">
        <v>485</v>
      </c>
      <c r="P4" s="91" t="s">
        <v>2403</v>
      </c>
    </row>
    <row r="5" spans="1:16" x14ac:dyDescent="0.25">
      <c r="A5" s="96" t="s">
        <v>1599</v>
      </c>
      <c r="B5" s="60" t="s">
        <v>1600</v>
      </c>
      <c r="C5" s="61" t="s">
        <v>1601</v>
      </c>
      <c r="D5" s="61" t="s">
        <v>1602</v>
      </c>
      <c r="E5" s="1" t="s">
        <v>1854</v>
      </c>
      <c r="F5" s="62">
        <v>43466</v>
      </c>
      <c r="G5" s="281">
        <v>2399103.41</v>
      </c>
      <c r="H5" s="281">
        <v>2945908.15</v>
      </c>
      <c r="I5" s="281"/>
      <c r="J5" s="281"/>
      <c r="K5" s="63">
        <v>1</v>
      </c>
      <c r="L5" s="63">
        <v>0</v>
      </c>
      <c r="M5" s="63"/>
      <c r="N5" s="63">
        <v>4</v>
      </c>
      <c r="O5" s="63">
        <v>0</v>
      </c>
      <c r="P5" s="70"/>
    </row>
    <row r="6" spans="1:16" x14ac:dyDescent="0.25">
      <c r="A6" s="96" t="s">
        <v>1603</v>
      </c>
      <c r="B6" s="1" t="s">
        <v>1600</v>
      </c>
      <c r="C6" s="61" t="s">
        <v>979</v>
      </c>
      <c r="D6" s="64" t="s">
        <v>1604</v>
      </c>
      <c r="E6" s="1" t="s">
        <v>1854</v>
      </c>
      <c r="F6" s="62">
        <v>43435</v>
      </c>
      <c r="G6" s="281">
        <v>38055230.009999998</v>
      </c>
      <c r="H6" s="281">
        <v>46728795.359999999</v>
      </c>
      <c r="I6" s="281"/>
      <c r="J6" s="281">
        <f>H6</f>
        <v>46728795.359999999</v>
      </c>
      <c r="K6" s="63">
        <v>1</v>
      </c>
      <c r="L6" s="63">
        <v>0</v>
      </c>
      <c r="M6" s="63">
        <f>K6</f>
        <v>1</v>
      </c>
      <c r="N6" s="63">
        <v>5</v>
      </c>
      <c r="O6" s="63">
        <v>0</v>
      </c>
      <c r="P6" s="87">
        <f>N6</f>
        <v>5</v>
      </c>
    </row>
    <row r="7" spans="1:16" x14ac:dyDescent="0.25">
      <c r="G7" s="280">
        <f>SUM(G5:G6)</f>
        <v>40454333.420000002</v>
      </c>
      <c r="H7" s="280">
        <f t="shared" ref="H7:J7" si="0">SUM(H5:H6)</f>
        <v>49674703.509999998</v>
      </c>
      <c r="I7" s="280">
        <f t="shared" si="0"/>
        <v>0</v>
      </c>
      <c r="J7" s="280">
        <f t="shared" si="0"/>
        <v>46728795.359999999</v>
      </c>
      <c r="K7" s="95">
        <f t="shared" ref="K7:P7" si="1">SUM(K5:K6)</f>
        <v>2</v>
      </c>
      <c r="L7" s="95">
        <f t="shared" si="1"/>
        <v>0</v>
      </c>
      <c r="M7" s="95">
        <f t="shared" si="1"/>
        <v>1</v>
      </c>
      <c r="N7" s="95">
        <f t="shared" si="1"/>
        <v>9</v>
      </c>
      <c r="O7" s="95">
        <f t="shared" si="1"/>
        <v>0</v>
      </c>
      <c r="P7" s="70">
        <f t="shared" si="1"/>
        <v>5</v>
      </c>
    </row>
  </sheetData>
  <sheetProtection algorithmName="SHA-512" hashValue="Nh45ckFyeDRGuisWfzFwIe3PKIeYN684XADoftTGiRCBdgrIXpou8dMXWObixs6ZvZB+cfy+wR4LAAWdUbV6Pw==" saltValue="HKRcLpt/pdIifrw6cMD11A==" spinCount="100000" sheet="1" objects="1" scenarios="1"/>
  <mergeCells count="16">
    <mergeCell ref="G1:G3"/>
    <mergeCell ref="H1:H3"/>
    <mergeCell ref="I1:I3"/>
    <mergeCell ref="J1:J3"/>
    <mergeCell ref="F1:F4"/>
    <mergeCell ref="A1:A4"/>
    <mergeCell ref="B1:B4"/>
    <mergeCell ref="C1:C4"/>
    <mergeCell ref="D1:D4"/>
    <mergeCell ref="E1:E4"/>
    <mergeCell ref="K1:M1"/>
    <mergeCell ref="K2:M2"/>
    <mergeCell ref="K3:M3"/>
    <mergeCell ref="N1:P1"/>
    <mergeCell ref="N2:P2"/>
    <mergeCell ref="N3:P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B7"/>
  <sheetViews>
    <sheetView topLeftCell="AZ1" zoomScale="80" zoomScaleNormal="80" workbookViewId="0">
      <selection activeCell="A6" sqref="A6"/>
    </sheetView>
  </sheetViews>
  <sheetFormatPr defaultRowHeight="15" x14ac:dyDescent="0.25"/>
  <cols>
    <col min="1" max="1" width="10.85546875" style="6" bestFit="1" customWidth="1"/>
    <col min="2" max="2" width="29.7109375" customWidth="1"/>
    <col min="3" max="3" width="22" bestFit="1" customWidth="1"/>
    <col min="4" max="4" width="36.42578125" bestFit="1" customWidth="1"/>
    <col min="5" max="11" width="16.42578125" customWidth="1"/>
    <col min="12" max="74" width="11.42578125" customWidth="1"/>
    <col min="75" max="75" width="12.42578125" bestFit="1" customWidth="1"/>
    <col min="76" max="77" width="11.42578125" customWidth="1"/>
    <col min="78" max="78" width="12.42578125" bestFit="1" customWidth="1"/>
    <col min="79" max="80" width="11.42578125" customWidth="1"/>
  </cols>
  <sheetData>
    <row r="1" spans="1:80" s="13" customFormat="1" ht="65.25" customHeight="1" x14ac:dyDescent="0.25">
      <c r="A1" s="1548" t="s">
        <v>476</v>
      </c>
      <c r="B1" s="1548" t="s">
        <v>477</v>
      </c>
      <c r="C1" s="1548" t="s">
        <v>478</v>
      </c>
      <c r="D1" s="1548" t="s">
        <v>479</v>
      </c>
      <c r="E1" s="1548" t="s">
        <v>481</v>
      </c>
      <c r="F1" s="1550" t="s">
        <v>976</v>
      </c>
      <c r="G1" s="1550" t="s">
        <v>684</v>
      </c>
      <c r="H1" s="1550" t="s">
        <v>2020</v>
      </c>
      <c r="I1" s="1550" t="s">
        <v>2021</v>
      </c>
      <c r="J1" s="1550" t="s">
        <v>2032</v>
      </c>
      <c r="K1" s="1572" t="s">
        <v>2022</v>
      </c>
      <c r="L1" s="1560" t="s">
        <v>85</v>
      </c>
      <c r="M1" s="1561"/>
      <c r="N1" s="1562"/>
      <c r="O1" s="1560" t="s">
        <v>85</v>
      </c>
      <c r="P1" s="1561"/>
      <c r="Q1" s="1562"/>
      <c r="R1" s="1560" t="s">
        <v>334</v>
      </c>
      <c r="S1" s="1561"/>
      <c r="T1" s="1562"/>
      <c r="U1" s="1560" t="s">
        <v>334</v>
      </c>
      <c r="V1" s="1561"/>
      <c r="W1" s="1562"/>
      <c r="X1" s="1560" t="s">
        <v>88</v>
      </c>
      <c r="Y1" s="1561"/>
      <c r="Z1" s="1562"/>
      <c r="AA1" s="1611" t="s">
        <v>88</v>
      </c>
      <c r="AB1" s="1559"/>
      <c r="AC1" s="439"/>
      <c r="AD1" s="1559" t="s">
        <v>83</v>
      </c>
      <c r="AE1" s="1559"/>
      <c r="AF1" s="445"/>
      <c r="AG1" s="1586" t="s">
        <v>83</v>
      </c>
      <c r="AH1" s="1611"/>
      <c r="AI1" s="446"/>
      <c r="AJ1" s="1559" t="s">
        <v>90</v>
      </c>
      <c r="AK1" s="1559"/>
      <c r="AL1" s="439"/>
      <c r="AM1" s="1559" t="s">
        <v>90</v>
      </c>
      <c r="AN1" s="1559"/>
      <c r="AO1" s="439"/>
      <c r="AP1" s="1559" t="s">
        <v>85</v>
      </c>
      <c r="AQ1" s="1559"/>
      <c r="AR1" s="439"/>
      <c r="AS1" s="1559" t="s">
        <v>92</v>
      </c>
      <c r="AT1" s="1559"/>
      <c r="AU1" s="439"/>
      <c r="AV1" s="1559" t="s">
        <v>98</v>
      </c>
      <c r="AW1" s="1559"/>
      <c r="AX1" s="439"/>
      <c r="AY1" s="1559" t="s">
        <v>334</v>
      </c>
      <c r="AZ1" s="1559"/>
      <c r="BA1" s="439"/>
      <c r="BB1" s="1559" t="s">
        <v>96</v>
      </c>
      <c r="BC1" s="1559"/>
      <c r="BD1" s="439"/>
      <c r="BE1" s="1559" t="s">
        <v>707</v>
      </c>
      <c r="BF1" s="1559"/>
      <c r="BG1" s="439"/>
      <c r="BH1" s="1559" t="s">
        <v>708</v>
      </c>
      <c r="BI1" s="1559"/>
      <c r="BJ1" s="439"/>
      <c r="BK1" s="1559" t="s">
        <v>88</v>
      </c>
      <c r="BL1" s="1559"/>
      <c r="BM1" s="439"/>
      <c r="BN1" s="1559" t="s">
        <v>83</v>
      </c>
      <c r="BO1" s="1559"/>
      <c r="BP1" s="439"/>
      <c r="BQ1" s="1559" t="s">
        <v>90</v>
      </c>
      <c r="BR1" s="1559"/>
      <c r="BS1" s="439"/>
      <c r="BT1" s="1559" t="s">
        <v>85</v>
      </c>
      <c r="BU1" s="1559"/>
      <c r="BV1" s="439"/>
      <c r="BW1" s="1559" t="s">
        <v>110</v>
      </c>
      <c r="BX1" s="1559"/>
      <c r="BY1" s="439"/>
      <c r="BZ1" s="1613" t="s">
        <v>706</v>
      </c>
      <c r="CA1" s="1614"/>
      <c r="CB1" s="1614"/>
    </row>
    <row r="2" spans="1:80" s="13" customFormat="1" x14ac:dyDescent="0.25">
      <c r="A2" s="1549"/>
      <c r="B2" s="1549"/>
      <c r="C2" s="1549"/>
      <c r="D2" s="1549"/>
      <c r="E2" s="1549"/>
      <c r="F2" s="1550"/>
      <c r="G2" s="1550"/>
      <c r="H2" s="1550"/>
      <c r="I2" s="1550"/>
      <c r="J2" s="1550"/>
      <c r="K2" s="1572"/>
      <c r="L2" s="1563" t="s">
        <v>331</v>
      </c>
      <c r="M2" s="1570"/>
      <c r="N2" s="1564"/>
      <c r="O2" s="1563" t="s">
        <v>331</v>
      </c>
      <c r="P2" s="1570"/>
      <c r="Q2" s="1564"/>
      <c r="R2" s="1563" t="s">
        <v>333</v>
      </c>
      <c r="S2" s="1570"/>
      <c r="T2" s="1564"/>
      <c r="U2" s="1563" t="s">
        <v>333</v>
      </c>
      <c r="V2" s="1570"/>
      <c r="W2" s="1564"/>
      <c r="X2" s="1563" t="s">
        <v>335</v>
      </c>
      <c r="Y2" s="1570"/>
      <c r="Z2" s="1564"/>
      <c r="AA2" s="1612" t="s">
        <v>335</v>
      </c>
      <c r="AB2" s="1558"/>
      <c r="AC2" s="440"/>
      <c r="AD2" s="1558" t="s">
        <v>336</v>
      </c>
      <c r="AE2" s="1558"/>
      <c r="AF2" s="440"/>
      <c r="AG2" s="1558" t="s">
        <v>336</v>
      </c>
      <c r="AH2" s="1558"/>
      <c r="AI2" s="440"/>
      <c r="AJ2" s="1558" t="s">
        <v>337</v>
      </c>
      <c r="AK2" s="1558"/>
      <c r="AL2" s="440"/>
      <c r="AM2" s="1558" t="s">
        <v>337</v>
      </c>
      <c r="AN2" s="1558"/>
      <c r="AO2" s="440"/>
      <c r="AP2" s="1558" t="s">
        <v>331</v>
      </c>
      <c r="AQ2" s="1558"/>
      <c r="AR2" s="440"/>
      <c r="AS2" s="1558" t="s">
        <v>339</v>
      </c>
      <c r="AT2" s="1558"/>
      <c r="AU2" s="440"/>
      <c r="AV2" s="1558" t="s">
        <v>340</v>
      </c>
      <c r="AW2" s="1558"/>
      <c r="AX2" s="440"/>
      <c r="AY2" s="1558" t="s">
        <v>333</v>
      </c>
      <c r="AZ2" s="1558"/>
      <c r="BA2" s="440"/>
      <c r="BB2" s="1558" t="s">
        <v>344</v>
      </c>
      <c r="BC2" s="1558"/>
      <c r="BD2" s="440"/>
      <c r="BE2" s="1558" t="s">
        <v>347</v>
      </c>
      <c r="BF2" s="1558"/>
      <c r="BG2" s="440"/>
      <c r="BH2" s="1558" t="s">
        <v>352</v>
      </c>
      <c r="BI2" s="1558"/>
      <c r="BJ2" s="440"/>
      <c r="BK2" s="1558" t="s">
        <v>335</v>
      </c>
      <c r="BL2" s="1558"/>
      <c r="BM2" s="440"/>
      <c r="BN2" s="1558" t="s">
        <v>336</v>
      </c>
      <c r="BO2" s="1558"/>
      <c r="BP2" s="440"/>
      <c r="BQ2" s="1558" t="s">
        <v>337</v>
      </c>
      <c r="BR2" s="1558"/>
      <c r="BS2" s="440"/>
      <c r="BT2" s="1558" t="s">
        <v>331</v>
      </c>
      <c r="BU2" s="1558"/>
      <c r="BV2" s="440"/>
      <c r="BW2" s="1558" t="s">
        <v>361</v>
      </c>
      <c r="BX2" s="1558"/>
      <c r="BY2" s="440"/>
      <c r="BZ2" s="1558" t="s">
        <v>364</v>
      </c>
      <c r="CA2" s="1558"/>
      <c r="CB2" s="545"/>
    </row>
    <row r="3" spans="1:80" s="13" customFormat="1" x14ac:dyDescent="0.25">
      <c r="A3" s="1549"/>
      <c r="B3" s="1549"/>
      <c r="C3" s="1549"/>
      <c r="D3" s="1549"/>
      <c r="E3" s="1549"/>
      <c r="F3" s="1550"/>
      <c r="G3" s="1550"/>
      <c r="H3" s="1550"/>
      <c r="I3" s="1550"/>
      <c r="J3" s="1550"/>
      <c r="K3" s="1572"/>
      <c r="L3" s="1568" t="s">
        <v>446</v>
      </c>
      <c r="M3" s="1558"/>
      <c r="N3" s="442"/>
      <c r="O3" s="1568" t="s">
        <v>461</v>
      </c>
      <c r="P3" s="1558"/>
      <c r="Q3" s="442"/>
      <c r="R3" s="1563" t="s">
        <v>446</v>
      </c>
      <c r="S3" s="1570"/>
      <c r="T3" s="1564"/>
      <c r="U3" s="1563" t="s">
        <v>461</v>
      </c>
      <c r="V3" s="1570"/>
      <c r="W3" s="1564"/>
      <c r="X3" s="1563" t="s">
        <v>446</v>
      </c>
      <c r="Y3" s="1570"/>
      <c r="Z3" s="1564"/>
      <c r="AA3" s="1612" t="s">
        <v>461</v>
      </c>
      <c r="AB3" s="1558"/>
      <c r="AC3" s="440"/>
      <c r="AD3" s="1558" t="s">
        <v>446</v>
      </c>
      <c r="AE3" s="1558"/>
      <c r="AF3" s="440"/>
      <c r="AG3" s="1558" t="s">
        <v>461</v>
      </c>
      <c r="AH3" s="1558"/>
      <c r="AI3" s="440"/>
      <c r="AJ3" s="1558" t="s">
        <v>446</v>
      </c>
      <c r="AK3" s="1558"/>
      <c r="AL3" s="440"/>
      <c r="AM3" s="1558" t="s">
        <v>461</v>
      </c>
      <c r="AN3" s="1558"/>
      <c r="AO3" s="440"/>
      <c r="AP3" s="1558" t="s">
        <v>460</v>
      </c>
      <c r="AQ3" s="1558"/>
      <c r="AR3" s="440"/>
      <c r="AS3" s="1558" t="s">
        <v>460</v>
      </c>
      <c r="AT3" s="1558"/>
      <c r="AU3" s="440"/>
      <c r="AV3" s="1558" t="s">
        <v>460</v>
      </c>
      <c r="AW3" s="1558"/>
      <c r="AX3" s="440"/>
      <c r="AY3" s="1558" t="s">
        <v>460</v>
      </c>
      <c r="AZ3" s="1558"/>
      <c r="BA3" s="440"/>
      <c r="BB3" s="1558" t="s">
        <v>460</v>
      </c>
      <c r="BC3" s="1558"/>
      <c r="BD3" s="440"/>
      <c r="BE3" s="1558" t="s">
        <v>460</v>
      </c>
      <c r="BF3" s="1558"/>
      <c r="BG3" s="440"/>
      <c r="BH3" s="1558" t="s">
        <v>460</v>
      </c>
      <c r="BI3" s="1558"/>
      <c r="BJ3" s="440"/>
      <c r="BK3" s="1558" t="s">
        <v>460</v>
      </c>
      <c r="BL3" s="1558"/>
      <c r="BM3" s="440"/>
      <c r="BN3" s="1558" t="s">
        <v>460</v>
      </c>
      <c r="BO3" s="1558"/>
      <c r="BP3" s="440"/>
      <c r="BQ3" s="1558" t="s">
        <v>460</v>
      </c>
      <c r="BR3" s="1558"/>
      <c r="BS3" s="440"/>
      <c r="BT3" s="1558" t="s">
        <v>447</v>
      </c>
      <c r="BU3" s="1558"/>
      <c r="BV3" s="440"/>
      <c r="BW3" s="1558" t="s">
        <v>447</v>
      </c>
      <c r="BX3" s="1558"/>
      <c r="BY3" s="440"/>
      <c r="BZ3" s="1558" t="s">
        <v>447</v>
      </c>
      <c r="CA3" s="1558"/>
      <c r="CB3" s="545"/>
    </row>
    <row r="4" spans="1:80" s="13" customFormat="1" ht="51" x14ac:dyDescent="0.25">
      <c r="A4" s="1554"/>
      <c r="B4" s="1554"/>
      <c r="C4" s="1554"/>
      <c r="D4" s="1554"/>
      <c r="E4" s="1554"/>
      <c r="F4" s="1550"/>
      <c r="G4" s="1550"/>
      <c r="H4" s="438" t="s">
        <v>410</v>
      </c>
      <c r="I4" s="438" t="s">
        <v>410</v>
      </c>
      <c r="J4" s="438" t="s">
        <v>410</v>
      </c>
      <c r="K4" s="441" t="s">
        <v>410</v>
      </c>
      <c r="L4" s="424" t="s">
        <v>484</v>
      </c>
      <c r="M4" s="91" t="s">
        <v>485</v>
      </c>
      <c r="N4" s="498" t="s">
        <v>2016</v>
      </c>
      <c r="O4" s="424" t="s">
        <v>484</v>
      </c>
      <c r="P4" s="91" t="s">
        <v>485</v>
      </c>
      <c r="Q4" s="498" t="s">
        <v>2016</v>
      </c>
      <c r="R4" s="424" t="s">
        <v>484</v>
      </c>
      <c r="S4" s="91" t="s">
        <v>485</v>
      </c>
      <c r="T4" s="544" t="s">
        <v>2016</v>
      </c>
      <c r="U4" s="424" t="s">
        <v>484</v>
      </c>
      <c r="V4" s="91" t="s">
        <v>485</v>
      </c>
      <c r="W4" s="544" t="s">
        <v>2016</v>
      </c>
      <c r="X4" s="424" t="s">
        <v>484</v>
      </c>
      <c r="Y4" s="91" t="s">
        <v>485</v>
      </c>
      <c r="Z4" s="544" t="s">
        <v>2016</v>
      </c>
      <c r="AA4" s="480" t="s">
        <v>484</v>
      </c>
      <c r="AB4" s="91" t="s">
        <v>485</v>
      </c>
      <c r="AC4" s="91"/>
      <c r="AD4" s="91" t="s">
        <v>484</v>
      </c>
      <c r="AE4" s="91" t="s">
        <v>485</v>
      </c>
      <c r="AF4" s="91"/>
      <c r="AG4" s="91" t="s">
        <v>484</v>
      </c>
      <c r="AH4" s="91" t="s">
        <v>485</v>
      </c>
      <c r="AI4" s="91"/>
      <c r="AJ4" s="91" t="s">
        <v>484</v>
      </c>
      <c r="AK4" s="91" t="s">
        <v>485</v>
      </c>
      <c r="AL4" s="91"/>
      <c r="AM4" s="91" t="s">
        <v>484</v>
      </c>
      <c r="AN4" s="91" t="s">
        <v>485</v>
      </c>
      <c r="AO4" s="91"/>
      <c r="AP4" s="91" t="s">
        <v>484</v>
      </c>
      <c r="AQ4" s="91" t="s">
        <v>485</v>
      </c>
      <c r="AR4" s="91"/>
      <c r="AS4" s="91" t="s">
        <v>484</v>
      </c>
      <c r="AT4" s="91" t="s">
        <v>485</v>
      </c>
      <c r="AU4" s="91"/>
      <c r="AV4" s="91" t="s">
        <v>484</v>
      </c>
      <c r="AW4" s="91" t="s">
        <v>485</v>
      </c>
      <c r="AX4" s="91"/>
      <c r="AY4" s="91" t="s">
        <v>484</v>
      </c>
      <c r="AZ4" s="91" t="s">
        <v>485</v>
      </c>
      <c r="BA4" s="91"/>
      <c r="BB4" s="91" t="s">
        <v>484</v>
      </c>
      <c r="BC4" s="91" t="s">
        <v>485</v>
      </c>
      <c r="BD4" s="91"/>
      <c r="BE4" s="91" t="s">
        <v>484</v>
      </c>
      <c r="BF4" s="91" t="s">
        <v>485</v>
      </c>
      <c r="BG4" s="91"/>
      <c r="BH4" s="91" t="s">
        <v>484</v>
      </c>
      <c r="BI4" s="91" t="s">
        <v>485</v>
      </c>
      <c r="BJ4" s="91"/>
      <c r="BK4" s="91" t="s">
        <v>484</v>
      </c>
      <c r="BL4" s="91" t="s">
        <v>485</v>
      </c>
      <c r="BM4" s="91"/>
      <c r="BN4" s="91" t="s">
        <v>484</v>
      </c>
      <c r="BO4" s="91" t="s">
        <v>485</v>
      </c>
      <c r="BP4" s="91"/>
      <c r="BQ4" s="91" t="s">
        <v>484</v>
      </c>
      <c r="BR4" s="91" t="s">
        <v>485</v>
      </c>
      <c r="BS4" s="91"/>
      <c r="BT4" s="91" t="s">
        <v>484</v>
      </c>
      <c r="BU4" s="91" t="s">
        <v>485</v>
      </c>
      <c r="BV4" s="91"/>
      <c r="BW4" s="91" t="s">
        <v>484</v>
      </c>
      <c r="BX4" s="91" t="s">
        <v>485</v>
      </c>
      <c r="BY4" s="91"/>
      <c r="BZ4" s="91" t="s">
        <v>484</v>
      </c>
      <c r="CA4" s="91" t="s">
        <v>485</v>
      </c>
      <c r="CB4" s="546"/>
    </row>
    <row r="5" spans="1:80" s="13" customFormat="1" ht="12.75" customHeight="1" x14ac:dyDescent="0.25">
      <c r="A5" s="44" t="s">
        <v>1546</v>
      </c>
      <c r="B5" s="45" t="s">
        <v>1547</v>
      </c>
      <c r="C5" s="39" t="s">
        <v>1548</v>
      </c>
      <c r="D5" s="46" t="s">
        <v>1549</v>
      </c>
      <c r="E5" s="39" t="s">
        <v>1550</v>
      </c>
      <c r="F5" s="47" t="s">
        <v>1551</v>
      </c>
      <c r="G5" s="47" t="s">
        <v>1552</v>
      </c>
      <c r="H5" s="47" t="s">
        <v>1553</v>
      </c>
      <c r="I5" s="47" t="s">
        <v>1554</v>
      </c>
      <c r="J5" s="47" t="s">
        <v>1555</v>
      </c>
      <c r="K5" s="47" t="s">
        <v>1556</v>
      </c>
      <c r="L5" s="47" t="s">
        <v>1557</v>
      </c>
      <c r="M5" s="47" t="s">
        <v>1558</v>
      </c>
      <c r="N5" s="47" t="s">
        <v>1559</v>
      </c>
      <c r="O5" s="47" t="s">
        <v>1560</v>
      </c>
      <c r="P5" s="47" t="s">
        <v>1561</v>
      </c>
      <c r="Q5" s="47" t="s">
        <v>1562</v>
      </c>
      <c r="R5" s="47" t="s">
        <v>1563</v>
      </c>
      <c r="S5" s="47" t="s">
        <v>1564</v>
      </c>
      <c r="T5" s="47" t="s">
        <v>1565</v>
      </c>
      <c r="U5" s="47" t="s">
        <v>1566</v>
      </c>
      <c r="V5" s="47" t="s">
        <v>1567</v>
      </c>
      <c r="W5" s="47" t="s">
        <v>1568</v>
      </c>
      <c r="X5" s="47" t="s">
        <v>1569</v>
      </c>
      <c r="Y5" s="47" t="s">
        <v>1570</v>
      </c>
      <c r="Z5" s="47" t="s">
        <v>1571</v>
      </c>
      <c r="AA5" s="47" t="s">
        <v>1572</v>
      </c>
      <c r="AB5" s="47" t="s">
        <v>1573</v>
      </c>
      <c r="AC5" s="47" t="s">
        <v>1574</v>
      </c>
      <c r="AD5" s="47" t="s">
        <v>1575</v>
      </c>
      <c r="AE5" s="47" t="s">
        <v>1576</v>
      </c>
      <c r="AF5" s="47" t="s">
        <v>1577</v>
      </c>
      <c r="AG5" s="47" t="s">
        <v>1578</v>
      </c>
      <c r="AH5" s="47" t="s">
        <v>1579</v>
      </c>
      <c r="AI5" s="47" t="s">
        <v>1580</v>
      </c>
      <c r="AJ5" s="47" t="s">
        <v>1581</v>
      </c>
      <c r="AK5" s="47" t="s">
        <v>1582</v>
      </c>
      <c r="AL5" s="47" t="s">
        <v>1583</v>
      </c>
      <c r="AM5" s="47" t="s">
        <v>1584</v>
      </c>
      <c r="AN5" s="47" t="s">
        <v>1585</v>
      </c>
      <c r="AO5" s="47" t="s">
        <v>1586</v>
      </c>
      <c r="AP5" s="47" t="s">
        <v>1587</v>
      </c>
      <c r="AQ5" s="47" t="s">
        <v>1588</v>
      </c>
      <c r="AR5" s="47" t="s">
        <v>1589</v>
      </c>
      <c r="AS5" s="47" t="s">
        <v>1590</v>
      </c>
      <c r="AT5" s="47" t="s">
        <v>1591</v>
      </c>
      <c r="AU5" s="47" t="s">
        <v>1592</v>
      </c>
      <c r="AV5" s="47" t="s">
        <v>1593</v>
      </c>
      <c r="AW5" s="47" t="s">
        <v>1594</v>
      </c>
      <c r="AX5" s="47" t="s">
        <v>1595</v>
      </c>
      <c r="AY5" s="47" t="s">
        <v>1596</v>
      </c>
      <c r="AZ5" s="47" t="s">
        <v>1597</v>
      </c>
      <c r="BA5" s="47" t="s">
        <v>1598</v>
      </c>
      <c r="BB5" s="47" t="s">
        <v>2420</v>
      </c>
      <c r="BC5" s="47" t="s">
        <v>2421</v>
      </c>
      <c r="BD5" s="47" t="s">
        <v>2422</v>
      </c>
      <c r="BE5" s="47" t="s">
        <v>2423</v>
      </c>
      <c r="BF5" s="47" t="s">
        <v>2424</v>
      </c>
      <c r="BG5" s="47" t="s">
        <v>2425</v>
      </c>
      <c r="BH5" s="47" t="s">
        <v>2426</v>
      </c>
      <c r="BI5" s="47" t="s">
        <v>2427</v>
      </c>
      <c r="BJ5" s="47" t="s">
        <v>2039</v>
      </c>
      <c r="BK5" s="47" t="s">
        <v>2040</v>
      </c>
      <c r="BL5" s="47" t="s">
        <v>2041</v>
      </c>
      <c r="BM5" s="47" t="s">
        <v>2042</v>
      </c>
      <c r="BN5" s="47" t="s">
        <v>2428</v>
      </c>
      <c r="BO5" s="47" t="s">
        <v>2429</v>
      </c>
      <c r="BP5" s="47" t="s">
        <v>2430</v>
      </c>
      <c r="BQ5" s="47" t="s">
        <v>2431</v>
      </c>
      <c r="BR5" s="47" t="s">
        <v>2432</v>
      </c>
      <c r="BS5" s="47" t="s">
        <v>2433</v>
      </c>
      <c r="BT5" s="47" t="s">
        <v>2033</v>
      </c>
      <c r="BU5" s="47" t="s">
        <v>2034</v>
      </c>
      <c r="BV5" s="47" t="s">
        <v>2035</v>
      </c>
      <c r="BW5" s="47" t="s">
        <v>2036</v>
      </c>
      <c r="BX5" s="47" t="s">
        <v>2434</v>
      </c>
      <c r="BY5" s="47" t="s">
        <v>2435</v>
      </c>
      <c r="BZ5" s="47" t="s">
        <v>2436</v>
      </c>
      <c r="CA5" s="47" t="s">
        <v>2437</v>
      </c>
      <c r="CB5" s="47" t="s">
        <v>2438</v>
      </c>
    </row>
    <row r="6" spans="1:80" s="13" customFormat="1" ht="12.75" customHeight="1" x14ac:dyDescent="0.25">
      <c r="A6" s="42" t="s">
        <v>740</v>
      </c>
      <c r="B6" s="17" t="s">
        <v>2391</v>
      </c>
      <c r="C6" s="1" t="s">
        <v>855</v>
      </c>
      <c r="D6" s="18" t="s">
        <v>856</v>
      </c>
      <c r="E6" s="1" t="s">
        <v>1544</v>
      </c>
      <c r="F6" s="15">
        <v>42095</v>
      </c>
      <c r="G6" s="15">
        <v>45261</v>
      </c>
      <c r="H6" s="2">
        <v>5000000.05</v>
      </c>
      <c r="I6" s="2">
        <v>5882353</v>
      </c>
      <c r="J6" s="2"/>
      <c r="K6" s="532"/>
      <c r="L6" s="538">
        <v>9109.5</v>
      </c>
      <c r="M6" s="19">
        <v>0</v>
      </c>
      <c r="N6" s="539"/>
      <c r="O6" s="538">
        <v>9109.5</v>
      </c>
      <c r="P6" s="19">
        <v>0</v>
      </c>
      <c r="Q6" s="539"/>
      <c r="R6" s="538">
        <v>1</v>
      </c>
      <c r="S6" s="19">
        <v>0</v>
      </c>
      <c r="T6" s="539"/>
      <c r="U6" s="538">
        <v>1</v>
      </c>
      <c r="V6" s="19">
        <v>0</v>
      </c>
      <c r="W6" s="539"/>
      <c r="X6" s="538">
        <v>2</v>
      </c>
      <c r="Y6" s="19">
        <v>0</v>
      </c>
      <c r="Z6" s="539"/>
      <c r="AA6" s="535">
        <v>2</v>
      </c>
      <c r="AB6" s="19">
        <v>0</v>
      </c>
      <c r="AC6" s="19"/>
      <c r="AD6" s="19">
        <v>20</v>
      </c>
      <c r="AE6" s="19">
        <v>0</v>
      </c>
      <c r="AF6" s="19"/>
      <c r="AG6" s="19">
        <v>20</v>
      </c>
      <c r="AH6" s="19">
        <v>0</v>
      </c>
      <c r="AI6" s="19"/>
      <c r="AJ6" s="19">
        <v>17</v>
      </c>
      <c r="AK6" s="19">
        <v>0</v>
      </c>
      <c r="AL6" s="19"/>
      <c r="AM6" s="19">
        <v>18</v>
      </c>
      <c r="AN6" s="19">
        <v>0</v>
      </c>
      <c r="AO6" s="19"/>
      <c r="AP6" s="19">
        <v>0</v>
      </c>
      <c r="AQ6" s="19">
        <v>0</v>
      </c>
      <c r="AR6" s="19"/>
      <c r="AS6" s="19">
        <v>0</v>
      </c>
      <c r="AT6" s="19">
        <v>0</v>
      </c>
      <c r="AU6" s="19"/>
      <c r="AV6" s="19">
        <v>0</v>
      </c>
      <c r="AW6" s="19">
        <v>0</v>
      </c>
      <c r="AX6" s="19"/>
      <c r="AY6" s="19">
        <v>0</v>
      </c>
      <c r="AZ6" s="19">
        <v>0</v>
      </c>
      <c r="BA6" s="19"/>
      <c r="BB6" s="19">
        <v>0</v>
      </c>
      <c r="BC6" s="19">
        <v>0</v>
      </c>
      <c r="BD6" s="19"/>
      <c r="BE6" s="19">
        <v>0</v>
      </c>
      <c r="BF6" s="19">
        <v>0</v>
      </c>
      <c r="BG6" s="19"/>
      <c r="BH6" s="19">
        <v>0</v>
      </c>
      <c r="BI6" s="19">
        <v>0</v>
      </c>
      <c r="BJ6" s="19"/>
      <c r="BK6" s="19">
        <v>0</v>
      </c>
      <c r="BL6" s="19">
        <v>0</v>
      </c>
      <c r="BM6" s="19"/>
      <c r="BN6" s="19">
        <v>0</v>
      </c>
      <c r="BO6" s="19">
        <v>0</v>
      </c>
      <c r="BP6" s="19"/>
      <c r="BQ6" s="19">
        <v>0</v>
      </c>
      <c r="BR6" s="19">
        <v>0</v>
      </c>
      <c r="BS6" s="19"/>
      <c r="BT6" s="19">
        <v>0</v>
      </c>
      <c r="BU6" s="19">
        <v>0</v>
      </c>
      <c r="BV6" s="19"/>
      <c r="BW6" s="19">
        <v>0</v>
      </c>
      <c r="BX6" s="19">
        <v>0</v>
      </c>
      <c r="BY6" s="19"/>
      <c r="BZ6" s="19">
        <v>0</v>
      </c>
      <c r="CA6" s="43">
        <v>0</v>
      </c>
      <c r="CB6" s="22">
        <v>0</v>
      </c>
    </row>
    <row r="7" spans="1:80" x14ac:dyDescent="0.25">
      <c r="A7" s="48"/>
      <c r="B7" s="49"/>
      <c r="C7" s="97"/>
      <c r="D7" s="98"/>
      <c r="E7" s="97"/>
      <c r="F7" s="99"/>
      <c r="G7" s="99"/>
      <c r="H7" s="317">
        <f>SUBTOTAL(109,fn411421431[Stĺpec8])</f>
        <v>5000000.05</v>
      </c>
      <c r="I7" s="317">
        <f>SUBTOTAL(109,fn411421431[Stĺpec9])</f>
        <v>5882353</v>
      </c>
      <c r="J7" s="317">
        <f>SUBTOTAL(109,fn411421431[Stĺpec10])</f>
        <v>0</v>
      </c>
      <c r="K7" s="534">
        <f>SUBTOTAL(109,fn411421431[Stĺpec11])</f>
        <v>0</v>
      </c>
      <c r="L7" s="542">
        <f>SUBTOTAL(109,fn411421431[Stĺpec12])</f>
        <v>9109.5</v>
      </c>
      <c r="M7" s="101">
        <f>SUBTOTAL(109,fn411421431[Stĺpec13])</f>
        <v>0</v>
      </c>
      <c r="N7" s="543">
        <f>SUM(fn411421431[Stĺpec14])</f>
        <v>0</v>
      </c>
      <c r="O7" s="542">
        <f>SUBTOTAL(109,fn411421431[Stĺpec15])</f>
        <v>9109.5</v>
      </c>
      <c r="P7" s="101">
        <f>SUBTOTAL(109,fn411421431[Stĺpec16])</f>
        <v>0</v>
      </c>
      <c r="Q7" s="543">
        <f>SUM(fn411421431[Stĺpec17])</f>
        <v>0</v>
      </c>
      <c r="R7" s="542">
        <f>SUBTOTAL(109,fn411421431[Stĺpec18])</f>
        <v>1</v>
      </c>
      <c r="S7" s="101">
        <f>SUBTOTAL(109,fn411421431[Stĺpec19])</f>
        <v>0</v>
      </c>
      <c r="T7" s="543">
        <f>SUM(fn411421431[Stĺpec20])</f>
        <v>0</v>
      </c>
      <c r="U7" s="542">
        <f>SUBTOTAL(109,fn411421431[Stĺpec21])</f>
        <v>1</v>
      </c>
      <c r="V7" s="101">
        <f>SUBTOTAL(109,fn411421431[Stĺpec22])</f>
        <v>0</v>
      </c>
      <c r="W7" s="543">
        <f>SUM(fn411421431[Stĺpec23])</f>
        <v>0</v>
      </c>
      <c r="X7" s="542">
        <f>SUBTOTAL(109,fn411421431[Stĺpec24])</f>
        <v>2</v>
      </c>
      <c r="Y7" s="101">
        <f>SUBTOTAL(109,fn411421431[Stĺpec25])</f>
        <v>0</v>
      </c>
      <c r="Z7" s="543">
        <f>SUM(fn411421431[Stĺpec26])</f>
        <v>0</v>
      </c>
      <c r="AA7" s="537">
        <f>SUBTOTAL(109,fn411421431[Stĺpec27])</f>
        <v>2</v>
      </c>
      <c r="AB7" s="101">
        <f>SUBTOTAL(109,fn411421431[Stĺpec28])</f>
        <v>0</v>
      </c>
      <c r="AC7" s="101">
        <f>SUM(fn411421431[Stĺpec29])</f>
        <v>0</v>
      </c>
      <c r="AD7" s="101">
        <f>SUBTOTAL(109,fn411421431[Stĺpec30])</f>
        <v>20</v>
      </c>
      <c r="AE7" s="101">
        <f>SUBTOTAL(109,fn411421431[Stĺpec31])</f>
        <v>0</v>
      </c>
      <c r="AF7" s="101">
        <f>SUM(fn411421431[Stĺpec32])</f>
        <v>0</v>
      </c>
      <c r="AG7" s="101">
        <f>SUBTOTAL(109,fn411421431[Stĺpec33])</f>
        <v>20</v>
      </c>
      <c r="AH7" s="101">
        <f>SUBTOTAL(109,fn411421431[Stĺpec34])</f>
        <v>0</v>
      </c>
      <c r="AI7" s="101">
        <f>SUM(fn411421431[Stĺpec35])</f>
        <v>0</v>
      </c>
      <c r="AJ7" s="101">
        <f>SUBTOTAL(109,fn411421431[Stĺpec36])</f>
        <v>17</v>
      </c>
      <c r="AK7" s="101">
        <f>SUBTOTAL(109,fn411421431[Stĺpec37])</f>
        <v>0</v>
      </c>
      <c r="AL7" s="101">
        <f>SUM(fn411421431[Stĺpec38])</f>
        <v>0</v>
      </c>
      <c r="AM7" s="101">
        <f>SUBTOTAL(109,fn411421431[Stĺpec39])</f>
        <v>18</v>
      </c>
      <c r="AN7" s="101">
        <f>SUBTOTAL(109,fn411421431[Stĺpec40])</f>
        <v>0</v>
      </c>
      <c r="AO7" s="101">
        <f>SUM(fn411421431[Stĺpec41])</f>
        <v>0</v>
      </c>
      <c r="AP7" s="101">
        <f>SUBTOTAL(109,fn411421431[Stĺpec42])</f>
        <v>0</v>
      </c>
      <c r="AQ7" s="101">
        <f>SUBTOTAL(109,fn411421431[Stĺpec43])</f>
        <v>0</v>
      </c>
      <c r="AR7" s="101">
        <f>SUM(fn411421431[Stĺpec44])</f>
        <v>0</v>
      </c>
      <c r="AS7" s="101">
        <f>SUBTOTAL(109,fn411421431[Stĺpec45])</f>
        <v>0</v>
      </c>
      <c r="AT7" s="101">
        <f>SUBTOTAL(109,fn411421431[Stĺpec46])</f>
        <v>0</v>
      </c>
      <c r="AU7" s="101">
        <f>SUM(fn411421431[Stĺpec47])</f>
        <v>0</v>
      </c>
      <c r="AV7" s="101">
        <f>SUBTOTAL(109,fn411421431[Stĺpec48])</f>
        <v>0</v>
      </c>
      <c r="AW7" s="101">
        <f>SUBTOTAL(109,fn411421431[Stĺpec49])</f>
        <v>0</v>
      </c>
      <c r="AX7" s="101">
        <f>SUM(fn411421431[Stĺpec50])</f>
        <v>0</v>
      </c>
      <c r="AY7" s="101">
        <f>SUBTOTAL(109,fn411421431[Stĺpec51])</f>
        <v>0</v>
      </c>
      <c r="AZ7" s="101">
        <f>SUBTOTAL(109,fn411421431[Stĺpec52])</f>
        <v>0</v>
      </c>
      <c r="BA7" s="101">
        <f>SUM(fn411421431[Stĺpec53])</f>
        <v>0</v>
      </c>
      <c r="BB7" s="101">
        <f>SUBTOTAL(109,fn411421431[Stĺpec54])</f>
        <v>0</v>
      </c>
      <c r="BC7" s="101">
        <f>SUBTOTAL(109,fn411421431[Stĺpec55])</f>
        <v>0</v>
      </c>
      <c r="BD7" s="101">
        <f>SUM(fn411421431[Stĺpec56])</f>
        <v>0</v>
      </c>
      <c r="BE7" s="101">
        <f>SUBTOTAL(109,fn411421431[Stĺpec57])</f>
        <v>0</v>
      </c>
      <c r="BF7" s="101">
        <f>SUBTOTAL(109,fn411421431[Stĺpec58])</f>
        <v>0</v>
      </c>
      <c r="BG7" s="101">
        <f>SUM(fn411421431[Stĺpec59])</f>
        <v>0</v>
      </c>
      <c r="BH7" s="101">
        <f>SUBTOTAL(109,fn411421431[Stĺpec60])</f>
        <v>0</v>
      </c>
      <c r="BI7" s="101">
        <f>SUBTOTAL(109,fn411421431[Stĺpec61])</f>
        <v>0</v>
      </c>
      <c r="BJ7" s="101">
        <f>SUM(fn411421431[Stĺpec62])</f>
        <v>0</v>
      </c>
      <c r="BK7" s="101">
        <f>SUBTOTAL(109,fn411421431[Stĺpec63])</f>
        <v>0</v>
      </c>
      <c r="BL7" s="101">
        <f>SUBTOTAL(109,fn411421431[Stĺpec64])</f>
        <v>0</v>
      </c>
      <c r="BM7" s="101">
        <f>SUM(fn411421431[Stĺpec65])</f>
        <v>0</v>
      </c>
      <c r="BN7" s="101">
        <f>SUBTOTAL(109,fn411421431[Stĺpec66])</f>
        <v>0</v>
      </c>
      <c r="BO7" s="101">
        <f>SUBTOTAL(109,fn411421431[Stĺpec67])</f>
        <v>0</v>
      </c>
      <c r="BP7" s="101">
        <f>SUM(fn411421431[Stĺpec68])</f>
        <v>0</v>
      </c>
      <c r="BQ7" s="101">
        <f>SUBTOTAL(109,fn411421431[Stĺpec69])</f>
        <v>0</v>
      </c>
      <c r="BR7" s="101">
        <f>SUBTOTAL(109,fn411421431[Stĺpec70])</f>
        <v>0</v>
      </c>
      <c r="BS7" s="101">
        <f>SUM(fn411421431[Stĺpec71])</f>
        <v>0</v>
      </c>
      <c r="BT7" s="101">
        <f>SUBTOTAL(109,fn411421431[Stĺpec72])</f>
        <v>0</v>
      </c>
      <c r="BU7" s="101">
        <f>SUBTOTAL(109,fn411421431[Stĺpec73])</f>
        <v>0</v>
      </c>
      <c r="BV7" s="101">
        <f>SUM(fn411421431[Stĺpec74])</f>
        <v>0</v>
      </c>
      <c r="BW7" s="101">
        <f>SUBTOTAL(109,fn411421431[Stĺpec75])</f>
        <v>0</v>
      </c>
      <c r="BX7" s="101">
        <f>SUBTOTAL(109,fn411421431[Stĺpec76])</f>
        <v>0</v>
      </c>
      <c r="BY7" s="101">
        <f>SUM(fn411421431[Stĺpec77])</f>
        <v>0</v>
      </c>
      <c r="BZ7" s="101">
        <f>SUBTOTAL(109,fn411421431[Stĺpec78])</f>
        <v>0</v>
      </c>
      <c r="CA7" s="101">
        <f>SUBTOTAL(109,fn411421431[Stĺpec79])</f>
        <v>0</v>
      </c>
      <c r="CB7" s="547">
        <f>SUBTOTAL(109,fn411421431[Stĺpec80])</f>
        <v>0</v>
      </c>
    </row>
  </sheetData>
  <sheetProtection algorithmName="SHA-512" hashValue="lcdZoLhIFhhFK2+l7UOpTx7uiTrWEUrkmRO+5Hu10fCK3iHqzKUHEfI8tWp4f0imhMc+0VnNJR0D5Jup0r27Ag==" saltValue="mFhSYxFmA29eCX5x0zyDkw==" spinCount="100000" sheet="1" objects="1" scenarios="1"/>
  <mergeCells count="80">
    <mergeCell ref="BZ1:CB1"/>
    <mergeCell ref="U1:W1"/>
    <mergeCell ref="U2:W2"/>
    <mergeCell ref="U3:W3"/>
    <mergeCell ref="X1:Z1"/>
    <mergeCell ref="X2:Z2"/>
    <mergeCell ref="X3:Z3"/>
    <mergeCell ref="BZ2:CA2"/>
    <mergeCell ref="BZ3:CA3"/>
    <mergeCell ref="BW1:BX1"/>
    <mergeCell ref="BW2:BX2"/>
    <mergeCell ref="BW3:BX3"/>
    <mergeCell ref="AP2:AQ2"/>
    <mergeCell ref="AS2:AT2"/>
    <mergeCell ref="AV2:AW2"/>
    <mergeCell ref="AY2:AZ2"/>
    <mergeCell ref="O1:Q1"/>
    <mergeCell ref="O2:Q2"/>
    <mergeCell ref="R1:T1"/>
    <mergeCell ref="R2:T2"/>
    <mergeCell ref="R3:T3"/>
    <mergeCell ref="O3:P3"/>
    <mergeCell ref="AP1:AQ1"/>
    <mergeCell ref="AS1:AT1"/>
    <mergeCell ref="AV1:AW1"/>
    <mergeCell ref="AY1:AZ1"/>
    <mergeCell ref="BB1:BC1"/>
    <mergeCell ref="BT1:BU1"/>
    <mergeCell ref="BT2:BU2"/>
    <mergeCell ref="BT3:BU3"/>
    <mergeCell ref="BQ2:BR2"/>
    <mergeCell ref="BB2:BC2"/>
    <mergeCell ref="BE2:BF2"/>
    <mergeCell ref="BH2:BI2"/>
    <mergeCell ref="BK2:BL2"/>
    <mergeCell ref="BN2:BO2"/>
    <mergeCell ref="BE1:BF1"/>
    <mergeCell ref="BH1:BI1"/>
    <mergeCell ref="BK1:BL1"/>
    <mergeCell ref="BN1:BO1"/>
    <mergeCell ref="BQ3:BR3"/>
    <mergeCell ref="BQ1:BR1"/>
    <mergeCell ref="AA3:AB3"/>
    <mergeCell ref="AD3:AE3"/>
    <mergeCell ref="AG3:AH3"/>
    <mergeCell ref="BN3:BO3"/>
    <mergeCell ref="AV3:AW3"/>
    <mergeCell ref="AJ3:AK3"/>
    <mergeCell ref="AM3:AN3"/>
    <mergeCell ref="AP3:AQ3"/>
    <mergeCell ref="AS3:AT3"/>
    <mergeCell ref="AY3:AZ3"/>
    <mergeCell ref="BB3:BC3"/>
    <mergeCell ref="BE3:BF3"/>
    <mergeCell ref="BH3:BI3"/>
    <mergeCell ref="BK3:BL3"/>
    <mergeCell ref="AG1:AH1"/>
    <mergeCell ref="AJ1:AK1"/>
    <mergeCell ref="AM1:AN1"/>
    <mergeCell ref="AA2:AB2"/>
    <mergeCell ref="AD2:AE2"/>
    <mergeCell ref="AA1:AB1"/>
    <mergeCell ref="AD1:AE1"/>
    <mergeCell ref="AG2:AH2"/>
    <mergeCell ref="AJ2:AK2"/>
    <mergeCell ref="AM2:AN2"/>
    <mergeCell ref="A1:A4"/>
    <mergeCell ref="B1:B4"/>
    <mergeCell ref="C1:C4"/>
    <mergeCell ref="D1:D4"/>
    <mergeCell ref="E1:E4"/>
    <mergeCell ref="L1:N1"/>
    <mergeCell ref="L2:N2"/>
    <mergeCell ref="F1:F4"/>
    <mergeCell ref="H1:H3"/>
    <mergeCell ref="I1:I3"/>
    <mergeCell ref="J1:J3"/>
    <mergeCell ref="K1:K3"/>
    <mergeCell ref="L3:M3"/>
    <mergeCell ref="G1:G4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O8"/>
  <sheetViews>
    <sheetView zoomScale="70" zoomScaleNormal="70" workbookViewId="0">
      <selection activeCell="E29" sqref="E29"/>
    </sheetView>
  </sheetViews>
  <sheetFormatPr defaultRowHeight="12.75" x14ac:dyDescent="0.2"/>
  <cols>
    <col min="1" max="1" width="10.85546875" style="25" bestFit="1" customWidth="1"/>
    <col min="2" max="2" width="20.42578125" style="16" customWidth="1"/>
    <col min="3" max="3" width="22" style="16" bestFit="1" customWidth="1"/>
    <col min="4" max="4" width="15.7109375" style="16" bestFit="1" customWidth="1"/>
    <col min="5" max="7" width="16.42578125" style="16" customWidth="1"/>
    <col min="8" max="8" width="21.85546875" style="16" customWidth="1"/>
    <col min="9" max="11" width="16.42578125" style="16" customWidth="1"/>
    <col min="12" max="40" width="11.42578125" style="16" customWidth="1"/>
    <col min="41" max="16384" width="9.140625" style="16"/>
  </cols>
  <sheetData>
    <row r="1" spans="1:41" ht="65.25" customHeight="1" x14ac:dyDescent="0.2">
      <c r="A1" s="1622" t="s">
        <v>476</v>
      </c>
      <c r="B1" s="1622" t="s">
        <v>477</v>
      </c>
      <c r="C1" s="1622" t="s">
        <v>478</v>
      </c>
      <c r="D1" s="1622" t="s">
        <v>479</v>
      </c>
      <c r="E1" s="1622" t="s">
        <v>481</v>
      </c>
      <c r="F1" s="1615" t="s">
        <v>976</v>
      </c>
      <c r="G1" s="1615" t="s">
        <v>684</v>
      </c>
      <c r="H1" s="1615" t="s">
        <v>2020</v>
      </c>
      <c r="I1" s="1615" t="s">
        <v>2021</v>
      </c>
      <c r="J1" s="1615" t="s">
        <v>2032</v>
      </c>
      <c r="K1" s="1621" t="s">
        <v>2022</v>
      </c>
      <c r="L1" s="1618" t="s">
        <v>85</v>
      </c>
      <c r="M1" s="1619"/>
      <c r="N1" s="1620"/>
      <c r="O1" s="1618" t="s">
        <v>85</v>
      </c>
      <c r="P1" s="1619"/>
      <c r="Q1" s="1620"/>
      <c r="R1" s="1618" t="s">
        <v>86</v>
      </c>
      <c r="S1" s="1619"/>
      <c r="T1" s="1620"/>
      <c r="U1" s="1625" t="s">
        <v>86</v>
      </c>
      <c r="V1" s="1626"/>
      <c r="W1" s="556"/>
      <c r="X1" s="1625" t="s">
        <v>88</v>
      </c>
      <c r="Y1" s="1626"/>
      <c r="Z1" s="556"/>
      <c r="AA1" s="1625" t="s">
        <v>88</v>
      </c>
      <c r="AB1" s="1626"/>
      <c r="AC1" s="556"/>
      <c r="AD1" s="1625" t="s">
        <v>83</v>
      </c>
      <c r="AE1" s="1626"/>
      <c r="AF1" s="556"/>
      <c r="AG1" s="1618" t="s">
        <v>83</v>
      </c>
      <c r="AH1" s="1627"/>
      <c r="AI1" s="561"/>
      <c r="AJ1" s="1625" t="s">
        <v>90</v>
      </c>
      <c r="AK1" s="1626"/>
      <c r="AL1" s="556"/>
      <c r="AM1" s="1627" t="s">
        <v>90</v>
      </c>
      <c r="AN1" s="1626"/>
    </row>
    <row r="2" spans="1:41" x14ac:dyDescent="0.2">
      <c r="A2" s="1623"/>
      <c r="B2" s="1623"/>
      <c r="C2" s="1623"/>
      <c r="D2" s="1623"/>
      <c r="E2" s="1623"/>
      <c r="F2" s="1615"/>
      <c r="G2" s="1615"/>
      <c r="H2" s="1615"/>
      <c r="I2" s="1615"/>
      <c r="J2" s="1615"/>
      <c r="K2" s="1621"/>
      <c r="L2" s="1616" t="s">
        <v>331</v>
      </c>
      <c r="M2" s="1617"/>
      <c r="N2" s="550"/>
      <c r="O2" s="1616" t="s">
        <v>331</v>
      </c>
      <c r="P2" s="1617"/>
      <c r="Q2" s="550"/>
      <c r="R2" s="1616" t="s">
        <v>332</v>
      </c>
      <c r="S2" s="1617"/>
      <c r="T2" s="550"/>
      <c r="U2" s="1616" t="s">
        <v>332</v>
      </c>
      <c r="V2" s="1617"/>
      <c r="W2" s="550"/>
      <c r="X2" s="1616" t="s">
        <v>335</v>
      </c>
      <c r="Y2" s="1617"/>
      <c r="Z2" s="550"/>
      <c r="AA2" s="1616" t="s">
        <v>335</v>
      </c>
      <c r="AB2" s="1617"/>
      <c r="AC2" s="550"/>
      <c r="AD2" s="1616" t="s">
        <v>336</v>
      </c>
      <c r="AE2" s="1617"/>
      <c r="AF2" s="550"/>
      <c r="AG2" s="1616" t="s">
        <v>336</v>
      </c>
      <c r="AH2" s="1617"/>
      <c r="AI2" s="550"/>
      <c r="AJ2" s="1616" t="s">
        <v>337</v>
      </c>
      <c r="AK2" s="1617"/>
      <c r="AL2" s="550"/>
      <c r="AM2" s="1628" t="s">
        <v>337</v>
      </c>
      <c r="AN2" s="1617"/>
    </row>
    <row r="3" spans="1:41" x14ac:dyDescent="0.2">
      <c r="A3" s="1623"/>
      <c r="B3" s="1623"/>
      <c r="C3" s="1623"/>
      <c r="D3" s="1623"/>
      <c r="E3" s="1623"/>
      <c r="F3" s="1615"/>
      <c r="G3" s="1615"/>
      <c r="H3" s="1615"/>
      <c r="I3" s="1615"/>
      <c r="J3" s="1615"/>
      <c r="K3" s="1621"/>
      <c r="L3" s="1616" t="s">
        <v>462</v>
      </c>
      <c r="M3" s="1617"/>
      <c r="N3" s="550"/>
      <c r="O3" s="1616" t="s">
        <v>463</v>
      </c>
      <c r="P3" s="1617"/>
      <c r="Q3" s="550"/>
      <c r="R3" s="1616" t="s">
        <v>462</v>
      </c>
      <c r="S3" s="1617"/>
      <c r="T3" s="550"/>
      <c r="U3" s="1616" t="s">
        <v>463</v>
      </c>
      <c r="V3" s="1617"/>
      <c r="W3" s="550"/>
      <c r="X3" s="1616" t="s">
        <v>462</v>
      </c>
      <c r="Y3" s="1617"/>
      <c r="Z3" s="550"/>
      <c r="AA3" s="1616" t="s">
        <v>463</v>
      </c>
      <c r="AB3" s="1617"/>
      <c r="AC3" s="550"/>
      <c r="AD3" s="1616" t="s">
        <v>462</v>
      </c>
      <c r="AE3" s="1617"/>
      <c r="AF3" s="550"/>
      <c r="AG3" s="1616" t="s">
        <v>463</v>
      </c>
      <c r="AH3" s="1617"/>
      <c r="AI3" s="550"/>
      <c r="AJ3" s="1616" t="s">
        <v>462</v>
      </c>
      <c r="AK3" s="1617"/>
      <c r="AL3" s="550"/>
      <c r="AM3" s="1628" t="s">
        <v>463</v>
      </c>
      <c r="AN3" s="1617"/>
    </row>
    <row r="4" spans="1:41" ht="76.5" x14ac:dyDescent="0.2">
      <c r="A4" s="1624"/>
      <c r="B4" s="1624"/>
      <c r="C4" s="1624"/>
      <c r="D4" s="1624"/>
      <c r="E4" s="1624"/>
      <c r="F4" s="1615"/>
      <c r="G4" s="1615"/>
      <c r="H4" s="232" t="s">
        <v>410</v>
      </c>
      <c r="I4" s="232" t="s">
        <v>410</v>
      </c>
      <c r="J4" s="232" t="s">
        <v>410</v>
      </c>
      <c r="K4" s="531" t="s">
        <v>410</v>
      </c>
      <c r="L4" s="551" t="s">
        <v>484</v>
      </c>
      <c r="M4" s="41" t="s">
        <v>485</v>
      </c>
      <c r="N4" s="544" t="s">
        <v>2016</v>
      </c>
      <c r="O4" s="551" t="s">
        <v>484</v>
      </c>
      <c r="P4" s="41" t="s">
        <v>485</v>
      </c>
      <c r="Q4" s="544" t="s">
        <v>2016</v>
      </c>
      <c r="R4" s="551" t="s">
        <v>484</v>
      </c>
      <c r="S4" s="41" t="s">
        <v>485</v>
      </c>
      <c r="T4" s="544" t="s">
        <v>2016</v>
      </c>
      <c r="U4" s="551" t="s">
        <v>484</v>
      </c>
      <c r="V4" s="41" t="s">
        <v>485</v>
      </c>
      <c r="W4" s="544" t="s">
        <v>2016</v>
      </c>
      <c r="X4" s="551" t="s">
        <v>484</v>
      </c>
      <c r="Y4" s="41" t="s">
        <v>485</v>
      </c>
      <c r="Z4" s="544" t="s">
        <v>2016</v>
      </c>
      <c r="AA4" s="551" t="s">
        <v>484</v>
      </c>
      <c r="AB4" s="41" t="s">
        <v>485</v>
      </c>
      <c r="AC4" s="544" t="s">
        <v>2016</v>
      </c>
      <c r="AD4" s="551" t="s">
        <v>484</v>
      </c>
      <c r="AE4" s="41" t="s">
        <v>485</v>
      </c>
      <c r="AF4" s="544" t="s">
        <v>2016</v>
      </c>
      <c r="AG4" s="551" t="s">
        <v>484</v>
      </c>
      <c r="AH4" s="41" t="s">
        <v>485</v>
      </c>
      <c r="AI4" s="544" t="s">
        <v>2016</v>
      </c>
      <c r="AJ4" s="551" t="s">
        <v>484</v>
      </c>
      <c r="AK4" s="41" t="s">
        <v>485</v>
      </c>
      <c r="AL4" s="544" t="s">
        <v>2016</v>
      </c>
      <c r="AM4" s="548" t="s">
        <v>484</v>
      </c>
      <c r="AN4" s="41" t="s">
        <v>485</v>
      </c>
      <c r="AO4" s="544" t="s">
        <v>2016</v>
      </c>
    </row>
    <row r="5" spans="1:41" ht="11.25" customHeight="1" x14ac:dyDescent="0.2">
      <c r="A5" s="55" t="s">
        <v>1546</v>
      </c>
      <c r="B5" s="56" t="s">
        <v>1547</v>
      </c>
      <c r="C5" s="56" t="s">
        <v>1548</v>
      </c>
      <c r="D5" s="39" t="s">
        <v>1549</v>
      </c>
      <c r="E5" s="39" t="s">
        <v>1550</v>
      </c>
      <c r="F5" s="47" t="s">
        <v>1551</v>
      </c>
      <c r="G5" s="47" t="s">
        <v>1552</v>
      </c>
      <c r="H5" s="47" t="s">
        <v>1553</v>
      </c>
      <c r="I5" s="47" t="s">
        <v>1554</v>
      </c>
      <c r="J5" s="47" t="s">
        <v>1555</v>
      </c>
      <c r="K5" s="47" t="s">
        <v>1556</v>
      </c>
      <c r="L5" s="47" t="s">
        <v>1557</v>
      </c>
      <c r="M5" s="47" t="s">
        <v>1558</v>
      </c>
      <c r="N5" s="47" t="s">
        <v>1559</v>
      </c>
      <c r="O5" s="47" t="s">
        <v>1560</v>
      </c>
      <c r="P5" s="47" t="s">
        <v>1561</v>
      </c>
      <c r="Q5" s="47" t="s">
        <v>1562</v>
      </c>
      <c r="R5" s="47" t="s">
        <v>1563</v>
      </c>
      <c r="S5" s="47" t="s">
        <v>1564</v>
      </c>
      <c r="T5" s="47" t="s">
        <v>1565</v>
      </c>
      <c r="U5" s="47" t="s">
        <v>1566</v>
      </c>
      <c r="V5" s="47" t="s">
        <v>1567</v>
      </c>
      <c r="W5" s="47" t="s">
        <v>1568</v>
      </c>
      <c r="X5" s="47" t="s">
        <v>1569</v>
      </c>
      <c r="Y5" s="47" t="s">
        <v>1570</v>
      </c>
      <c r="Z5" s="47" t="s">
        <v>1571</v>
      </c>
      <c r="AA5" s="47" t="s">
        <v>1572</v>
      </c>
      <c r="AB5" s="47" t="s">
        <v>1573</v>
      </c>
      <c r="AC5" s="47" t="s">
        <v>1574</v>
      </c>
      <c r="AD5" s="47" t="s">
        <v>1575</v>
      </c>
      <c r="AE5" s="47" t="s">
        <v>1576</v>
      </c>
      <c r="AF5" s="47" t="s">
        <v>1577</v>
      </c>
      <c r="AG5" s="47" t="s">
        <v>1578</v>
      </c>
      <c r="AH5" s="47" t="s">
        <v>1579</v>
      </c>
      <c r="AI5" s="47" t="s">
        <v>1580</v>
      </c>
      <c r="AJ5" s="47" t="s">
        <v>1581</v>
      </c>
      <c r="AK5" s="47" t="s">
        <v>1582</v>
      </c>
      <c r="AL5" s="47" t="s">
        <v>1583</v>
      </c>
      <c r="AM5" s="47" t="s">
        <v>1584</v>
      </c>
      <c r="AN5" s="47" t="s">
        <v>1585</v>
      </c>
      <c r="AO5" s="47" t="s">
        <v>1586</v>
      </c>
    </row>
    <row r="6" spans="1:41" ht="11.25" customHeight="1" x14ac:dyDescent="0.2">
      <c r="A6" s="23" t="s">
        <v>734</v>
      </c>
      <c r="B6" s="23" t="s">
        <v>2392</v>
      </c>
      <c r="C6" s="23" t="s">
        <v>843</v>
      </c>
      <c r="D6" s="1" t="s">
        <v>844</v>
      </c>
      <c r="E6" s="1" t="s">
        <v>1544</v>
      </c>
      <c r="F6" s="15">
        <v>42005</v>
      </c>
      <c r="G6" s="15">
        <v>43435</v>
      </c>
      <c r="H6" s="2">
        <v>37320251.600000001</v>
      </c>
      <c r="I6" s="2">
        <v>45000000</v>
      </c>
      <c r="J6" s="2"/>
      <c r="K6" s="532">
        <v>45000000</v>
      </c>
      <c r="L6" s="538">
        <v>13590.02</v>
      </c>
      <c r="M6" s="19">
        <v>6612.0897000000004</v>
      </c>
      <c r="N6" s="539"/>
      <c r="O6" s="538">
        <v>1448.3</v>
      </c>
      <c r="P6" s="19">
        <v>358.63780000000003</v>
      </c>
      <c r="Q6" s="539"/>
      <c r="R6" s="538">
        <v>13500</v>
      </c>
      <c r="S6" s="19">
        <v>3427</v>
      </c>
      <c r="T6" s="539"/>
      <c r="U6" s="538">
        <v>800</v>
      </c>
      <c r="V6" s="19">
        <v>251</v>
      </c>
      <c r="W6" s="539"/>
      <c r="X6" s="538">
        <v>17</v>
      </c>
      <c r="Y6" s="19">
        <v>2.7614000000000001</v>
      </c>
      <c r="Z6" s="539"/>
      <c r="AA6" s="538">
        <v>2</v>
      </c>
      <c r="AB6" s="19">
        <v>0.1013</v>
      </c>
      <c r="AC6" s="539"/>
      <c r="AD6" s="538">
        <v>50</v>
      </c>
      <c r="AE6" s="19">
        <v>21.409199999999998</v>
      </c>
      <c r="AF6" s="539"/>
      <c r="AG6" s="538">
        <v>5</v>
      </c>
      <c r="AH6" s="19">
        <v>1.34</v>
      </c>
      <c r="AI6" s="539"/>
      <c r="AJ6" s="538">
        <v>33</v>
      </c>
      <c r="AK6" s="19">
        <v>18.6478</v>
      </c>
      <c r="AL6" s="539"/>
      <c r="AM6" s="535">
        <v>3</v>
      </c>
      <c r="AN6" s="43">
        <v>1.2386999999999999</v>
      </c>
      <c r="AO6" s="562"/>
    </row>
    <row r="7" spans="1:41" x14ac:dyDescent="0.2">
      <c r="A7" s="57"/>
      <c r="B7" s="32"/>
      <c r="C7" s="32"/>
      <c r="D7" s="32"/>
      <c r="E7" s="32"/>
      <c r="F7" s="32"/>
      <c r="G7" s="32"/>
      <c r="H7" s="309"/>
      <c r="I7" s="309"/>
      <c r="J7" s="309"/>
      <c r="K7" s="533"/>
      <c r="L7" s="552"/>
      <c r="M7" s="58"/>
      <c r="N7" s="553"/>
      <c r="O7" s="557"/>
      <c r="P7" s="33"/>
      <c r="Q7" s="541"/>
      <c r="R7" s="558"/>
      <c r="S7" s="33"/>
      <c r="T7" s="541"/>
      <c r="U7" s="540"/>
      <c r="V7" s="33"/>
      <c r="W7" s="541"/>
      <c r="X7" s="540"/>
      <c r="Y7" s="33"/>
      <c r="Z7" s="541"/>
      <c r="AA7" s="552"/>
      <c r="AB7" s="34"/>
      <c r="AC7" s="560"/>
      <c r="AD7" s="552"/>
      <c r="AE7" s="34"/>
      <c r="AF7" s="560"/>
      <c r="AG7" s="552"/>
      <c r="AH7" s="34"/>
      <c r="AI7" s="560"/>
      <c r="AJ7" s="552"/>
      <c r="AK7" s="34"/>
      <c r="AL7" s="560"/>
      <c r="AM7" s="559"/>
      <c r="AN7" s="35"/>
      <c r="AO7" s="562"/>
    </row>
    <row r="8" spans="1:41" x14ac:dyDescent="0.2">
      <c r="A8" s="431"/>
      <c r="B8" s="310"/>
      <c r="C8" s="310"/>
      <c r="D8" s="97"/>
      <c r="E8" s="97"/>
      <c r="F8" s="310"/>
      <c r="G8" s="310"/>
      <c r="H8" s="312">
        <f>SUBTOTAL(109,zelenadom[Stĺpec8])</f>
        <v>37320251.600000001</v>
      </c>
      <c r="I8" s="312">
        <f>SUBTOTAL(109,zelenadom[Stĺpec9])</f>
        <v>45000000</v>
      </c>
      <c r="J8" s="312">
        <f>SUBTOTAL(109,zelenadom[Stĺpec10])</f>
        <v>0</v>
      </c>
      <c r="K8" s="312">
        <f>SUBTOTAL(109,zelenadom[Stĺpec11])</f>
        <v>45000000</v>
      </c>
      <c r="L8" s="554">
        <f>SUBTOTAL(109,zelenadom[Stĺpec12])</f>
        <v>13590.02</v>
      </c>
      <c r="M8" s="311">
        <f>SUBTOTAL(109,zelenadom[Stĺpec13])</f>
        <v>6612.0897000000004</v>
      </c>
      <c r="N8" s="555">
        <f>SUM(zelenadom[Stĺpec14])</f>
        <v>0</v>
      </c>
      <c r="O8" s="554">
        <f>SUBTOTAL(109,zelenadom[Stĺpec15])</f>
        <v>1448.3</v>
      </c>
      <c r="P8" s="311">
        <f>SUBTOTAL(109,zelenadom[Stĺpec16])</f>
        <v>358.63780000000003</v>
      </c>
      <c r="Q8" s="555">
        <f>SUM(zelenadom[[#Headers],[#Data],[Stĺpec17]])</f>
        <v>0</v>
      </c>
      <c r="R8" s="554">
        <f>SUBTOTAL(109,zelenadom[Stĺpec18])</f>
        <v>13500</v>
      </c>
      <c r="S8" s="311">
        <f>SUBTOTAL(109,zelenadom[Stĺpec19])</f>
        <v>3427</v>
      </c>
      <c r="T8" s="555">
        <f>SUM(zelenadom[Stĺpec20])</f>
        <v>0</v>
      </c>
      <c r="U8" s="554">
        <f>SUBTOTAL(109,zelenadom[Stĺpec21])</f>
        <v>800</v>
      </c>
      <c r="V8" s="311">
        <f>SUBTOTAL(109,zelenadom[Stĺpec22])</f>
        <v>251</v>
      </c>
      <c r="W8" s="555">
        <f>SUM(zelenadom[Stĺpec23])</f>
        <v>0</v>
      </c>
      <c r="X8" s="554">
        <f>SUBTOTAL(109,zelenadom[Stĺpec24])</f>
        <v>17</v>
      </c>
      <c r="Y8" s="311">
        <f>SUBTOTAL(109,zelenadom[Stĺpec25])</f>
        <v>2.7614000000000001</v>
      </c>
      <c r="Z8" s="555">
        <f>SUM(zelenadom[Stĺpec26])</f>
        <v>0</v>
      </c>
      <c r="AA8" s="554">
        <f>SUBTOTAL(109,zelenadom[Stĺpec27])</f>
        <v>2</v>
      </c>
      <c r="AB8" s="311">
        <f>SUBTOTAL(109,zelenadom[Stĺpec28])</f>
        <v>0.1013</v>
      </c>
      <c r="AC8" s="555">
        <f>SUM(zelenadom[Stĺpec29])</f>
        <v>0</v>
      </c>
      <c r="AD8" s="554">
        <f>SUBTOTAL(109,zelenadom[Stĺpec30])</f>
        <v>50</v>
      </c>
      <c r="AE8" s="311">
        <f>SUBTOTAL(109,zelenadom[Stĺpec31])</f>
        <v>21.409199999999998</v>
      </c>
      <c r="AF8" s="555">
        <f>SUM(zelenadom[Stĺpec32])</f>
        <v>0</v>
      </c>
      <c r="AG8" s="554">
        <f>SUBTOTAL(109,zelenadom[Stĺpec33])</f>
        <v>5</v>
      </c>
      <c r="AH8" s="311">
        <f>SUBTOTAL(109,zelenadom[Stĺpec34])</f>
        <v>1.34</v>
      </c>
      <c r="AI8" s="555">
        <f>SUM(zelenadom[Stĺpec35])</f>
        <v>0</v>
      </c>
      <c r="AJ8" s="554">
        <f>SUBTOTAL(109,zelenadom[Stĺpec36])</f>
        <v>33</v>
      </c>
      <c r="AK8" s="311">
        <f>SUBTOTAL(109,zelenadom[Stĺpec37])</f>
        <v>18.6478</v>
      </c>
      <c r="AL8" s="555">
        <f>SUM(zelenadom[Stĺpec38])</f>
        <v>0</v>
      </c>
      <c r="AM8" s="549">
        <f>SUBTOTAL(109,zelenadom[Stĺpec39])</f>
        <v>3</v>
      </c>
      <c r="AN8" s="311">
        <f>SUBTOTAL(109,zelenadom[Stĺpec40])</f>
        <v>1.2386999999999999</v>
      </c>
      <c r="AO8" s="562">
        <f>SUM(AO6:AO7)</f>
        <v>0</v>
      </c>
    </row>
  </sheetData>
  <sheetProtection algorithmName="SHA-512" hashValue="lHXhPaFRWjgJuRdQ5G87kOHfOVgU9FjR1s2jN1s2CP+JIAPXxfrwP/9wfpGZhT8+ZwD3k3LWpcv/KCZqRRudOw==" saltValue="6qzESx1jflAGWrC9Sy1Oug==" spinCount="100000" sheet="1" objects="1" scenarios="1"/>
  <mergeCells count="41">
    <mergeCell ref="F1:F4"/>
    <mergeCell ref="AJ3:AK3"/>
    <mergeCell ref="AM3:AN3"/>
    <mergeCell ref="X3:Y3"/>
    <mergeCell ref="AD1:AE1"/>
    <mergeCell ref="AA2:AB2"/>
    <mergeCell ref="AA1:AB1"/>
    <mergeCell ref="AD2:AE2"/>
    <mergeCell ref="AG1:AH1"/>
    <mergeCell ref="AG2:AH2"/>
    <mergeCell ref="AJ1:AK1"/>
    <mergeCell ref="AA3:AB3"/>
    <mergeCell ref="AD3:AE3"/>
    <mergeCell ref="AG3:AH3"/>
    <mergeCell ref="AJ2:AK2"/>
    <mergeCell ref="U1:V1"/>
    <mergeCell ref="X1:Y1"/>
    <mergeCell ref="X2:Y2"/>
    <mergeCell ref="AM1:AN1"/>
    <mergeCell ref="AM2:AN2"/>
    <mergeCell ref="O3:P3"/>
    <mergeCell ref="U2:V2"/>
    <mergeCell ref="R3:S3"/>
    <mergeCell ref="U3:V3"/>
    <mergeCell ref="O1:Q1"/>
    <mergeCell ref="R1:T1"/>
    <mergeCell ref="A1:A4"/>
    <mergeCell ref="B1:B4"/>
    <mergeCell ref="C1:C4"/>
    <mergeCell ref="D1:D4"/>
    <mergeCell ref="E1:E4"/>
    <mergeCell ref="G1:G4"/>
    <mergeCell ref="L3:M3"/>
    <mergeCell ref="L2:M2"/>
    <mergeCell ref="O2:P2"/>
    <mergeCell ref="R2:S2"/>
    <mergeCell ref="L1:N1"/>
    <mergeCell ref="H1:H3"/>
    <mergeCell ref="I1:I3"/>
    <mergeCell ref="J1:J3"/>
    <mergeCell ref="K1:K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C7"/>
  <sheetViews>
    <sheetView topLeftCell="AC1" workbookViewId="0">
      <selection activeCell="AQ6" sqref="AQ6"/>
    </sheetView>
  </sheetViews>
  <sheetFormatPr defaultRowHeight="15" x14ac:dyDescent="0.25"/>
  <cols>
    <col min="1" max="1" width="10.85546875" style="6" bestFit="1" customWidth="1"/>
    <col min="2" max="2" width="29.7109375" customWidth="1"/>
    <col min="3" max="3" width="9.85546875" customWidth="1"/>
    <col min="4" max="4" width="22" bestFit="1" customWidth="1"/>
    <col min="5" max="5" width="36.42578125" bestFit="1" customWidth="1"/>
    <col min="6" max="12" width="16.42578125" customWidth="1"/>
    <col min="13" max="75" width="11.42578125" customWidth="1"/>
    <col min="76" max="76" width="12.42578125" bestFit="1" customWidth="1"/>
    <col min="77" max="78" width="11.42578125" customWidth="1"/>
    <col min="79" max="79" width="12.42578125" bestFit="1" customWidth="1"/>
    <col min="80" max="81" width="11.42578125" customWidth="1"/>
  </cols>
  <sheetData>
    <row r="1" spans="1:81" s="13" customFormat="1" ht="65.25" customHeight="1" x14ac:dyDescent="0.25">
      <c r="A1" s="1548" t="s">
        <v>476</v>
      </c>
      <c r="B1" s="1548" t="s">
        <v>477</v>
      </c>
      <c r="C1" s="667"/>
      <c r="D1" s="1548" t="s">
        <v>478</v>
      </c>
      <c r="E1" s="1548" t="s">
        <v>479</v>
      </c>
      <c r="F1" s="1548" t="s">
        <v>481</v>
      </c>
      <c r="G1" s="1550" t="s">
        <v>976</v>
      </c>
      <c r="H1" s="1550" t="s">
        <v>684</v>
      </c>
      <c r="I1" s="1550" t="s">
        <v>2020</v>
      </c>
      <c r="J1" s="1550" t="s">
        <v>2021</v>
      </c>
      <c r="K1" s="1550" t="s">
        <v>2032</v>
      </c>
      <c r="L1" s="1572" t="s">
        <v>2022</v>
      </c>
      <c r="M1" s="1560" t="s">
        <v>85</v>
      </c>
      <c r="N1" s="1561"/>
      <c r="O1" s="1562"/>
      <c r="P1" s="1560" t="s">
        <v>85</v>
      </c>
      <c r="Q1" s="1561"/>
      <c r="R1" s="1562"/>
      <c r="S1" s="1560" t="s">
        <v>334</v>
      </c>
      <c r="T1" s="1561"/>
      <c r="U1" s="1562"/>
      <c r="V1" s="1560" t="s">
        <v>334</v>
      </c>
      <c r="W1" s="1561"/>
      <c r="X1" s="1562"/>
      <c r="Y1" s="1560" t="s">
        <v>88</v>
      </c>
      <c r="Z1" s="1561"/>
      <c r="AA1" s="1562"/>
      <c r="AB1" s="1611" t="s">
        <v>88</v>
      </c>
      <c r="AC1" s="1559"/>
      <c r="AD1" s="670"/>
      <c r="AE1" s="1559" t="s">
        <v>83</v>
      </c>
      <c r="AF1" s="1559"/>
      <c r="AG1" s="674"/>
      <c r="AH1" s="1586" t="s">
        <v>83</v>
      </c>
      <c r="AI1" s="1611"/>
      <c r="AJ1" s="675"/>
      <c r="AK1" s="1559" t="s">
        <v>90</v>
      </c>
      <c r="AL1" s="1559"/>
      <c r="AM1" s="670"/>
      <c r="AN1" s="1559" t="s">
        <v>90</v>
      </c>
      <c r="AO1" s="1559"/>
      <c r="AP1" s="670"/>
      <c r="AQ1" s="1559" t="s">
        <v>85</v>
      </c>
      <c r="AR1" s="1559"/>
      <c r="AS1" s="670"/>
      <c r="AT1" s="1559" t="s">
        <v>92</v>
      </c>
      <c r="AU1" s="1559"/>
      <c r="AV1" s="670"/>
      <c r="AW1" s="1559" t="s">
        <v>98</v>
      </c>
      <c r="AX1" s="1559"/>
      <c r="AY1" s="670"/>
      <c r="AZ1" s="1559" t="s">
        <v>334</v>
      </c>
      <c r="BA1" s="1559"/>
      <c r="BB1" s="670"/>
      <c r="BC1" s="1559" t="s">
        <v>96</v>
      </c>
      <c r="BD1" s="1559"/>
      <c r="BE1" s="670"/>
      <c r="BF1" s="1559" t="s">
        <v>707</v>
      </c>
      <c r="BG1" s="1559"/>
      <c r="BH1" s="670"/>
      <c r="BI1" s="1559" t="s">
        <v>708</v>
      </c>
      <c r="BJ1" s="1559"/>
      <c r="BK1" s="670"/>
      <c r="BL1" s="1559" t="s">
        <v>88</v>
      </c>
      <c r="BM1" s="1559"/>
      <c r="BN1" s="670"/>
      <c r="BO1" s="1559" t="s">
        <v>83</v>
      </c>
      <c r="BP1" s="1559"/>
      <c r="BQ1" s="670"/>
      <c r="BR1" s="1559" t="s">
        <v>90</v>
      </c>
      <c r="BS1" s="1559"/>
      <c r="BT1" s="670"/>
      <c r="BU1" s="1559" t="s">
        <v>85</v>
      </c>
      <c r="BV1" s="1559"/>
      <c r="BW1" s="670"/>
      <c r="BX1" s="1559" t="s">
        <v>110</v>
      </c>
      <c r="BY1" s="1559"/>
      <c r="BZ1" s="670"/>
      <c r="CA1" s="1613" t="s">
        <v>706</v>
      </c>
      <c r="CB1" s="1614"/>
      <c r="CC1" s="1614"/>
    </row>
    <row r="2" spans="1:81" s="13" customFormat="1" x14ac:dyDescent="0.25">
      <c r="A2" s="1549"/>
      <c r="B2" s="1549"/>
      <c r="C2" s="668"/>
      <c r="D2" s="1549"/>
      <c r="E2" s="1549"/>
      <c r="F2" s="1549"/>
      <c r="G2" s="1550"/>
      <c r="H2" s="1550"/>
      <c r="I2" s="1550"/>
      <c r="J2" s="1550"/>
      <c r="K2" s="1550"/>
      <c r="L2" s="1572"/>
      <c r="M2" s="1563" t="s">
        <v>331</v>
      </c>
      <c r="N2" s="1570"/>
      <c r="O2" s="1564"/>
      <c r="P2" s="1563" t="s">
        <v>331</v>
      </c>
      <c r="Q2" s="1570"/>
      <c r="R2" s="1564"/>
      <c r="S2" s="1563" t="s">
        <v>333</v>
      </c>
      <c r="T2" s="1570"/>
      <c r="U2" s="1564"/>
      <c r="V2" s="1563" t="s">
        <v>333</v>
      </c>
      <c r="W2" s="1570"/>
      <c r="X2" s="1564"/>
      <c r="Y2" s="1563" t="s">
        <v>335</v>
      </c>
      <c r="Z2" s="1570"/>
      <c r="AA2" s="1564"/>
      <c r="AB2" s="1612" t="s">
        <v>335</v>
      </c>
      <c r="AC2" s="1558"/>
      <c r="AD2" s="671"/>
      <c r="AE2" s="1558" t="s">
        <v>336</v>
      </c>
      <c r="AF2" s="1558"/>
      <c r="AG2" s="671"/>
      <c r="AH2" s="1558" t="s">
        <v>336</v>
      </c>
      <c r="AI2" s="1558"/>
      <c r="AJ2" s="671"/>
      <c r="AK2" s="1558" t="s">
        <v>337</v>
      </c>
      <c r="AL2" s="1558"/>
      <c r="AM2" s="671"/>
      <c r="AN2" s="1558" t="s">
        <v>337</v>
      </c>
      <c r="AO2" s="1558"/>
      <c r="AP2" s="671"/>
      <c r="AQ2" s="1558" t="s">
        <v>331</v>
      </c>
      <c r="AR2" s="1558"/>
      <c r="AS2" s="671"/>
      <c r="AT2" s="1558" t="s">
        <v>339</v>
      </c>
      <c r="AU2" s="1558"/>
      <c r="AV2" s="671"/>
      <c r="AW2" s="1558" t="s">
        <v>340</v>
      </c>
      <c r="AX2" s="1558"/>
      <c r="AY2" s="671"/>
      <c r="AZ2" s="1558" t="s">
        <v>333</v>
      </c>
      <c r="BA2" s="1558"/>
      <c r="BB2" s="671"/>
      <c r="BC2" s="1558" t="s">
        <v>344</v>
      </c>
      <c r="BD2" s="1558"/>
      <c r="BE2" s="671"/>
      <c r="BF2" s="1558" t="s">
        <v>347</v>
      </c>
      <c r="BG2" s="1558"/>
      <c r="BH2" s="671"/>
      <c r="BI2" s="1558" t="s">
        <v>352</v>
      </c>
      <c r="BJ2" s="1558"/>
      <c r="BK2" s="671"/>
      <c r="BL2" s="1558" t="s">
        <v>335</v>
      </c>
      <c r="BM2" s="1558"/>
      <c r="BN2" s="671"/>
      <c r="BO2" s="1558" t="s">
        <v>336</v>
      </c>
      <c r="BP2" s="1558"/>
      <c r="BQ2" s="671"/>
      <c r="BR2" s="1558" t="s">
        <v>337</v>
      </c>
      <c r="BS2" s="1558"/>
      <c r="BT2" s="671"/>
      <c r="BU2" s="1558" t="s">
        <v>331</v>
      </c>
      <c r="BV2" s="1558"/>
      <c r="BW2" s="671"/>
      <c r="BX2" s="1558" t="s">
        <v>361</v>
      </c>
      <c r="BY2" s="1558"/>
      <c r="BZ2" s="671"/>
      <c r="CA2" s="1558" t="s">
        <v>364</v>
      </c>
      <c r="CB2" s="1558"/>
      <c r="CC2" s="545"/>
    </row>
    <row r="3" spans="1:81" s="13" customFormat="1" x14ac:dyDescent="0.25">
      <c r="A3" s="1549"/>
      <c r="B3" s="1549"/>
      <c r="C3" s="668"/>
      <c r="D3" s="1549"/>
      <c r="E3" s="1549"/>
      <c r="F3" s="1549"/>
      <c r="G3" s="1550"/>
      <c r="H3" s="1550"/>
      <c r="I3" s="1550"/>
      <c r="J3" s="1550"/>
      <c r="K3" s="1550"/>
      <c r="L3" s="1572"/>
      <c r="M3" s="1568" t="s">
        <v>446</v>
      </c>
      <c r="N3" s="1558"/>
      <c r="O3" s="673"/>
      <c r="P3" s="1568" t="s">
        <v>461</v>
      </c>
      <c r="Q3" s="1558"/>
      <c r="R3" s="673"/>
      <c r="S3" s="1563" t="s">
        <v>446</v>
      </c>
      <c r="T3" s="1570"/>
      <c r="U3" s="1564"/>
      <c r="V3" s="1563" t="s">
        <v>461</v>
      </c>
      <c r="W3" s="1570"/>
      <c r="X3" s="1564"/>
      <c r="Y3" s="1563" t="s">
        <v>446</v>
      </c>
      <c r="Z3" s="1570"/>
      <c r="AA3" s="1564"/>
      <c r="AB3" s="1612" t="s">
        <v>461</v>
      </c>
      <c r="AC3" s="1558"/>
      <c r="AD3" s="671"/>
      <c r="AE3" s="1558" t="s">
        <v>446</v>
      </c>
      <c r="AF3" s="1558"/>
      <c r="AG3" s="671"/>
      <c r="AH3" s="1558" t="s">
        <v>461</v>
      </c>
      <c r="AI3" s="1558"/>
      <c r="AJ3" s="671"/>
      <c r="AK3" s="1558" t="s">
        <v>446</v>
      </c>
      <c r="AL3" s="1558"/>
      <c r="AM3" s="671"/>
      <c r="AN3" s="1558" t="s">
        <v>461</v>
      </c>
      <c r="AO3" s="1558"/>
      <c r="AP3" s="671"/>
      <c r="AQ3" s="1558" t="s">
        <v>460</v>
      </c>
      <c r="AR3" s="1558"/>
      <c r="AS3" s="671"/>
      <c r="AT3" s="1558" t="s">
        <v>460</v>
      </c>
      <c r="AU3" s="1558"/>
      <c r="AV3" s="671"/>
      <c r="AW3" s="1558" t="s">
        <v>460</v>
      </c>
      <c r="AX3" s="1558"/>
      <c r="AY3" s="671"/>
      <c r="AZ3" s="1558" t="s">
        <v>460</v>
      </c>
      <c r="BA3" s="1558"/>
      <c r="BB3" s="671"/>
      <c r="BC3" s="1558" t="s">
        <v>460</v>
      </c>
      <c r="BD3" s="1558"/>
      <c r="BE3" s="671"/>
      <c r="BF3" s="1558" t="s">
        <v>460</v>
      </c>
      <c r="BG3" s="1558"/>
      <c r="BH3" s="671"/>
      <c r="BI3" s="1558" t="s">
        <v>460</v>
      </c>
      <c r="BJ3" s="1558"/>
      <c r="BK3" s="671"/>
      <c r="BL3" s="1558" t="s">
        <v>460</v>
      </c>
      <c r="BM3" s="1558"/>
      <c r="BN3" s="671"/>
      <c r="BO3" s="1558" t="s">
        <v>460</v>
      </c>
      <c r="BP3" s="1558"/>
      <c r="BQ3" s="671"/>
      <c r="BR3" s="1558" t="s">
        <v>460</v>
      </c>
      <c r="BS3" s="1558"/>
      <c r="BT3" s="671"/>
      <c r="BU3" s="1558" t="s">
        <v>447</v>
      </c>
      <c r="BV3" s="1558"/>
      <c r="BW3" s="671"/>
      <c r="BX3" s="1558" t="s">
        <v>447</v>
      </c>
      <c r="BY3" s="1558"/>
      <c r="BZ3" s="671"/>
      <c r="CA3" s="1558" t="s">
        <v>447</v>
      </c>
      <c r="CB3" s="1558"/>
      <c r="CC3" s="545"/>
    </row>
    <row r="4" spans="1:81" s="13" customFormat="1" ht="51" x14ac:dyDescent="0.25">
      <c r="A4" s="1554"/>
      <c r="B4" s="1554"/>
      <c r="C4" s="669"/>
      <c r="D4" s="1554"/>
      <c r="E4" s="1554"/>
      <c r="F4" s="1554"/>
      <c r="G4" s="1550"/>
      <c r="H4" s="1550"/>
      <c r="I4" s="666" t="s">
        <v>410</v>
      </c>
      <c r="J4" s="666" t="s">
        <v>410</v>
      </c>
      <c r="K4" s="666" t="s">
        <v>410</v>
      </c>
      <c r="L4" s="672" t="s">
        <v>410</v>
      </c>
      <c r="M4" s="424" t="s">
        <v>484</v>
      </c>
      <c r="N4" s="91" t="s">
        <v>485</v>
      </c>
      <c r="O4" s="498" t="s">
        <v>2016</v>
      </c>
      <c r="P4" s="424" t="s">
        <v>484</v>
      </c>
      <c r="Q4" s="91" t="s">
        <v>485</v>
      </c>
      <c r="R4" s="498" t="s">
        <v>2016</v>
      </c>
      <c r="S4" s="424" t="s">
        <v>484</v>
      </c>
      <c r="T4" s="91" t="s">
        <v>485</v>
      </c>
      <c r="U4" s="544" t="s">
        <v>2016</v>
      </c>
      <c r="V4" s="424" t="s">
        <v>484</v>
      </c>
      <c r="W4" s="91" t="s">
        <v>485</v>
      </c>
      <c r="X4" s="544" t="s">
        <v>2016</v>
      </c>
      <c r="Y4" s="424" t="s">
        <v>484</v>
      </c>
      <c r="Z4" s="91" t="s">
        <v>485</v>
      </c>
      <c r="AA4" s="544" t="s">
        <v>2016</v>
      </c>
      <c r="AB4" s="480" t="s">
        <v>484</v>
      </c>
      <c r="AC4" s="91" t="s">
        <v>485</v>
      </c>
      <c r="AD4" s="91"/>
      <c r="AE4" s="91" t="s">
        <v>484</v>
      </c>
      <c r="AF4" s="91" t="s">
        <v>485</v>
      </c>
      <c r="AG4" s="91"/>
      <c r="AH4" s="91" t="s">
        <v>484</v>
      </c>
      <c r="AI4" s="91" t="s">
        <v>485</v>
      </c>
      <c r="AJ4" s="91"/>
      <c r="AK4" s="91" t="s">
        <v>484</v>
      </c>
      <c r="AL4" s="91" t="s">
        <v>485</v>
      </c>
      <c r="AM4" s="91"/>
      <c r="AN4" s="91" t="s">
        <v>484</v>
      </c>
      <c r="AO4" s="91" t="s">
        <v>485</v>
      </c>
      <c r="AP4" s="91"/>
      <c r="AQ4" s="91" t="s">
        <v>484</v>
      </c>
      <c r="AR4" s="91" t="s">
        <v>485</v>
      </c>
      <c r="AS4" s="91"/>
      <c r="AT4" s="91" t="s">
        <v>484</v>
      </c>
      <c r="AU4" s="91" t="s">
        <v>485</v>
      </c>
      <c r="AV4" s="91"/>
      <c r="AW4" s="91" t="s">
        <v>484</v>
      </c>
      <c r="AX4" s="91" t="s">
        <v>485</v>
      </c>
      <c r="AY4" s="91"/>
      <c r="AZ4" s="91" t="s">
        <v>484</v>
      </c>
      <c r="BA4" s="91" t="s">
        <v>485</v>
      </c>
      <c r="BB4" s="91"/>
      <c r="BC4" s="91" t="s">
        <v>484</v>
      </c>
      <c r="BD4" s="91" t="s">
        <v>485</v>
      </c>
      <c r="BE4" s="91"/>
      <c r="BF4" s="91" t="s">
        <v>484</v>
      </c>
      <c r="BG4" s="91" t="s">
        <v>485</v>
      </c>
      <c r="BH4" s="91"/>
      <c r="BI4" s="91" t="s">
        <v>484</v>
      </c>
      <c r="BJ4" s="91" t="s">
        <v>485</v>
      </c>
      <c r="BK4" s="91"/>
      <c r="BL4" s="91" t="s">
        <v>484</v>
      </c>
      <c r="BM4" s="91" t="s">
        <v>485</v>
      </c>
      <c r="BN4" s="91"/>
      <c r="BO4" s="91" t="s">
        <v>484</v>
      </c>
      <c r="BP4" s="91" t="s">
        <v>485</v>
      </c>
      <c r="BQ4" s="91"/>
      <c r="BR4" s="91" t="s">
        <v>484</v>
      </c>
      <c r="BS4" s="91" t="s">
        <v>485</v>
      </c>
      <c r="BT4" s="91"/>
      <c r="BU4" s="91" t="s">
        <v>484</v>
      </c>
      <c r="BV4" s="91" t="s">
        <v>485</v>
      </c>
      <c r="BW4" s="91"/>
      <c r="BX4" s="91" t="s">
        <v>484</v>
      </c>
      <c r="BY4" s="91" t="s">
        <v>485</v>
      </c>
      <c r="BZ4" s="91"/>
      <c r="CA4" s="91" t="s">
        <v>484</v>
      </c>
      <c r="CB4" s="91" t="s">
        <v>485</v>
      </c>
      <c r="CC4" s="546"/>
    </row>
    <row r="5" spans="1:81" s="13" customFormat="1" ht="12.75" customHeight="1" x14ac:dyDescent="0.25">
      <c r="A5" s="44" t="s">
        <v>1546</v>
      </c>
      <c r="B5" s="45" t="s">
        <v>1547</v>
      </c>
      <c r="C5" s="45" t="s">
        <v>2447</v>
      </c>
      <c r="D5" s="39" t="s">
        <v>1548</v>
      </c>
      <c r="E5" s="46" t="s">
        <v>1549</v>
      </c>
      <c r="F5" s="39" t="s">
        <v>1550</v>
      </c>
      <c r="G5" s="47" t="s">
        <v>1551</v>
      </c>
      <c r="H5" s="47" t="s">
        <v>1552</v>
      </c>
      <c r="I5" s="47" t="s">
        <v>1553</v>
      </c>
      <c r="J5" s="47" t="s">
        <v>1554</v>
      </c>
      <c r="K5" s="47" t="s">
        <v>1555</v>
      </c>
      <c r="L5" s="47" t="s">
        <v>1556</v>
      </c>
      <c r="M5" s="47" t="s">
        <v>1557</v>
      </c>
      <c r="N5" s="47" t="s">
        <v>1558</v>
      </c>
      <c r="O5" s="47" t="s">
        <v>1559</v>
      </c>
      <c r="P5" s="47" t="s">
        <v>1560</v>
      </c>
      <c r="Q5" s="47" t="s">
        <v>1561</v>
      </c>
      <c r="R5" s="47" t="s">
        <v>1562</v>
      </c>
      <c r="S5" s="47" t="s">
        <v>1563</v>
      </c>
      <c r="T5" s="47" t="s">
        <v>1564</v>
      </c>
      <c r="U5" s="47" t="s">
        <v>1565</v>
      </c>
      <c r="V5" s="47" t="s">
        <v>1566</v>
      </c>
      <c r="W5" s="47" t="s">
        <v>1567</v>
      </c>
      <c r="X5" s="47" t="s">
        <v>1568</v>
      </c>
      <c r="Y5" s="47" t="s">
        <v>1569</v>
      </c>
      <c r="Z5" s="47" t="s">
        <v>1570</v>
      </c>
      <c r="AA5" s="47" t="s">
        <v>1571</v>
      </c>
      <c r="AB5" s="47" t="s">
        <v>1572</v>
      </c>
      <c r="AC5" s="47" t="s">
        <v>1573</v>
      </c>
      <c r="AD5" s="47" t="s">
        <v>1574</v>
      </c>
      <c r="AE5" s="47" t="s">
        <v>1575</v>
      </c>
      <c r="AF5" s="47" t="s">
        <v>1576</v>
      </c>
      <c r="AG5" s="47" t="s">
        <v>1577</v>
      </c>
      <c r="AH5" s="47" t="s">
        <v>1578</v>
      </c>
      <c r="AI5" s="47" t="s">
        <v>1579</v>
      </c>
      <c r="AJ5" s="47" t="s">
        <v>1580</v>
      </c>
      <c r="AK5" s="47" t="s">
        <v>1581</v>
      </c>
      <c r="AL5" s="47" t="s">
        <v>1582</v>
      </c>
      <c r="AM5" s="47" t="s">
        <v>1583</v>
      </c>
      <c r="AN5" s="47" t="s">
        <v>1584</v>
      </c>
      <c r="AO5" s="47" t="s">
        <v>1585</v>
      </c>
      <c r="AP5" s="47" t="s">
        <v>1586</v>
      </c>
      <c r="AQ5" s="47" t="s">
        <v>1587</v>
      </c>
      <c r="AR5" s="47" t="s">
        <v>1588</v>
      </c>
      <c r="AS5" s="47" t="s">
        <v>1589</v>
      </c>
      <c r="AT5" s="47" t="s">
        <v>1590</v>
      </c>
      <c r="AU5" s="47" t="s">
        <v>1591</v>
      </c>
      <c r="AV5" s="47" t="s">
        <v>1592</v>
      </c>
      <c r="AW5" s="47" t="s">
        <v>1593</v>
      </c>
      <c r="AX5" s="47" t="s">
        <v>1594</v>
      </c>
      <c r="AY5" s="47" t="s">
        <v>1595</v>
      </c>
      <c r="AZ5" s="47" t="s">
        <v>1596</v>
      </c>
      <c r="BA5" s="47" t="s">
        <v>1597</v>
      </c>
      <c r="BB5" s="47" t="s">
        <v>1598</v>
      </c>
      <c r="BC5" s="47" t="s">
        <v>2420</v>
      </c>
      <c r="BD5" s="47" t="s">
        <v>2421</v>
      </c>
      <c r="BE5" s="47" t="s">
        <v>2422</v>
      </c>
      <c r="BF5" s="47" t="s">
        <v>2423</v>
      </c>
      <c r="BG5" s="47" t="s">
        <v>2424</v>
      </c>
      <c r="BH5" s="47" t="s">
        <v>2425</v>
      </c>
      <c r="BI5" s="47" t="s">
        <v>2426</v>
      </c>
      <c r="BJ5" s="47" t="s">
        <v>2427</v>
      </c>
      <c r="BK5" s="47" t="s">
        <v>2039</v>
      </c>
      <c r="BL5" s="47" t="s">
        <v>2040</v>
      </c>
      <c r="BM5" s="47" t="s">
        <v>2041</v>
      </c>
      <c r="BN5" s="47" t="s">
        <v>2042</v>
      </c>
      <c r="BO5" s="47" t="s">
        <v>2428</v>
      </c>
      <c r="BP5" s="47" t="s">
        <v>2429</v>
      </c>
      <c r="BQ5" s="47" t="s">
        <v>2430</v>
      </c>
      <c r="BR5" s="47" t="s">
        <v>2431</v>
      </c>
      <c r="BS5" s="47" t="s">
        <v>2432</v>
      </c>
      <c r="BT5" s="47" t="s">
        <v>2433</v>
      </c>
      <c r="BU5" s="47" t="s">
        <v>2033</v>
      </c>
      <c r="BV5" s="47" t="s">
        <v>2034</v>
      </c>
      <c r="BW5" s="47" t="s">
        <v>2035</v>
      </c>
      <c r="BX5" s="47" t="s">
        <v>2036</v>
      </c>
      <c r="BY5" s="47" t="s">
        <v>2434</v>
      </c>
      <c r="BZ5" s="47" t="s">
        <v>2435</v>
      </c>
      <c r="CA5" s="47" t="s">
        <v>2436</v>
      </c>
      <c r="CB5" s="47" t="s">
        <v>2437</v>
      </c>
      <c r="CC5" s="47" t="s">
        <v>2438</v>
      </c>
    </row>
    <row r="6" spans="1:81" x14ac:dyDescent="0.25">
      <c r="A6" s="48" t="s">
        <v>800</v>
      </c>
      <c r="B6" s="49" t="s">
        <v>2391</v>
      </c>
      <c r="C6" s="49"/>
      <c r="D6" s="32" t="s">
        <v>855</v>
      </c>
      <c r="E6" s="50" t="s">
        <v>973</v>
      </c>
      <c r="F6" s="32" t="s">
        <v>1544</v>
      </c>
      <c r="G6" s="51">
        <v>42095</v>
      </c>
      <c r="H6" s="51">
        <v>45261</v>
      </c>
      <c r="I6" s="309">
        <v>20000000.199999999</v>
      </c>
      <c r="J6" s="309">
        <v>23529412</v>
      </c>
      <c r="K6" s="309"/>
      <c r="L6" s="533"/>
      <c r="M6" s="540">
        <v>0</v>
      </c>
      <c r="N6" s="33">
        <v>0</v>
      </c>
      <c r="O6" s="541"/>
      <c r="P6" s="722"/>
      <c r="Q6" s="33">
        <v>0</v>
      </c>
      <c r="R6" s="541"/>
      <c r="S6" s="540">
        <v>0</v>
      </c>
      <c r="T6" s="33">
        <v>0</v>
      </c>
      <c r="U6" s="541"/>
      <c r="V6" s="540">
        <v>0</v>
      </c>
      <c r="W6" s="33">
        <v>0</v>
      </c>
      <c r="X6" s="541"/>
      <c r="Y6" s="540">
        <v>0</v>
      </c>
      <c r="Z6" s="33">
        <v>0</v>
      </c>
      <c r="AA6" s="541"/>
      <c r="AB6" s="536">
        <v>0</v>
      </c>
      <c r="AC6" s="33">
        <v>0</v>
      </c>
      <c r="AD6" s="33"/>
      <c r="AE6" s="33">
        <v>0</v>
      </c>
      <c r="AF6" s="33">
        <v>0</v>
      </c>
      <c r="AG6" s="33"/>
      <c r="AH6" s="33">
        <v>0</v>
      </c>
      <c r="AI6" s="33">
        <v>0</v>
      </c>
      <c r="AJ6" s="33"/>
      <c r="AK6" s="33">
        <v>0</v>
      </c>
      <c r="AL6" s="33">
        <v>0</v>
      </c>
      <c r="AM6" s="33"/>
      <c r="AN6" s="33">
        <v>0</v>
      </c>
      <c r="AO6" s="33">
        <v>0</v>
      </c>
      <c r="AP6" s="33"/>
      <c r="AQ6" s="540">
        <v>18984</v>
      </c>
      <c r="AR6" s="33">
        <v>0</v>
      </c>
      <c r="AS6" s="33"/>
      <c r="AT6" s="33">
        <v>55</v>
      </c>
      <c r="AU6" s="33">
        <v>0</v>
      </c>
      <c r="AV6" s="33"/>
      <c r="AW6" s="33">
        <v>8</v>
      </c>
      <c r="AX6" s="33">
        <v>0</v>
      </c>
      <c r="AY6" s="33"/>
      <c r="AZ6" s="33">
        <v>45</v>
      </c>
      <c r="BA6" s="33">
        <v>0</v>
      </c>
      <c r="BB6" s="33"/>
      <c r="BC6" s="33">
        <v>4</v>
      </c>
      <c r="BD6" s="33">
        <v>0</v>
      </c>
      <c r="BE6" s="33"/>
      <c r="BF6" s="33">
        <v>51034</v>
      </c>
      <c r="BG6" s="33">
        <v>0</v>
      </c>
      <c r="BH6" s="33"/>
      <c r="BI6" s="33">
        <v>51034</v>
      </c>
      <c r="BJ6" s="33">
        <v>0</v>
      </c>
      <c r="BK6" s="33"/>
      <c r="BL6" s="33">
        <v>4</v>
      </c>
      <c r="BM6" s="33">
        <v>0</v>
      </c>
      <c r="BN6" s="33"/>
      <c r="BO6" s="33">
        <v>10</v>
      </c>
      <c r="BP6" s="33">
        <v>0</v>
      </c>
      <c r="BQ6" s="33"/>
      <c r="BR6" s="33">
        <v>6</v>
      </c>
      <c r="BS6" s="33">
        <v>0</v>
      </c>
      <c r="BT6" s="33"/>
      <c r="BU6" s="33">
        <v>0</v>
      </c>
      <c r="BV6" s="33">
        <v>0</v>
      </c>
      <c r="BW6" s="33"/>
      <c r="BX6" s="33">
        <v>0</v>
      </c>
      <c r="BY6" s="33">
        <v>0</v>
      </c>
      <c r="BZ6" s="33"/>
      <c r="CA6" s="33">
        <v>0</v>
      </c>
      <c r="CB6" s="52">
        <v>0</v>
      </c>
      <c r="CC6" s="33">
        <v>0</v>
      </c>
    </row>
    <row r="7" spans="1:81" x14ac:dyDescent="0.25">
      <c r="A7" s="723"/>
      <c r="B7" s="724"/>
      <c r="C7" s="724"/>
      <c r="D7" s="594"/>
      <c r="E7" s="725"/>
      <c r="F7" s="594"/>
      <c r="G7" s="726"/>
      <c r="H7" s="726"/>
      <c r="I7" s="727">
        <f>SUBTOTAL(109,fn41142143125[Stĺpec8])</f>
        <v>20000000.199999999</v>
      </c>
      <c r="J7" s="727">
        <f>SUBTOTAL(109,fn41142143125[Stĺpec9])</f>
        <v>23529412</v>
      </c>
      <c r="K7" s="727">
        <f>SUBTOTAL(109,fn41142143125[Stĺpec10])</f>
        <v>0</v>
      </c>
      <c r="L7" s="728">
        <f>SUBTOTAL(109,fn41142143125[Stĺpec11])</f>
        <v>0</v>
      </c>
      <c r="M7" s="729">
        <f>SUBTOTAL(109,fn41142143125[Stĺpec12])</f>
        <v>0</v>
      </c>
      <c r="N7" s="596">
        <f>SUBTOTAL(109,fn41142143125[Stĺpec13])</f>
        <v>0</v>
      </c>
      <c r="O7" s="730">
        <f>SUM(fn41142143125[Stĺpec14])</f>
        <v>0</v>
      </c>
      <c r="P7" s="729">
        <f>SUBTOTAL(109,fn41142143125[Stĺpec15])</f>
        <v>0</v>
      </c>
      <c r="Q7" s="596">
        <f>SUBTOTAL(109,fn41142143125[Stĺpec16])</f>
        <v>0</v>
      </c>
      <c r="R7" s="730">
        <f>SUM(fn41142143125[Stĺpec17])</f>
        <v>0</v>
      </c>
      <c r="S7" s="729">
        <f>SUBTOTAL(109,fn41142143125[Stĺpec18])</f>
        <v>0</v>
      </c>
      <c r="T7" s="596">
        <f>SUBTOTAL(109,fn41142143125[Stĺpec19])</f>
        <v>0</v>
      </c>
      <c r="U7" s="730">
        <f>SUM(fn41142143125[Stĺpec20])</f>
        <v>0</v>
      </c>
      <c r="V7" s="729">
        <f>SUBTOTAL(109,fn41142143125[Stĺpec21])</f>
        <v>0</v>
      </c>
      <c r="W7" s="596">
        <f>SUBTOTAL(109,fn41142143125[Stĺpec22])</f>
        <v>0</v>
      </c>
      <c r="X7" s="730">
        <f>SUM(fn41142143125[Stĺpec23])</f>
        <v>0</v>
      </c>
      <c r="Y7" s="729">
        <f>SUBTOTAL(109,fn41142143125[Stĺpec24])</f>
        <v>0</v>
      </c>
      <c r="Z7" s="596">
        <f>SUBTOTAL(109,fn41142143125[Stĺpec25])</f>
        <v>0</v>
      </c>
      <c r="AA7" s="730">
        <f>SUM(fn41142143125[Stĺpec26])</f>
        <v>0</v>
      </c>
      <c r="AB7" s="731">
        <f>SUBTOTAL(109,fn41142143125[Stĺpec27])</f>
        <v>0</v>
      </c>
      <c r="AC7" s="596">
        <f>SUBTOTAL(109,fn41142143125[Stĺpec28])</f>
        <v>0</v>
      </c>
      <c r="AD7" s="596">
        <f>SUM(fn41142143125[Stĺpec29])</f>
        <v>0</v>
      </c>
      <c r="AE7" s="596">
        <f>SUBTOTAL(109,fn41142143125[Stĺpec30])</f>
        <v>0</v>
      </c>
      <c r="AF7" s="596">
        <f>SUBTOTAL(109,fn41142143125[Stĺpec31])</f>
        <v>0</v>
      </c>
      <c r="AG7" s="596">
        <f>SUM(fn41142143125[Stĺpec32])</f>
        <v>0</v>
      </c>
      <c r="AH7" s="596">
        <f>SUBTOTAL(109,fn41142143125[Stĺpec33])</f>
        <v>0</v>
      </c>
      <c r="AI7" s="596">
        <f>SUBTOTAL(109,fn41142143125[Stĺpec34])</f>
        <v>0</v>
      </c>
      <c r="AJ7" s="596">
        <f>SUM(fn41142143125[Stĺpec35])</f>
        <v>0</v>
      </c>
      <c r="AK7" s="596">
        <f>SUBTOTAL(109,fn41142143125[Stĺpec36])</f>
        <v>0</v>
      </c>
      <c r="AL7" s="596">
        <f>SUBTOTAL(109,fn41142143125[Stĺpec37])</f>
        <v>0</v>
      </c>
      <c r="AM7" s="596">
        <f>SUM(fn41142143125[Stĺpec38])</f>
        <v>0</v>
      </c>
      <c r="AN7" s="596">
        <f>SUBTOTAL(109,fn41142143125[Stĺpec39])</f>
        <v>0</v>
      </c>
      <c r="AO7" s="596">
        <f>SUBTOTAL(109,fn41142143125[Stĺpec40])</f>
        <v>0</v>
      </c>
      <c r="AP7" s="596">
        <f>SUM(fn41142143125[Stĺpec41])</f>
        <v>0</v>
      </c>
      <c r="AQ7" s="596">
        <f>SUBTOTAL(109,fn41142143125[Stĺpec42])</f>
        <v>18984</v>
      </c>
      <c r="AR7" s="596">
        <f>SUBTOTAL(109,fn41142143125[Stĺpec43])</f>
        <v>0</v>
      </c>
      <c r="AS7" s="596">
        <f>SUM(fn41142143125[Stĺpec44])</f>
        <v>0</v>
      </c>
      <c r="AT7" s="596">
        <f>SUBTOTAL(109,fn41142143125[Stĺpec45])</f>
        <v>55</v>
      </c>
      <c r="AU7" s="596">
        <f>SUBTOTAL(109,fn41142143125[Stĺpec46])</f>
        <v>0</v>
      </c>
      <c r="AV7" s="596">
        <f>SUM(fn41142143125[Stĺpec47])</f>
        <v>0</v>
      </c>
      <c r="AW7" s="596">
        <f>SUBTOTAL(109,fn41142143125[Stĺpec48])</f>
        <v>8</v>
      </c>
      <c r="AX7" s="596">
        <f>SUBTOTAL(109,fn41142143125[Stĺpec49])</f>
        <v>0</v>
      </c>
      <c r="AY7" s="596">
        <f>SUM(fn41142143125[Stĺpec50])</f>
        <v>0</v>
      </c>
      <c r="AZ7" s="596">
        <f>SUBTOTAL(109,fn41142143125[Stĺpec51])</f>
        <v>45</v>
      </c>
      <c r="BA7" s="596">
        <f>SUBTOTAL(109,fn41142143125[Stĺpec52])</f>
        <v>0</v>
      </c>
      <c r="BB7" s="596">
        <f>SUM(fn41142143125[Stĺpec53])</f>
        <v>0</v>
      </c>
      <c r="BC7" s="596">
        <f>SUBTOTAL(109,fn41142143125[Stĺpec54])</f>
        <v>4</v>
      </c>
      <c r="BD7" s="596">
        <f>SUBTOTAL(109,fn41142143125[Stĺpec55])</f>
        <v>0</v>
      </c>
      <c r="BE7" s="596">
        <f>SUM(fn41142143125[Stĺpec56])</f>
        <v>0</v>
      </c>
      <c r="BF7" s="596">
        <f>SUBTOTAL(109,fn41142143125[Stĺpec57])</f>
        <v>51034</v>
      </c>
      <c r="BG7" s="596">
        <f>SUBTOTAL(109,fn41142143125[Stĺpec58])</f>
        <v>0</v>
      </c>
      <c r="BH7" s="596">
        <f>SUM(fn41142143125[Stĺpec59])</f>
        <v>0</v>
      </c>
      <c r="BI7" s="596">
        <f>SUBTOTAL(109,fn41142143125[Stĺpec60])</f>
        <v>51034</v>
      </c>
      <c r="BJ7" s="596">
        <f>SUBTOTAL(109,fn41142143125[Stĺpec61])</f>
        <v>0</v>
      </c>
      <c r="BK7" s="596">
        <f>SUM(fn41142143125[Stĺpec62])</f>
        <v>0</v>
      </c>
      <c r="BL7" s="596">
        <f>SUBTOTAL(109,fn41142143125[Stĺpec63])</f>
        <v>4</v>
      </c>
      <c r="BM7" s="596">
        <f>SUBTOTAL(109,fn41142143125[Stĺpec64])</f>
        <v>0</v>
      </c>
      <c r="BN7" s="596">
        <f>SUM(fn41142143125[Stĺpec65])</f>
        <v>0</v>
      </c>
      <c r="BO7" s="596">
        <f>SUBTOTAL(109,fn41142143125[Stĺpec66])</f>
        <v>10</v>
      </c>
      <c r="BP7" s="596">
        <f>SUBTOTAL(109,fn41142143125[Stĺpec67])</f>
        <v>0</v>
      </c>
      <c r="BQ7" s="596">
        <f>SUM(fn41142143125[Stĺpec68])</f>
        <v>0</v>
      </c>
      <c r="BR7" s="596">
        <f>SUBTOTAL(109,fn41142143125[Stĺpec69])</f>
        <v>6</v>
      </c>
      <c r="BS7" s="596">
        <f>SUBTOTAL(109,fn41142143125[Stĺpec70])</f>
        <v>0</v>
      </c>
      <c r="BT7" s="596">
        <f>SUM(fn41142143125[Stĺpec71])</f>
        <v>0</v>
      </c>
      <c r="BU7" s="596">
        <f>SUBTOTAL(109,fn41142143125[Stĺpec72])</f>
        <v>0</v>
      </c>
      <c r="BV7" s="596">
        <f>SUBTOTAL(109,fn41142143125[Stĺpec73])</f>
        <v>0</v>
      </c>
      <c r="BW7" s="596">
        <f>SUM(fn41142143125[Stĺpec74])</f>
        <v>0</v>
      </c>
      <c r="BX7" s="596">
        <f>SUBTOTAL(109,fn41142143125[Stĺpec75])</f>
        <v>0</v>
      </c>
      <c r="BY7" s="596">
        <f>SUBTOTAL(109,fn41142143125[Stĺpec76])</f>
        <v>0</v>
      </c>
      <c r="BZ7" s="596">
        <f>SUM(fn41142143125[Stĺpec77])</f>
        <v>0</v>
      </c>
      <c r="CA7" s="596">
        <f>SUBTOTAL(109,fn41142143125[Stĺpec78])</f>
        <v>0</v>
      </c>
      <c r="CB7" s="596">
        <f>SUBTOTAL(109,fn41142143125[Stĺpec79])</f>
        <v>0</v>
      </c>
      <c r="CC7" s="732">
        <f>SUBTOTAL(109,fn41142143125[Stĺpec80])</f>
        <v>0</v>
      </c>
    </row>
  </sheetData>
  <sheetProtection algorithmName="SHA-512" hashValue="KVPEncBStuwjdvHNwaWe4NsiP5f4jJqJBkPa5t4bCJymq8RoIsFC6HjZNiyDSGFaruOa8gA214V3WnpRqsXHAQ==" saltValue="0ZarC/8rZKAkF2S51hqkzQ==" spinCount="100000" sheet="1" objects="1" scenarios="1" autoFilter="0"/>
  <mergeCells count="80">
    <mergeCell ref="CA3:CB3"/>
    <mergeCell ref="AT3:AU3"/>
    <mergeCell ref="AW3:AX3"/>
    <mergeCell ref="AZ3:BA3"/>
    <mergeCell ref="BC3:BD3"/>
    <mergeCell ref="BF3:BG3"/>
    <mergeCell ref="BI3:BJ3"/>
    <mergeCell ref="BL3:BM3"/>
    <mergeCell ref="BO3:BP3"/>
    <mergeCell ref="BR3:BS3"/>
    <mergeCell ref="BU3:BV3"/>
    <mergeCell ref="BX3:BY3"/>
    <mergeCell ref="AB3:AC3"/>
    <mergeCell ref="AE3:AF3"/>
    <mergeCell ref="AH3:AI3"/>
    <mergeCell ref="AK3:AL3"/>
    <mergeCell ref="AN3:AO3"/>
    <mergeCell ref="AQ3:AR3"/>
    <mergeCell ref="BO2:BP2"/>
    <mergeCell ref="BR2:BS2"/>
    <mergeCell ref="BU2:BV2"/>
    <mergeCell ref="BX2:BY2"/>
    <mergeCell ref="AQ2:AR2"/>
    <mergeCell ref="AT2:AU2"/>
    <mergeCell ref="CA2:CB2"/>
    <mergeCell ref="M3:N3"/>
    <mergeCell ref="P3:Q3"/>
    <mergeCell ref="S3:U3"/>
    <mergeCell ref="V3:X3"/>
    <mergeCell ref="Y3:AA3"/>
    <mergeCell ref="AW2:AX2"/>
    <mergeCell ref="AZ2:BA2"/>
    <mergeCell ref="BC2:BD2"/>
    <mergeCell ref="BF2:BG2"/>
    <mergeCell ref="BI2:BJ2"/>
    <mergeCell ref="BL2:BM2"/>
    <mergeCell ref="AE2:AF2"/>
    <mergeCell ref="AH2:AI2"/>
    <mergeCell ref="AK2:AL2"/>
    <mergeCell ref="AN2:AO2"/>
    <mergeCell ref="BR1:BS1"/>
    <mergeCell ref="BU1:BV1"/>
    <mergeCell ref="BX1:BY1"/>
    <mergeCell ref="CA1:CC1"/>
    <mergeCell ref="M2:O2"/>
    <mergeCell ref="P2:R2"/>
    <mergeCell ref="S2:U2"/>
    <mergeCell ref="V2:X2"/>
    <mergeCell ref="Y2:AA2"/>
    <mergeCell ref="AB2:AC2"/>
    <mergeCell ref="AZ1:BA1"/>
    <mergeCell ref="BC1:BD1"/>
    <mergeCell ref="BF1:BG1"/>
    <mergeCell ref="BI1:BJ1"/>
    <mergeCell ref="BL1:BM1"/>
    <mergeCell ref="BO1:BP1"/>
    <mergeCell ref="AW1:AX1"/>
    <mergeCell ref="P1:R1"/>
    <mergeCell ref="S1:U1"/>
    <mergeCell ref="V1:X1"/>
    <mergeCell ref="Y1:AA1"/>
    <mergeCell ref="AB1:AC1"/>
    <mergeCell ref="AE1:AF1"/>
    <mergeCell ref="AH1:AI1"/>
    <mergeCell ref="AK1:AL1"/>
    <mergeCell ref="AN1:AO1"/>
    <mergeCell ref="AQ1:AR1"/>
    <mergeCell ref="AT1:AU1"/>
    <mergeCell ref="M1:O1"/>
    <mergeCell ref="A1:A4"/>
    <mergeCell ref="B1:B4"/>
    <mergeCell ref="D1:D4"/>
    <mergeCell ref="E1:E4"/>
    <mergeCell ref="F1:F4"/>
    <mergeCell ref="G1:G4"/>
    <mergeCell ref="H1:H4"/>
    <mergeCell ref="I1:I3"/>
    <mergeCell ref="J1:J3"/>
    <mergeCell ref="K1:K3"/>
    <mergeCell ref="L1:L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24"/>
  <sheetViews>
    <sheetView topLeftCell="B1" zoomScale="60" zoomScaleNormal="60" workbookViewId="0">
      <pane ySplit="6" topLeftCell="A7" activePane="bottomLeft" state="frozen"/>
      <selection activeCell="B1" sqref="B1"/>
      <selection pane="bottomLeft" activeCell="F2" sqref="F2"/>
    </sheetView>
  </sheetViews>
  <sheetFormatPr defaultRowHeight="12.75" x14ac:dyDescent="0.2"/>
  <cols>
    <col min="1" max="1" width="4.28515625" style="16" customWidth="1"/>
    <col min="2" max="2" width="17.5703125" style="16" customWidth="1"/>
    <col min="3" max="3" width="4.28515625" style="16" customWidth="1"/>
    <col min="4" max="4" width="42.5703125" style="16" customWidth="1"/>
    <col min="5" max="5" width="7.28515625" style="16" customWidth="1"/>
    <col min="6" max="6" width="40" style="16" customWidth="1"/>
    <col min="7" max="7" width="4" style="16" customWidth="1"/>
    <col min="8" max="8" width="59.5703125" style="16" customWidth="1"/>
    <col min="9" max="9" width="9.140625" style="16" customWidth="1"/>
    <col min="10" max="10" width="57.28515625" style="16" customWidth="1"/>
    <col min="11" max="11" width="11.140625" style="16" customWidth="1"/>
    <col min="12" max="12" width="9.140625" style="25"/>
    <col min="13" max="13" width="16.85546875" style="150" customWidth="1"/>
    <col min="14" max="14" width="14.85546875" style="150" customWidth="1"/>
    <col min="15" max="15" width="12.5703125" style="149" customWidth="1"/>
    <col min="16" max="16" width="13.140625" style="16" customWidth="1"/>
    <col min="17" max="18" width="12" style="149" customWidth="1"/>
    <col min="19" max="21" width="11.7109375" style="149" customWidth="1"/>
    <col min="22" max="22" width="12.42578125" style="16" customWidth="1"/>
    <col min="23" max="26" width="10.140625" style="16" customWidth="1"/>
    <col min="27" max="27" width="12.42578125" style="16" customWidth="1"/>
    <col min="28" max="16384" width="9.140625" style="16"/>
  </cols>
  <sheetData>
    <row r="1" spans="1:27" ht="43.5" customHeight="1" x14ac:dyDescent="0.35">
      <c r="B1" s="164" t="s">
        <v>1985</v>
      </c>
      <c r="C1" s="164"/>
      <c r="D1" s="165">
        <v>42794</v>
      </c>
    </row>
    <row r="2" spans="1:27" ht="43.5" customHeight="1" x14ac:dyDescent="0.25">
      <c r="B2" s="166" t="s">
        <v>1986</v>
      </c>
      <c r="C2" s="166"/>
      <c r="D2" s="448">
        <v>42898</v>
      </c>
    </row>
    <row r="3" spans="1:27" ht="21" customHeight="1" x14ac:dyDescent="0.2">
      <c r="D3" s="152"/>
    </row>
    <row r="4" spans="1:27" ht="24" customHeight="1" thickBot="1" x14ac:dyDescent="0.25">
      <c r="P4" s="1319"/>
      <c r="Q4" s="1319"/>
      <c r="R4" s="1319"/>
      <c r="S4" s="1319"/>
      <c r="T4" s="692"/>
      <c r="U4" s="1338"/>
      <c r="V4" s="1339"/>
      <c r="W4" s="1339"/>
      <c r="X4" s="1339"/>
      <c r="Y4" s="1339"/>
      <c r="Z4" s="693"/>
    </row>
    <row r="5" spans="1:27" ht="43.5" customHeight="1" thickTop="1" x14ac:dyDescent="0.2">
      <c r="A5" s="1320" t="s">
        <v>1898</v>
      </c>
      <c r="B5" s="1321"/>
      <c r="C5" s="1324" t="s">
        <v>1888</v>
      </c>
      <c r="D5" s="1321"/>
      <c r="E5" s="1326" t="s">
        <v>1851</v>
      </c>
      <c r="F5" s="1321"/>
      <c r="G5" s="1327" t="s">
        <v>1899</v>
      </c>
      <c r="H5" s="1321"/>
      <c r="I5" s="1328" t="s">
        <v>400</v>
      </c>
      <c r="J5" s="1321"/>
      <c r="K5" s="1329" t="s">
        <v>401</v>
      </c>
      <c r="L5" s="1329" t="s">
        <v>397</v>
      </c>
      <c r="M5" s="1331" t="s">
        <v>2446</v>
      </c>
      <c r="N5" s="1332" t="s">
        <v>2459</v>
      </c>
      <c r="O5" s="1333" t="s">
        <v>1999</v>
      </c>
      <c r="P5" s="1335" t="s">
        <v>2401</v>
      </c>
      <c r="Q5" s="1336"/>
      <c r="R5" s="1336"/>
      <c r="S5" s="1336"/>
      <c r="T5" s="1336"/>
      <c r="U5" s="1337"/>
      <c r="V5" s="1359" t="s">
        <v>2487</v>
      </c>
      <c r="W5" s="1360"/>
      <c r="X5" s="1360"/>
      <c r="Y5" s="1360"/>
      <c r="Z5" s="1361"/>
      <c r="AA5" s="1362"/>
    </row>
    <row r="6" spans="1:27" ht="87.75" customHeight="1" thickBot="1" x14ac:dyDescent="0.25">
      <c r="A6" s="1322"/>
      <c r="B6" s="1323"/>
      <c r="C6" s="1325"/>
      <c r="D6" s="1323"/>
      <c r="E6" s="1325"/>
      <c r="F6" s="1323"/>
      <c r="G6" s="1325"/>
      <c r="H6" s="1323"/>
      <c r="I6" s="1325"/>
      <c r="J6" s="1323"/>
      <c r="K6" s="1330"/>
      <c r="L6" s="1330"/>
      <c r="M6" s="1330"/>
      <c r="N6" s="1330"/>
      <c r="O6" s="1334"/>
      <c r="P6" s="331" t="s">
        <v>2418</v>
      </c>
      <c r="Q6" s="145" t="s">
        <v>2015</v>
      </c>
      <c r="R6" s="190" t="s">
        <v>2013</v>
      </c>
      <c r="S6" s="676" t="s">
        <v>2014</v>
      </c>
      <c r="T6" s="1340" t="s">
        <v>2445</v>
      </c>
      <c r="U6" s="1341"/>
      <c r="V6" s="681" t="s">
        <v>2418</v>
      </c>
      <c r="W6" s="665" t="s">
        <v>2017</v>
      </c>
      <c r="X6" s="664" t="s">
        <v>2012</v>
      </c>
      <c r="Y6" s="682" t="s">
        <v>1995</v>
      </c>
      <c r="Z6" s="1340" t="s">
        <v>2445</v>
      </c>
      <c r="AA6" s="1341"/>
    </row>
    <row r="7" spans="1:27" s="153" customFormat="1" ht="27" customHeight="1" thickTop="1" x14ac:dyDescent="0.25">
      <c r="A7" s="1284">
        <v>1</v>
      </c>
      <c r="B7" s="1342" t="s">
        <v>1927</v>
      </c>
      <c r="C7" s="175">
        <v>42736</v>
      </c>
      <c r="D7" s="469" t="s">
        <v>1902</v>
      </c>
      <c r="E7" s="183" t="s">
        <v>3</v>
      </c>
      <c r="F7" s="182" t="s">
        <v>1903</v>
      </c>
      <c r="G7" s="172" t="s">
        <v>1925</v>
      </c>
      <c r="H7" s="170" t="s">
        <v>1998</v>
      </c>
      <c r="I7" s="170" t="s">
        <v>26</v>
      </c>
      <c r="J7" s="133" t="s">
        <v>27</v>
      </c>
      <c r="K7" s="133" t="s">
        <v>154</v>
      </c>
      <c r="L7" s="181" t="s">
        <v>402</v>
      </c>
      <c r="M7" s="620">
        <f>'Vystup. ukazovatele programu'!M11</f>
        <v>21579</v>
      </c>
      <c r="N7" s="620">
        <f>'Vystup. ukazovatele programu'!N11</f>
        <v>8632</v>
      </c>
      <c r="O7" s="621"/>
      <c r="P7" s="332">
        <f>'Vystup. ukazovatele programu'!P11</f>
        <v>0</v>
      </c>
      <c r="Q7" s="622">
        <f>IF(M7=0,0,P7/M7)</f>
        <v>0</v>
      </c>
      <c r="R7" s="622">
        <f>IF(N7=0,0,P7/N7)</f>
        <v>0</v>
      </c>
      <c r="S7" s="677"/>
      <c r="T7" s="1363" t="s">
        <v>2448</v>
      </c>
      <c r="U7" s="1348" t="s">
        <v>2444</v>
      </c>
      <c r="V7" s="254">
        <f>'Vystup. ukazovatele programu'!X11</f>
        <v>43894.179000000018</v>
      </c>
      <c r="W7" s="622">
        <f>IF(M7=0,0,V7/M7)</f>
        <v>2.0341155289865154</v>
      </c>
      <c r="X7" s="717">
        <f>IF(N7=0,0,V7/N7)</f>
        <v>5.085053174235405</v>
      </c>
      <c r="Y7" s="622"/>
      <c r="Z7" s="1363" t="s">
        <v>2448</v>
      </c>
      <c r="AA7" s="1348" t="s">
        <v>2444</v>
      </c>
    </row>
    <row r="8" spans="1:27" s="153" customFormat="1" ht="87" customHeight="1" x14ac:dyDescent="0.25">
      <c r="A8" s="1285"/>
      <c r="B8" s="1343"/>
      <c r="C8" s="176"/>
      <c r="D8" s="177"/>
      <c r="E8" s="178"/>
      <c r="F8" s="179"/>
      <c r="G8" s="173" t="s">
        <v>1996</v>
      </c>
      <c r="H8" s="180" t="s">
        <v>2442</v>
      </c>
      <c r="I8" s="168" t="s">
        <v>28</v>
      </c>
      <c r="J8" s="168" t="s">
        <v>29</v>
      </c>
      <c r="K8" s="169" t="s">
        <v>155</v>
      </c>
      <c r="L8" s="119" t="s">
        <v>402</v>
      </c>
      <c r="M8" s="623">
        <f>'Vystup. ukazovatele programu'!M12</f>
        <v>329676</v>
      </c>
      <c r="N8" s="623">
        <f>'Vystup. ukazovatele programu'!N12</f>
        <v>34579</v>
      </c>
      <c r="O8" s="624"/>
      <c r="P8" s="248">
        <f>'Vystup. ukazovatele programu'!P12</f>
        <v>0</v>
      </c>
      <c r="Q8" s="625">
        <f>IF(M8=0,0,P8/M8)</f>
        <v>0</v>
      </c>
      <c r="R8" s="694">
        <f>IF(N8=0,0,P8/N8)</f>
        <v>0</v>
      </c>
      <c r="S8" s="695"/>
      <c r="T8" s="1364"/>
      <c r="U8" s="1349"/>
      <c r="V8" s="255">
        <f>'Vystup. ukazovatele programu'!X12</f>
        <v>27532</v>
      </c>
      <c r="W8" s="625">
        <f t="shared" ref="W8:W18" si="0">IF(M8=0,0,V8/M8)</f>
        <v>8.3512296921826282E-2</v>
      </c>
      <c r="X8" s="911">
        <f t="shared" ref="X8:X18" si="1">IF(N8=0,0,V8/N8)</f>
        <v>0.79620578964111166</v>
      </c>
      <c r="Y8" s="625"/>
      <c r="Z8" s="1364"/>
      <c r="AA8" s="1349"/>
    </row>
    <row r="9" spans="1:27" s="191" customFormat="1" ht="83.25" customHeight="1" x14ac:dyDescent="0.2">
      <c r="A9" s="1285"/>
      <c r="B9" s="1343"/>
      <c r="C9" s="366">
        <v>42767</v>
      </c>
      <c r="D9" s="193" t="s">
        <v>2004</v>
      </c>
      <c r="E9" s="367" t="s">
        <v>2</v>
      </c>
      <c r="F9" s="368" t="s">
        <v>1930</v>
      </c>
      <c r="G9" s="368" t="s">
        <v>1997</v>
      </c>
      <c r="H9" s="193" t="s">
        <v>2003</v>
      </c>
      <c r="I9" s="358" t="s">
        <v>2409</v>
      </c>
      <c r="J9" s="358" t="s">
        <v>2002</v>
      </c>
      <c r="K9" s="169" t="s">
        <v>163</v>
      </c>
      <c r="L9" s="196" t="s">
        <v>406</v>
      </c>
      <c r="M9" s="626">
        <f>'Vystup. ukazovatele programu'!M15</f>
        <v>205046</v>
      </c>
      <c r="N9" s="627"/>
      <c r="O9" s="628">
        <f>'Vystup. ukazovatele programu'!O15</f>
        <v>20505</v>
      </c>
      <c r="P9" s="247">
        <f>'Vystup. ukazovatele programu'!P15</f>
        <v>3500</v>
      </c>
      <c r="Q9" s="625">
        <f>IF(M9=0,0,P9/M9)</f>
        <v>1.7069340538220693E-2</v>
      </c>
      <c r="R9" s="694"/>
      <c r="S9" s="696">
        <f>IF(O9=0,0,P9/O9)</f>
        <v>0.17069007559131918</v>
      </c>
      <c r="T9" s="1364"/>
      <c r="U9" s="1349"/>
      <c r="V9" s="256">
        <f>'Vystup. ukazovatele programu'!X15</f>
        <v>172746</v>
      </c>
      <c r="W9" s="625">
        <f t="shared" si="0"/>
        <v>0.84247437160442051</v>
      </c>
      <c r="X9" s="625"/>
      <c r="Y9" s="718">
        <f>IF(O9=0,0,V9/O9)</f>
        <v>8.4245793708851497</v>
      </c>
      <c r="Z9" s="1364"/>
      <c r="AA9" s="1349"/>
    </row>
    <row r="10" spans="1:27" s="191" customFormat="1" ht="45" customHeight="1" x14ac:dyDescent="0.2">
      <c r="A10" s="1285"/>
      <c r="B10" s="1343"/>
      <c r="C10" s="192">
        <v>37347</v>
      </c>
      <c r="D10" s="174" t="s">
        <v>1891</v>
      </c>
      <c r="E10" s="194" t="s">
        <v>9</v>
      </c>
      <c r="F10" s="195" t="s">
        <v>1891</v>
      </c>
      <c r="G10" s="195" t="s">
        <v>1924</v>
      </c>
      <c r="H10" s="174" t="s">
        <v>1945</v>
      </c>
      <c r="I10" s="362" t="s">
        <v>56</v>
      </c>
      <c r="J10" s="362" t="s">
        <v>249</v>
      </c>
      <c r="K10" s="169" t="s">
        <v>248</v>
      </c>
      <c r="L10" s="196" t="s">
        <v>407</v>
      </c>
      <c r="M10" s="626">
        <f>'Vystup. ukazovatele programu'!M33</f>
        <v>125</v>
      </c>
      <c r="N10" s="626">
        <f>'Vystup. ukazovatele programu'!N33</f>
        <v>15</v>
      </c>
      <c r="O10" s="628"/>
      <c r="P10" s="248">
        <f>'Vystup. ukazovatele programu'!P33</f>
        <v>0</v>
      </c>
      <c r="Q10" s="625">
        <f>IF(M10=0,0,P10/M10)</f>
        <v>0</v>
      </c>
      <c r="R10" s="694">
        <f>IF(N10=0,0,P10/N10)</f>
        <v>0</v>
      </c>
      <c r="S10" s="696"/>
      <c r="T10" s="1364"/>
      <c r="U10" s="1349"/>
      <c r="V10" s="257">
        <f>'Vystup. ukazovatele programu'!X33</f>
        <v>0</v>
      </c>
      <c r="W10" s="625">
        <f t="shared" si="0"/>
        <v>0</v>
      </c>
      <c r="X10" s="694">
        <f t="shared" si="1"/>
        <v>0</v>
      </c>
      <c r="Y10" s="683"/>
      <c r="Z10" s="1364"/>
      <c r="AA10" s="1349"/>
    </row>
    <row r="11" spans="1:27" s="191" customFormat="1" ht="32.25" customHeight="1" thickBot="1" x14ac:dyDescent="0.25">
      <c r="A11" s="1286"/>
      <c r="B11" s="1344"/>
      <c r="C11" s="1351" t="s">
        <v>2029</v>
      </c>
      <c r="D11" s="1352"/>
      <c r="E11" s="1352"/>
      <c r="F11" s="1352"/>
      <c r="G11" s="1352"/>
      <c r="H11" s="1353"/>
      <c r="I11" s="198" t="s">
        <v>409</v>
      </c>
      <c r="J11" s="197" t="s">
        <v>2005</v>
      </c>
      <c r="K11" s="197"/>
      <c r="L11" s="199" t="s">
        <v>410</v>
      </c>
      <c r="M11" s="629">
        <v>1802207500</v>
      </c>
      <c r="N11" s="629">
        <v>430000000</v>
      </c>
      <c r="O11" s="630"/>
      <c r="P11" s="333">
        <f>'Vystup. ukazovatele programu'!P36</f>
        <v>39007393.560000002</v>
      </c>
      <c r="Q11" s="631">
        <f>IF(M11=0,0,P11/M11)</f>
        <v>2.1644229956872336E-2</v>
      </c>
      <c r="R11" s="697">
        <f t="shared" ref="R11:R22" si="2">IF(N11=0,0,P11/N11)</f>
        <v>9.071486874418605E-2</v>
      </c>
      <c r="S11" s="698"/>
      <c r="T11" s="1365"/>
      <c r="U11" s="1350"/>
      <c r="V11" s="334">
        <f>'Vystup. ukazovatele programu'!X36</f>
        <v>316346119.13</v>
      </c>
      <c r="W11" s="631">
        <f t="shared" si="0"/>
        <v>0.17553257276423498</v>
      </c>
      <c r="X11" s="912">
        <f t="shared" si="1"/>
        <v>0.73568864913953491</v>
      </c>
      <c r="Y11" s="684"/>
      <c r="Z11" s="1365"/>
      <c r="AA11" s="1350"/>
    </row>
    <row r="12" spans="1:27" s="191" customFormat="1" ht="58.5" customHeight="1" thickTop="1" x14ac:dyDescent="0.2">
      <c r="A12" s="1317">
        <v>2</v>
      </c>
      <c r="B12" s="1293" t="s">
        <v>1946</v>
      </c>
      <c r="C12" s="203">
        <v>42737</v>
      </c>
      <c r="D12" s="135" t="s">
        <v>2006</v>
      </c>
      <c r="E12" s="204" t="s">
        <v>10</v>
      </c>
      <c r="F12" s="200" t="s">
        <v>1892</v>
      </c>
      <c r="G12" s="200" t="s">
        <v>1997</v>
      </c>
      <c r="H12" s="135" t="s">
        <v>2443</v>
      </c>
      <c r="I12" s="135" t="s">
        <v>2000</v>
      </c>
      <c r="J12" s="135" t="s">
        <v>1947</v>
      </c>
      <c r="K12" s="135" t="s">
        <v>266</v>
      </c>
      <c r="L12" s="201" t="s">
        <v>406</v>
      </c>
      <c r="M12" s="632">
        <f>'Vystup. ukazovatele programu'!M37</f>
        <v>12744</v>
      </c>
      <c r="N12" s="633"/>
      <c r="O12" s="634">
        <f>'Vystup. ukazovatele programu'!O37</f>
        <v>5735</v>
      </c>
      <c r="P12" s="249">
        <f>'Vystup. ukazovatele programu'!P37</f>
        <v>0</v>
      </c>
      <c r="Q12" s="635">
        <f t="shared" ref="Q12:Q22" si="3">IF(M12=0,0,P12/M12)</f>
        <v>0</v>
      </c>
      <c r="R12" s="699"/>
      <c r="S12" s="700">
        <f>IF(O12=0,0,P12/O12)</f>
        <v>0</v>
      </c>
      <c r="T12" s="1366" t="s">
        <v>2449</v>
      </c>
      <c r="U12" s="1376" t="s">
        <v>2444</v>
      </c>
      <c r="V12" s="209">
        <f>'Vystup. ukazovatele programu'!X37</f>
        <v>0</v>
      </c>
      <c r="W12" s="635">
        <f t="shared" si="0"/>
        <v>0</v>
      </c>
      <c r="X12" s="699"/>
      <c r="Y12" s="719">
        <f>IF(O12=0,0,V12/O12)</f>
        <v>0</v>
      </c>
      <c r="Z12" s="1374" t="s">
        <v>2449</v>
      </c>
      <c r="AA12" s="1357" t="s">
        <v>2444</v>
      </c>
    </row>
    <row r="13" spans="1:27" s="191" customFormat="1" ht="41.25" customHeight="1" thickBot="1" x14ac:dyDescent="0.25">
      <c r="A13" s="1318"/>
      <c r="B13" s="1294"/>
      <c r="C13" s="1345" t="s">
        <v>2029</v>
      </c>
      <c r="D13" s="1346"/>
      <c r="E13" s="1346"/>
      <c r="F13" s="1346"/>
      <c r="G13" s="1346"/>
      <c r="H13" s="1347"/>
      <c r="I13" s="184" t="s">
        <v>409</v>
      </c>
      <c r="J13" s="184" t="s">
        <v>2009</v>
      </c>
      <c r="K13" s="184"/>
      <c r="L13" s="202" t="s">
        <v>410</v>
      </c>
      <c r="M13" s="636">
        <v>493348542</v>
      </c>
      <c r="N13" s="636">
        <v>118000000</v>
      </c>
      <c r="O13" s="637"/>
      <c r="P13" s="346">
        <f>'Vystup. ukazovatele programu'!P43</f>
        <v>0</v>
      </c>
      <c r="Q13" s="638">
        <f t="shared" si="3"/>
        <v>0</v>
      </c>
      <c r="R13" s="701">
        <f t="shared" si="2"/>
        <v>0</v>
      </c>
      <c r="S13" s="702"/>
      <c r="T13" s="1367"/>
      <c r="U13" s="1358"/>
      <c r="V13" s="348">
        <f>'Vystup. ukazovatele programu'!X43</f>
        <v>0</v>
      </c>
      <c r="W13" s="638">
        <f t="shared" si="0"/>
        <v>0</v>
      </c>
      <c r="X13" s="701">
        <f t="shared" si="1"/>
        <v>0</v>
      </c>
      <c r="Y13" s="701"/>
      <c r="Z13" s="1375"/>
      <c r="AA13" s="1358"/>
    </row>
    <row r="14" spans="1:27" s="191" customFormat="1" ht="28.5" customHeight="1" thickTop="1" x14ac:dyDescent="0.2">
      <c r="A14" s="1313">
        <v>3</v>
      </c>
      <c r="B14" s="1315" t="s">
        <v>1954</v>
      </c>
      <c r="C14" s="1301">
        <v>42738</v>
      </c>
      <c r="D14" s="1304" t="s">
        <v>1909</v>
      </c>
      <c r="E14" s="205" t="s">
        <v>13</v>
      </c>
      <c r="F14" s="206" t="s">
        <v>1910</v>
      </c>
      <c r="G14" s="207" t="s">
        <v>1925</v>
      </c>
      <c r="H14" s="208" t="s">
        <v>1956</v>
      </c>
      <c r="I14" s="208" t="s">
        <v>71</v>
      </c>
      <c r="J14" s="208" t="s">
        <v>1911</v>
      </c>
      <c r="K14" s="207" t="s">
        <v>289</v>
      </c>
      <c r="L14" s="215" t="s">
        <v>399</v>
      </c>
      <c r="M14" s="639">
        <f>'Vystup. ukazovatele programu'!M45</f>
        <v>2</v>
      </c>
      <c r="N14" s="639">
        <f>'Vystup. ukazovatele programu'!N45</f>
        <v>1</v>
      </c>
      <c r="O14" s="640"/>
      <c r="P14" s="250">
        <f>'Vystup. ukazovatele programu'!P45</f>
        <v>0</v>
      </c>
      <c r="Q14" s="641">
        <f t="shared" si="3"/>
        <v>0</v>
      </c>
      <c r="R14" s="703">
        <f t="shared" si="2"/>
        <v>0</v>
      </c>
      <c r="S14" s="704"/>
      <c r="T14" s="1368" t="s">
        <v>2448</v>
      </c>
      <c r="U14" s="1377" t="s">
        <v>2444</v>
      </c>
      <c r="V14" s="218">
        <f>'Vystup. ukazovatele programu'!X45</f>
        <v>0</v>
      </c>
      <c r="W14" s="641">
        <f t="shared" si="0"/>
        <v>0</v>
      </c>
      <c r="X14" s="703">
        <f t="shared" si="1"/>
        <v>0</v>
      </c>
      <c r="Y14" s="685"/>
      <c r="Z14" s="1368" t="s">
        <v>2448</v>
      </c>
      <c r="AA14" s="1377" t="s">
        <v>2444</v>
      </c>
    </row>
    <row r="15" spans="1:27" s="191" customFormat="1" ht="41.25" customHeight="1" x14ac:dyDescent="0.2">
      <c r="A15" s="1314"/>
      <c r="B15" s="1316"/>
      <c r="C15" s="1302"/>
      <c r="D15" s="1305"/>
      <c r="E15" s="659" t="s">
        <v>16</v>
      </c>
      <c r="F15" s="660" t="s">
        <v>1912</v>
      </c>
      <c r="G15" s="167" t="s">
        <v>1924</v>
      </c>
      <c r="H15" s="167" t="s">
        <v>1958</v>
      </c>
      <c r="I15" s="167" t="s">
        <v>56</v>
      </c>
      <c r="J15" s="167" t="s">
        <v>1973</v>
      </c>
      <c r="K15" s="167" t="s">
        <v>270</v>
      </c>
      <c r="L15" s="216" t="s">
        <v>407</v>
      </c>
      <c r="M15" s="642">
        <f>'Vystup. ukazovatele programu'!M46</f>
        <v>219</v>
      </c>
      <c r="N15" s="642">
        <f>'Vystup. ukazovatele programu'!N46</f>
        <v>77</v>
      </c>
      <c r="O15" s="643"/>
      <c r="P15" s="251">
        <f>'Vystup. ukazovatele programu'!P46</f>
        <v>0</v>
      </c>
      <c r="Q15" s="644">
        <f t="shared" si="3"/>
        <v>0</v>
      </c>
      <c r="R15" s="705">
        <f t="shared" si="2"/>
        <v>0</v>
      </c>
      <c r="S15" s="706"/>
      <c r="T15" s="1369"/>
      <c r="U15" s="1378"/>
      <c r="V15" s="219">
        <f>'Vystup. ukazovatele programu'!X46</f>
        <v>0</v>
      </c>
      <c r="W15" s="644">
        <f t="shared" si="0"/>
        <v>0</v>
      </c>
      <c r="X15" s="705">
        <f t="shared" si="1"/>
        <v>0</v>
      </c>
      <c r="Y15" s="686"/>
      <c r="Z15" s="1369"/>
      <c r="AA15" s="1378"/>
    </row>
    <row r="16" spans="1:27" s="191" customFormat="1" ht="44.25" customHeight="1" x14ac:dyDescent="0.2">
      <c r="A16" s="1314"/>
      <c r="B16" s="1316"/>
      <c r="C16" s="1303"/>
      <c r="D16" s="1306"/>
      <c r="E16" s="659" t="s">
        <v>17</v>
      </c>
      <c r="F16" s="660" t="s">
        <v>1894</v>
      </c>
      <c r="G16" s="210" t="s">
        <v>1925</v>
      </c>
      <c r="H16" s="167" t="s">
        <v>1960</v>
      </c>
      <c r="I16" s="167" t="s">
        <v>79</v>
      </c>
      <c r="J16" s="167" t="s">
        <v>1975</v>
      </c>
      <c r="K16" s="167" t="s">
        <v>316</v>
      </c>
      <c r="L16" s="216" t="s">
        <v>399</v>
      </c>
      <c r="M16" s="642">
        <f>'Vystup. ukazovatele programu'!M50</f>
        <v>4</v>
      </c>
      <c r="N16" s="642">
        <f>'Vystup. ukazovatele programu'!N50</f>
        <v>1</v>
      </c>
      <c r="O16" s="643"/>
      <c r="P16" s="252">
        <f>'Vystup. ukazovatele programu'!P50</f>
        <v>0</v>
      </c>
      <c r="Q16" s="644">
        <f t="shared" si="3"/>
        <v>0</v>
      </c>
      <c r="R16" s="705">
        <f t="shared" si="2"/>
        <v>0</v>
      </c>
      <c r="S16" s="706"/>
      <c r="T16" s="1369"/>
      <c r="U16" s="1378"/>
      <c r="V16" s="219">
        <f>'Vystup. ukazovatele programu'!X50</f>
        <v>1</v>
      </c>
      <c r="W16" s="644">
        <f t="shared" si="0"/>
        <v>0.25</v>
      </c>
      <c r="X16" s="733">
        <f t="shared" si="1"/>
        <v>1</v>
      </c>
      <c r="Y16" s="686"/>
      <c r="Z16" s="1369"/>
      <c r="AA16" s="1378"/>
    </row>
    <row r="17" spans="1:27" s="191" customFormat="1" ht="38.25" customHeight="1" thickBot="1" x14ac:dyDescent="0.25">
      <c r="A17" s="1314"/>
      <c r="B17" s="1316"/>
      <c r="C17" s="1298" t="s">
        <v>2029</v>
      </c>
      <c r="D17" s="1299"/>
      <c r="E17" s="1299"/>
      <c r="F17" s="1299"/>
      <c r="G17" s="1299"/>
      <c r="H17" s="1300"/>
      <c r="I17" s="211" t="s">
        <v>409</v>
      </c>
      <c r="J17" s="211" t="s">
        <v>2009</v>
      </c>
      <c r="K17" s="211"/>
      <c r="L17" s="217" t="s">
        <v>410</v>
      </c>
      <c r="M17" s="645">
        <v>306942787</v>
      </c>
      <c r="N17" s="645">
        <v>74603549</v>
      </c>
      <c r="O17" s="646"/>
      <c r="P17" s="347">
        <f>'Vystup. ukazovatele programu'!P51</f>
        <v>0</v>
      </c>
      <c r="Q17" s="647">
        <f t="shared" si="3"/>
        <v>0</v>
      </c>
      <c r="R17" s="707">
        <f>IF(N17=0,0,P17/N17)</f>
        <v>0</v>
      </c>
      <c r="S17" s="708"/>
      <c r="T17" s="1370"/>
      <c r="U17" s="1379"/>
      <c r="V17" s="350">
        <f>'Vystup. ukazovatele programu'!X51</f>
        <v>46728795.359999999</v>
      </c>
      <c r="W17" s="647">
        <f t="shared" si="0"/>
        <v>0.15223943138302187</v>
      </c>
      <c r="X17" s="707">
        <f t="shared" si="1"/>
        <v>0.62636156035954804</v>
      </c>
      <c r="Y17" s="687"/>
      <c r="Z17" s="1370"/>
      <c r="AA17" s="1379"/>
    </row>
    <row r="18" spans="1:27" s="191" customFormat="1" ht="180" customHeight="1" thickTop="1" x14ac:dyDescent="0.2">
      <c r="A18" s="1290">
        <v>4</v>
      </c>
      <c r="B18" s="1287" t="s">
        <v>1977</v>
      </c>
      <c r="C18" s="1310">
        <v>42739</v>
      </c>
      <c r="D18" s="1287" t="s">
        <v>1913</v>
      </c>
      <c r="E18" s="214" t="s">
        <v>14</v>
      </c>
      <c r="F18" s="212" t="s">
        <v>2001</v>
      </c>
      <c r="G18" s="212" t="s">
        <v>2007</v>
      </c>
      <c r="H18" s="213" t="s">
        <v>2008</v>
      </c>
      <c r="I18" s="213" t="s">
        <v>2400</v>
      </c>
      <c r="J18" s="220" t="s">
        <v>83</v>
      </c>
      <c r="K18" s="220" t="s">
        <v>336</v>
      </c>
      <c r="L18" s="221" t="s">
        <v>408</v>
      </c>
      <c r="M18" s="648">
        <f>'Vystup. ukazovatele programu'!M55</f>
        <v>570</v>
      </c>
      <c r="N18" s="649">
        <f>'Vystup. ukazovatele programu'!N55</f>
        <v>160</v>
      </c>
      <c r="O18" s="650"/>
      <c r="P18" s="909">
        <f>'Vystup. ukazovatele programu'!P55</f>
        <v>21.409199999999998</v>
      </c>
      <c r="Q18" s="617">
        <f>IF(M18=0,0,P18/M18)</f>
        <v>3.7559999999999996E-2</v>
      </c>
      <c r="R18" s="709">
        <f t="shared" si="2"/>
        <v>0.1338075</v>
      </c>
      <c r="S18" s="710"/>
      <c r="T18" s="1371" t="s">
        <v>2448</v>
      </c>
      <c r="U18" s="1354" t="s">
        <v>2444</v>
      </c>
      <c r="V18" s="910">
        <f>'Vystup. ukazovatele programu'!X55</f>
        <v>21.409199999999998</v>
      </c>
      <c r="W18" s="617">
        <f t="shared" si="0"/>
        <v>3.7559999999999996E-2</v>
      </c>
      <c r="X18" s="709">
        <f t="shared" si="1"/>
        <v>0.1338075</v>
      </c>
      <c r="Y18" s="688"/>
      <c r="Z18" s="1371" t="s">
        <v>2448</v>
      </c>
      <c r="AA18" s="1354" t="s">
        <v>2444</v>
      </c>
    </row>
    <row r="19" spans="1:27" s="191" customFormat="1" ht="42" customHeight="1" x14ac:dyDescent="0.2">
      <c r="A19" s="1291"/>
      <c r="B19" s="1288"/>
      <c r="C19" s="1311"/>
      <c r="D19" s="1312"/>
      <c r="E19" s="371" t="s">
        <v>18</v>
      </c>
      <c r="F19" s="372" t="s">
        <v>2410</v>
      </c>
      <c r="G19" s="372" t="s">
        <v>1924</v>
      </c>
      <c r="H19" s="349" t="s">
        <v>2411</v>
      </c>
      <c r="I19" s="349" t="s">
        <v>2397</v>
      </c>
      <c r="J19" s="373" t="s">
        <v>83</v>
      </c>
      <c r="K19" s="373" t="s">
        <v>336</v>
      </c>
      <c r="L19" s="374" t="s">
        <v>408</v>
      </c>
      <c r="M19" s="651">
        <f>'Vystup. ukazovatele programu'!M58</f>
        <v>5</v>
      </c>
      <c r="N19" s="652">
        <f>'Vystup. ukazovatele programu'!N58</f>
        <v>1</v>
      </c>
      <c r="O19" s="653"/>
      <c r="P19" s="375">
        <f>'Vystup. ukazovatele programu'!P58</f>
        <v>1.34</v>
      </c>
      <c r="Q19" s="654">
        <f>IF(M19=0,0,P19/M19)</f>
        <v>0.26800000000000002</v>
      </c>
      <c r="R19" s="711">
        <f>IF(N19=0,0,Q19/N19)</f>
        <v>0.26800000000000002</v>
      </c>
      <c r="S19" s="712"/>
      <c r="T19" s="1372"/>
      <c r="U19" s="1355"/>
      <c r="V19" s="678">
        <f>'Vystup. ukazovatele programu'!X58</f>
        <v>1.34</v>
      </c>
      <c r="W19" s="618">
        <f>IF(M19=0,0,V19/M19)</f>
        <v>0.26800000000000002</v>
      </c>
      <c r="X19" s="720">
        <f>IF(N19=0,0,V19/N19)</f>
        <v>1.34</v>
      </c>
      <c r="Y19" s="689"/>
      <c r="Z19" s="1372"/>
      <c r="AA19" s="1355"/>
    </row>
    <row r="20" spans="1:27" s="191" customFormat="1" ht="58.5" customHeight="1" x14ac:dyDescent="0.2">
      <c r="A20" s="1291"/>
      <c r="B20" s="1288"/>
      <c r="C20" s="222">
        <v>42798</v>
      </c>
      <c r="D20" s="223" t="s">
        <v>1919</v>
      </c>
      <c r="E20" s="224" t="s">
        <v>20</v>
      </c>
      <c r="F20" s="225" t="s">
        <v>1896</v>
      </c>
      <c r="G20" s="225" t="s">
        <v>1924</v>
      </c>
      <c r="H20" s="223" t="s">
        <v>1964</v>
      </c>
      <c r="I20" s="132" t="s">
        <v>107</v>
      </c>
      <c r="J20" s="132" t="s">
        <v>108</v>
      </c>
      <c r="K20" s="132" t="s">
        <v>356</v>
      </c>
      <c r="L20" s="226" t="s">
        <v>1856</v>
      </c>
      <c r="M20" s="655">
        <f>'Vystup. ukazovatele programu'!M78</f>
        <v>1248000</v>
      </c>
      <c r="N20" s="655">
        <f>'Vystup. ukazovatele programu'!N78</f>
        <v>187200</v>
      </c>
      <c r="O20" s="656"/>
      <c r="P20" s="253">
        <f>'Vystup. ukazovatele programu'!P78</f>
        <v>553.91</v>
      </c>
      <c r="Q20" s="618">
        <f t="shared" si="3"/>
        <v>4.4383814102564098E-4</v>
      </c>
      <c r="R20" s="713">
        <f t="shared" si="2"/>
        <v>2.9589209401709401E-3</v>
      </c>
      <c r="S20" s="714"/>
      <c r="T20" s="1372"/>
      <c r="U20" s="1355"/>
      <c r="V20" s="679">
        <f>'Vystup. ukazovatele programu'!X78</f>
        <v>130293.80499999995</v>
      </c>
      <c r="W20" s="618">
        <f>IF(M20=0,0,V20/M20)</f>
        <v>0.10440208733974354</v>
      </c>
      <c r="X20" s="913">
        <f>IF(N20=0,0,V20/N20)</f>
        <v>0.69601391559829029</v>
      </c>
      <c r="Y20" s="690"/>
      <c r="Z20" s="1372"/>
      <c r="AA20" s="1355"/>
    </row>
    <row r="21" spans="1:27" s="191" customFormat="1" ht="27.75" customHeight="1" x14ac:dyDescent="0.2">
      <c r="A21" s="1291"/>
      <c r="B21" s="1288"/>
      <c r="C21" s="1295" t="s">
        <v>2030</v>
      </c>
      <c r="D21" s="1296"/>
      <c r="E21" s="1296"/>
      <c r="F21" s="1296"/>
      <c r="G21" s="1296"/>
      <c r="H21" s="1297"/>
      <c r="I21" s="132" t="s">
        <v>409</v>
      </c>
      <c r="J21" s="132" t="s">
        <v>2010</v>
      </c>
      <c r="K21" s="132" t="s">
        <v>336</v>
      </c>
      <c r="L21" s="226" t="s">
        <v>410</v>
      </c>
      <c r="M21" s="655">
        <v>1612472049</v>
      </c>
      <c r="N21" s="655">
        <v>499866335</v>
      </c>
      <c r="O21" s="656"/>
      <c r="P21" s="351">
        <f>'Vystup. ukazovatele programu'!P91</f>
        <v>19589450.98</v>
      </c>
      <c r="Q21" s="618">
        <f t="shared" si="3"/>
        <v>1.2148707316910522E-2</v>
      </c>
      <c r="R21" s="713">
        <f t="shared" si="2"/>
        <v>3.9189378456542787E-2</v>
      </c>
      <c r="S21" s="714"/>
      <c r="T21" s="1372"/>
      <c r="U21" s="1355"/>
      <c r="V21" s="679">
        <f>'Vystup. ukazovatele programu'!X91</f>
        <v>79837466.879999995</v>
      </c>
      <c r="W21" s="618">
        <f>IF(M21=0,0,V21/M21)</f>
        <v>4.9512465614217911E-2</v>
      </c>
      <c r="X21" s="713">
        <f>IF(N21=0,0,V21/N21)</f>
        <v>0.15971763107431508</v>
      </c>
      <c r="Y21" s="690"/>
      <c r="Z21" s="1372"/>
      <c r="AA21" s="1355"/>
    </row>
    <row r="22" spans="1:27" s="191" customFormat="1" ht="36" customHeight="1" thickBot="1" x14ac:dyDescent="0.25">
      <c r="A22" s="1292"/>
      <c r="B22" s="1289"/>
      <c r="C22" s="1307" t="s">
        <v>2031</v>
      </c>
      <c r="D22" s="1308"/>
      <c r="E22" s="1308"/>
      <c r="F22" s="1308"/>
      <c r="G22" s="1308"/>
      <c r="H22" s="1309"/>
      <c r="I22" s="227" t="s">
        <v>409</v>
      </c>
      <c r="J22" s="227" t="s">
        <v>2011</v>
      </c>
      <c r="K22" s="227" t="s">
        <v>336</v>
      </c>
      <c r="L22" s="228" t="s">
        <v>410</v>
      </c>
      <c r="M22" s="657">
        <v>2656424</v>
      </c>
      <c r="N22" s="657">
        <v>823491</v>
      </c>
      <c r="O22" s="658"/>
      <c r="P22" s="352">
        <f>'Vystup. ukazovatele programu'!P92</f>
        <v>555160.27</v>
      </c>
      <c r="Q22" s="619">
        <f t="shared" si="3"/>
        <v>0.20898782347998662</v>
      </c>
      <c r="R22" s="715">
        <f t="shared" si="2"/>
        <v>0.67415462949807592</v>
      </c>
      <c r="S22" s="716"/>
      <c r="T22" s="1373"/>
      <c r="U22" s="1356"/>
      <c r="V22" s="680">
        <f>'Vystup. ukazovatele programu'!X92</f>
        <v>555160.27</v>
      </c>
      <c r="W22" s="619">
        <f>IF(M22=0,0,V22/M22)</f>
        <v>0.20898782347998662</v>
      </c>
      <c r="X22" s="914">
        <f>IF(N22=0,0,V22/N22)</f>
        <v>0.67415462949807592</v>
      </c>
      <c r="Y22" s="691"/>
      <c r="Z22" s="1373"/>
      <c r="AA22" s="1356"/>
    </row>
    <row r="23" spans="1:27" ht="13.5" thickTop="1" x14ac:dyDescent="0.2">
      <c r="K23" s="160"/>
      <c r="L23" s="161"/>
      <c r="M23" s="162"/>
      <c r="N23" s="162"/>
      <c r="O23" s="163"/>
      <c r="P23" s="160"/>
      <c r="Q23" s="163"/>
      <c r="R23" s="163"/>
      <c r="S23" s="163"/>
      <c r="T23" s="163"/>
      <c r="U23" s="163"/>
      <c r="V23" s="160"/>
      <c r="W23" s="160"/>
      <c r="X23" s="160"/>
      <c r="Y23" s="160"/>
      <c r="Z23" s="160"/>
    </row>
    <row r="24" spans="1:27" x14ac:dyDescent="0.2">
      <c r="K24" s="160"/>
      <c r="L24" s="161"/>
      <c r="M24" s="162"/>
      <c r="N24" s="162"/>
      <c r="O24" s="163"/>
      <c r="P24" s="160"/>
      <c r="Q24" s="163"/>
      <c r="R24" s="163"/>
      <c r="S24" s="163"/>
      <c r="T24" s="163"/>
      <c r="U24" s="163"/>
      <c r="V24" s="160"/>
      <c r="W24" s="160"/>
      <c r="X24" s="160"/>
      <c r="Y24" s="160"/>
      <c r="Z24" s="160"/>
    </row>
  </sheetData>
  <sheetProtection algorithmName="SHA-512" hashValue="YU0iKnzVfkq+aZSa3FyJnOZNTiKKpMjPOPNnxO8DgccH8+Hs6YRJqRBm0e/jF4XFKpTEhpzYpVsscICvF3DtRg==" saltValue="TIksJlhWoP8Zbwu/8sk+YA==" spinCount="100000" sheet="1" objects="1" scenarios="1" autoFilter="0"/>
  <mergeCells count="49">
    <mergeCell ref="U18:U22"/>
    <mergeCell ref="AA7:AA11"/>
    <mergeCell ref="AA14:AA17"/>
    <mergeCell ref="U7:U11"/>
    <mergeCell ref="C11:H11"/>
    <mergeCell ref="AA18:AA22"/>
    <mergeCell ref="AA12:AA13"/>
    <mergeCell ref="V5:AA5"/>
    <mergeCell ref="T7:T11"/>
    <mergeCell ref="T12:T13"/>
    <mergeCell ref="T14:T17"/>
    <mergeCell ref="T18:T22"/>
    <mergeCell ref="Z6:AA6"/>
    <mergeCell ref="Z7:Z11"/>
    <mergeCell ref="Z12:Z13"/>
    <mergeCell ref="Z14:Z17"/>
    <mergeCell ref="Z18:Z22"/>
    <mergeCell ref="U12:U13"/>
    <mergeCell ref="U14:U17"/>
    <mergeCell ref="P4:S4"/>
    <mergeCell ref="A5:B6"/>
    <mergeCell ref="C5:D6"/>
    <mergeCell ref="E5:F6"/>
    <mergeCell ref="G5:H6"/>
    <mergeCell ref="I5:J6"/>
    <mergeCell ref="K5:K6"/>
    <mergeCell ref="L5:L6"/>
    <mergeCell ref="M5:M6"/>
    <mergeCell ref="N5:N6"/>
    <mergeCell ref="O5:O6"/>
    <mergeCell ref="P5:U5"/>
    <mergeCell ref="U4:Y4"/>
    <mergeCell ref="T6:U6"/>
    <mergeCell ref="A7:A11"/>
    <mergeCell ref="B18:B22"/>
    <mergeCell ref="A18:A22"/>
    <mergeCell ref="B12:B13"/>
    <mergeCell ref="C21:H21"/>
    <mergeCell ref="C17:H17"/>
    <mergeCell ref="C14:C16"/>
    <mergeCell ref="D14:D16"/>
    <mergeCell ref="C22:H22"/>
    <mergeCell ref="C18:C19"/>
    <mergeCell ref="D18:D19"/>
    <mergeCell ref="A14:A17"/>
    <mergeCell ref="B14:B17"/>
    <mergeCell ref="A12:A13"/>
    <mergeCell ref="B7:B11"/>
    <mergeCell ref="C13:H13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C7"/>
  <sheetViews>
    <sheetView topLeftCell="BI1" workbookViewId="0">
      <selection activeCell="F22" sqref="F22"/>
    </sheetView>
  </sheetViews>
  <sheetFormatPr defaultRowHeight="15" x14ac:dyDescent="0.25"/>
  <cols>
    <col min="1" max="1" width="10.85546875" style="6" bestFit="1" customWidth="1"/>
    <col min="2" max="2" width="29.7109375" customWidth="1"/>
    <col min="3" max="3" width="9.85546875" customWidth="1"/>
    <col min="4" max="4" width="22" bestFit="1" customWidth="1"/>
    <col min="5" max="5" width="36.42578125" bestFit="1" customWidth="1"/>
    <col min="6" max="12" width="16.42578125" customWidth="1"/>
    <col min="13" max="75" width="11.42578125" customWidth="1"/>
    <col min="76" max="76" width="12.42578125" bestFit="1" customWidth="1"/>
    <col min="77" max="78" width="11.42578125" customWidth="1"/>
    <col min="79" max="79" width="12.42578125" bestFit="1" customWidth="1"/>
    <col min="80" max="81" width="11.42578125" customWidth="1"/>
  </cols>
  <sheetData>
    <row r="1" spans="1:81" s="13" customFormat="1" ht="65.25" customHeight="1" x14ac:dyDescent="0.25">
      <c r="A1" s="1548" t="s">
        <v>476</v>
      </c>
      <c r="B1" s="1548" t="s">
        <v>477</v>
      </c>
      <c r="C1" s="667"/>
      <c r="D1" s="1548" t="s">
        <v>478</v>
      </c>
      <c r="E1" s="1548" t="s">
        <v>479</v>
      </c>
      <c r="F1" s="1548" t="s">
        <v>481</v>
      </c>
      <c r="G1" s="1550" t="s">
        <v>976</v>
      </c>
      <c r="H1" s="1550" t="s">
        <v>684</v>
      </c>
      <c r="I1" s="1550" t="s">
        <v>2020</v>
      </c>
      <c r="J1" s="1550" t="s">
        <v>2021</v>
      </c>
      <c r="K1" s="1550" t="s">
        <v>2032</v>
      </c>
      <c r="L1" s="1572" t="s">
        <v>2022</v>
      </c>
      <c r="M1" s="1560" t="s">
        <v>85</v>
      </c>
      <c r="N1" s="1561"/>
      <c r="O1" s="1562"/>
      <c r="P1" s="1560" t="s">
        <v>85</v>
      </c>
      <c r="Q1" s="1561"/>
      <c r="R1" s="1562"/>
      <c r="S1" s="1560" t="s">
        <v>334</v>
      </c>
      <c r="T1" s="1561"/>
      <c r="U1" s="1562"/>
      <c r="V1" s="1560" t="s">
        <v>334</v>
      </c>
      <c r="W1" s="1561"/>
      <c r="X1" s="1562"/>
      <c r="Y1" s="1560" t="s">
        <v>88</v>
      </c>
      <c r="Z1" s="1561"/>
      <c r="AA1" s="1562"/>
      <c r="AB1" s="1611" t="s">
        <v>88</v>
      </c>
      <c r="AC1" s="1559"/>
      <c r="AD1" s="670"/>
      <c r="AE1" s="1559" t="s">
        <v>83</v>
      </c>
      <c r="AF1" s="1559"/>
      <c r="AG1" s="674"/>
      <c r="AH1" s="1586" t="s">
        <v>83</v>
      </c>
      <c r="AI1" s="1611"/>
      <c r="AJ1" s="675"/>
      <c r="AK1" s="1559" t="s">
        <v>90</v>
      </c>
      <c r="AL1" s="1559"/>
      <c r="AM1" s="670"/>
      <c r="AN1" s="1559" t="s">
        <v>90</v>
      </c>
      <c r="AO1" s="1559"/>
      <c r="AP1" s="670"/>
      <c r="AQ1" s="1559" t="s">
        <v>85</v>
      </c>
      <c r="AR1" s="1559"/>
      <c r="AS1" s="670"/>
      <c r="AT1" s="1559" t="s">
        <v>92</v>
      </c>
      <c r="AU1" s="1559"/>
      <c r="AV1" s="670"/>
      <c r="AW1" s="1559" t="s">
        <v>98</v>
      </c>
      <c r="AX1" s="1559"/>
      <c r="AY1" s="670"/>
      <c r="AZ1" s="1559" t="s">
        <v>334</v>
      </c>
      <c r="BA1" s="1559"/>
      <c r="BB1" s="670"/>
      <c r="BC1" s="1559" t="s">
        <v>96</v>
      </c>
      <c r="BD1" s="1559"/>
      <c r="BE1" s="670"/>
      <c r="BF1" s="1559" t="s">
        <v>707</v>
      </c>
      <c r="BG1" s="1559"/>
      <c r="BH1" s="670"/>
      <c r="BI1" s="1559" t="s">
        <v>708</v>
      </c>
      <c r="BJ1" s="1559"/>
      <c r="BK1" s="670"/>
      <c r="BL1" s="1559" t="s">
        <v>88</v>
      </c>
      <c r="BM1" s="1559"/>
      <c r="BN1" s="670"/>
      <c r="BO1" s="1559" t="s">
        <v>83</v>
      </c>
      <c r="BP1" s="1559"/>
      <c r="BQ1" s="670"/>
      <c r="BR1" s="1559" t="s">
        <v>90</v>
      </c>
      <c r="BS1" s="1559"/>
      <c r="BT1" s="670"/>
      <c r="BU1" s="1559" t="s">
        <v>85</v>
      </c>
      <c r="BV1" s="1559"/>
      <c r="BW1" s="670"/>
      <c r="BX1" s="1559" t="s">
        <v>110</v>
      </c>
      <c r="BY1" s="1559"/>
      <c r="BZ1" s="670"/>
      <c r="CA1" s="1613" t="s">
        <v>706</v>
      </c>
      <c r="CB1" s="1614"/>
      <c r="CC1" s="1614"/>
    </row>
    <row r="2" spans="1:81" s="13" customFormat="1" x14ac:dyDescent="0.25">
      <c r="A2" s="1549"/>
      <c r="B2" s="1549"/>
      <c r="C2" s="668"/>
      <c r="D2" s="1549"/>
      <c r="E2" s="1549"/>
      <c r="F2" s="1549"/>
      <c r="G2" s="1550"/>
      <c r="H2" s="1550"/>
      <c r="I2" s="1550"/>
      <c r="J2" s="1550"/>
      <c r="K2" s="1550"/>
      <c r="L2" s="1572"/>
      <c r="M2" s="1563" t="s">
        <v>331</v>
      </c>
      <c r="N2" s="1570"/>
      <c r="O2" s="1564"/>
      <c r="P2" s="1563" t="s">
        <v>331</v>
      </c>
      <c r="Q2" s="1570"/>
      <c r="R2" s="1564"/>
      <c r="S2" s="1563" t="s">
        <v>333</v>
      </c>
      <c r="T2" s="1570"/>
      <c r="U2" s="1564"/>
      <c r="V2" s="1563" t="s">
        <v>333</v>
      </c>
      <c r="W2" s="1570"/>
      <c r="X2" s="1564"/>
      <c r="Y2" s="1563" t="s">
        <v>335</v>
      </c>
      <c r="Z2" s="1570"/>
      <c r="AA2" s="1564"/>
      <c r="AB2" s="1612" t="s">
        <v>335</v>
      </c>
      <c r="AC2" s="1558"/>
      <c r="AD2" s="671"/>
      <c r="AE2" s="1558" t="s">
        <v>336</v>
      </c>
      <c r="AF2" s="1558"/>
      <c r="AG2" s="671"/>
      <c r="AH2" s="1558" t="s">
        <v>336</v>
      </c>
      <c r="AI2" s="1558"/>
      <c r="AJ2" s="671"/>
      <c r="AK2" s="1558" t="s">
        <v>337</v>
      </c>
      <c r="AL2" s="1558"/>
      <c r="AM2" s="671"/>
      <c r="AN2" s="1558" t="s">
        <v>337</v>
      </c>
      <c r="AO2" s="1558"/>
      <c r="AP2" s="671"/>
      <c r="AQ2" s="1558" t="s">
        <v>331</v>
      </c>
      <c r="AR2" s="1558"/>
      <c r="AS2" s="671"/>
      <c r="AT2" s="1558" t="s">
        <v>339</v>
      </c>
      <c r="AU2" s="1558"/>
      <c r="AV2" s="671"/>
      <c r="AW2" s="1558" t="s">
        <v>340</v>
      </c>
      <c r="AX2" s="1558"/>
      <c r="AY2" s="671"/>
      <c r="AZ2" s="1558" t="s">
        <v>333</v>
      </c>
      <c r="BA2" s="1558"/>
      <c r="BB2" s="671"/>
      <c r="BC2" s="1558" t="s">
        <v>344</v>
      </c>
      <c r="BD2" s="1558"/>
      <c r="BE2" s="671"/>
      <c r="BF2" s="1558" t="s">
        <v>347</v>
      </c>
      <c r="BG2" s="1558"/>
      <c r="BH2" s="671"/>
      <c r="BI2" s="1558" t="s">
        <v>352</v>
      </c>
      <c r="BJ2" s="1558"/>
      <c r="BK2" s="671"/>
      <c r="BL2" s="1558" t="s">
        <v>335</v>
      </c>
      <c r="BM2" s="1558"/>
      <c r="BN2" s="671"/>
      <c r="BO2" s="1558" t="s">
        <v>336</v>
      </c>
      <c r="BP2" s="1558"/>
      <c r="BQ2" s="671"/>
      <c r="BR2" s="1558" t="s">
        <v>337</v>
      </c>
      <c r="BS2" s="1558"/>
      <c r="BT2" s="671"/>
      <c r="BU2" s="1558" t="s">
        <v>331</v>
      </c>
      <c r="BV2" s="1558"/>
      <c r="BW2" s="671"/>
      <c r="BX2" s="1558" t="s">
        <v>361</v>
      </c>
      <c r="BY2" s="1558"/>
      <c r="BZ2" s="671"/>
      <c r="CA2" s="1558" t="s">
        <v>364</v>
      </c>
      <c r="CB2" s="1558"/>
      <c r="CC2" s="545"/>
    </row>
    <row r="3" spans="1:81" s="13" customFormat="1" x14ac:dyDescent="0.25">
      <c r="A3" s="1549"/>
      <c r="B3" s="1549"/>
      <c r="C3" s="668"/>
      <c r="D3" s="1549"/>
      <c r="E3" s="1549"/>
      <c r="F3" s="1549"/>
      <c r="G3" s="1550"/>
      <c r="H3" s="1550"/>
      <c r="I3" s="1550"/>
      <c r="J3" s="1550"/>
      <c r="K3" s="1550"/>
      <c r="L3" s="1572"/>
      <c r="M3" s="1568" t="s">
        <v>446</v>
      </c>
      <c r="N3" s="1558"/>
      <c r="O3" s="673"/>
      <c r="P3" s="1568" t="s">
        <v>461</v>
      </c>
      <c r="Q3" s="1558"/>
      <c r="R3" s="673"/>
      <c r="S3" s="1563" t="s">
        <v>446</v>
      </c>
      <c r="T3" s="1570"/>
      <c r="U3" s="1564"/>
      <c r="V3" s="1563" t="s">
        <v>461</v>
      </c>
      <c r="W3" s="1570"/>
      <c r="X3" s="1564"/>
      <c r="Y3" s="1563" t="s">
        <v>446</v>
      </c>
      <c r="Z3" s="1570"/>
      <c r="AA3" s="1564"/>
      <c r="AB3" s="1612" t="s">
        <v>461</v>
      </c>
      <c r="AC3" s="1558"/>
      <c r="AD3" s="671"/>
      <c r="AE3" s="1558" t="s">
        <v>446</v>
      </c>
      <c r="AF3" s="1558"/>
      <c r="AG3" s="671"/>
      <c r="AH3" s="1558" t="s">
        <v>461</v>
      </c>
      <c r="AI3" s="1558"/>
      <c r="AJ3" s="671"/>
      <c r="AK3" s="1558" t="s">
        <v>446</v>
      </c>
      <c r="AL3" s="1558"/>
      <c r="AM3" s="671"/>
      <c r="AN3" s="1558" t="s">
        <v>461</v>
      </c>
      <c r="AO3" s="1558"/>
      <c r="AP3" s="671"/>
      <c r="AQ3" s="1558" t="s">
        <v>460</v>
      </c>
      <c r="AR3" s="1558"/>
      <c r="AS3" s="671"/>
      <c r="AT3" s="1558" t="s">
        <v>460</v>
      </c>
      <c r="AU3" s="1558"/>
      <c r="AV3" s="671"/>
      <c r="AW3" s="1558" t="s">
        <v>460</v>
      </c>
      <c r="AX3" s="1558"/>
      <c r="AY3" s="671"/>
      <c r="AZ3" s="1558" t="s">
        <v>460</v>
      </c>
      <c r="BA3" s="1558"/>
      <c r="BB3" s="671"/>
      <c r="BC3" s="1558" t="s">
        <v>460</v>
      </c>
      <c r="BD3" s="1558"/>
      <c r="BE3" s="671"/>
      <c r="BF3" s="1558" t="s">
        <v>460</v>
      </c>
      <c r="BG3" s="1558"/>
      <c r="BH3" s="671"/>
      <c r="BI3" s="1558" t="s">
        <v>460</v>
      </c>
      <c r="BJ3" s="1558"/>
      <c r="BK3" s="671"/>
      <c r="BL3" s="1558" t="s">
        <v>460</v>
      </c>
      <c r="BM3" s="1558"/>
      <c r="BN3" s="671"/>
      <c r="BO3" s="1558" t="s">
        <v>460</v>
      </c>
      <c r="BP3" s="1558"/>
      <c r="BQ3" s="671"/>
      <c r="BR3" s="1558" t="s">
        <v>460</v>
      </c>
      <c r="BS3" s="1558"/>
      <c r="BT3" s="671"/>
      <c r="BU3" s="1558" t="s">
        <v>447</v>
      </c>
      <c r="BV3" s="1558"/>
      <c r="BW3" s="671"/>
      <c r="BX3" s="1558" t="s">
        <v>447</v>
      </c>
      <c r="BY3" s="1558"/>
      <c r="BZ3" s="671"/>
      <c r="CA3" s="1558" t="s">
        <v>447</v>
      </c>
      <c r="CB3" s="1558"/>
      <c r="CC3" s="545"/>
    </row>
    <row r="4" spans="1:81" s="13" customFormat="1" ht="51" x14ac:dyDescent="0.25">
      <c r="A4" s="1554"/>
      <c r="B4" s="1554"/>
      <c r="C4" s="669"/>
      <c r="D4" s="1554"/>
      <c r="E4" s="1554"/>
      <c r="F4" s="1554"/>
      <c r="G4" s="1550"/>
      <c r="H4" s="1550"/>
      <c r="I4" s="666" t="s">
        <v>410</v>
      </c>
      <c r="J4" s="666" t="s">
        <v>410</v>
      </c>
      <c r="K4" s="666" t="s">
        <v>410</v>
      </c>
      <c r="L4" s="672" t="s">
        <v>410</v>
      </c>
      <c r="M4" s="424" t="s">
        <v>484</v>
      </c>
      <c r="N4" s="91" t="s">
        <v>485</v>
      </c>
      <c r="O4" s="498" t="s">
        <v>2016</v>
      </c>
      <c r="P4" s="424" t="s">
        <v>484</v>
      </c>
      <c r="Q4" s="91" t="s">
        <v>485</v>
      </c>
      <c r="R4" s="498" t="s">
        <v>2016</v>
      </c>
      <c r="S4" s="424" t="s">
        <v>484</v>
      </c>
      <c r="T4" s="91" t="s">
        <v>485</v>
      </c>
      <c r="U4" s="544" t="s">
        <v>2016</v>
      </c>
      <c r="V4" s="424" t="s">
        <v>484</v>
      </c>
      <c r="W4" s="91" t="s">
        <v>485</v>
      </c>
      <c r="X4" s="544" t="s">
        <v>2016</v>
      </c>
      <c r="Y4" s="424" t="s">
        <v>484</v>
      </c>
      <c r="Z4" s="91" t="s">
        <v>485</v>
      </c>
      <c r="AA4" s="544" t="s">
        <v>2016</v>
      </c>
      <c r="AB4" s="480" t="s">
        <v>484</v>
      </c>
      <c r="AC4" s="91" t="s">
        <v>485</v>
      </c>
      <c r="AD4" s="91"/>
      <c r="AE4" s="91" t="s">
        <v>484</v>
      </c>
      <c r="AF4" s="91" t="s">
        <v>485</v>
      </c>
      <c r="AG4" s="91"/>
      <c r="AH4" s="91" t="s">
        <v>484</v>
      </c>
      <c r="AI4" s="91" t="s">
        <v>485</v>
      </c>
      <c r="AJ4" s="91"/>
      <c r="AK4" s="91" t="s">
        <v>484</v>
      </c>
      <c r="AL4" s="91" t="s">
        <v>485</v>
      </c>
      <c r="AM4" s="91"/>
      <c r="AN4" s="91" t="s">
        <v>484</v>
      </c>
      <c r="AO4" s="91" t="s">
        <v>485</v>
      </c>
      <c r="AP4" s="91"/>
      <c r="AQ4" s="91" t="s">
        <v>484</v>
      </c>
      <c r="AR4" s="91" t="s">
        <v>485</v>
      </c>
      <c r="AS4" s="91"/>
      <c r="AT4" s="91" t="s">
        <v>484</v>
      </c>
      <c r="AU4" s="91" t="s">
        <v>485</v>
      </c>
      <c r="AV4" s="91"/>
      <c r="AW4" s="91" t="s">
        <v>484</v>
      </c>
      <c r="AX4" s="91" t="s">
        <v>485</v>
      </c>
      <c r="AY4" s="91"/>
      <c r="AZ4" s="91" t="s">
        <v>484</v>
      </c>
      <c r="BA4" s="91" t="s">
        <v>485</v>
      </c>
      <c r="BB4" s="91"/>
      <c r="BC4" s="91" t="s">
        <v>484</v>
      </c>
      <c r="BD4" s="91" t="s">
        <v>485</v>
      </c>
      <c r="BE4" s="91"/>
      <c r="BF4" s="91" t="s">
        <v>484</v>
      </c>
      <c r="BG4" s="91" t="s">
        <v>485</v>
      </c>
      <c r="BH4" s="91"/>
      <c r="BI4" s="91" t="s">
        <v>484</v>
      </c>
      <c r="BJ4" s="91" t="s">
        <v>485</v>
      </c>
      <c r="BK4" s="91"/>
      <c r="BL4" s="91" t="s">
        <v>484</v>
      </c>
      <c r="BM4" s="91" t="s">
        <v>485</v>
      </c>
      <c r="BN4" s="91"/>
      <c r="BO4" s="91" t="s">
        <v>484</v>
      </c>
      <c r="BP4" s="91" t="s">
        <v>485</v>
      </c>
      <c r="BQ4" s="91"/>
      <c r="BR4" s="91" t="s">
        <v>484</v>
      </c>
      <c r="BS4" s="91" t="s">
        <v>485</v>
      </c>
      <c r="BT4" s="91"/>
      <c r="BU4" s="91" t="s">
        <v>484</v>
      </c>
      <c r="BV4" s="91" t="s">
        <v>485</v>
      </c>
      <c r="BW4" s="91"/>
      <c r="BX4" s="91" t="s">
        <v>484</v>
      </c>
      <c r="BY4" s="91" t="s">
        <v>485</v>
      </c>
      <c r="BZ4" s="91"/>
      <c r="CA4" s="91" t="s">
        <v>484</v>
      </c>
      <c r="CB4" s="91" t="s">
        <v>485</v>
      </c>
      <c r="CC4" s="546"/>
    </row>
    <row r="5" spans="1:81" s="13" customFormat="1" ht="12.75" customHeight="1" x14ac:dyDescent="0.25">
      <c r="A5" s="44" t="s">
        <v>1546</v>
      </c>
      <c r="B5" s="45" t="s">
        <v>1547</v>
      </c>
      <c r="C5" s="45" t="s">
        <v>2447</v>
      </c>
      <c r="D5" s="39" t="s">
        <v>1548</v>
      </c>
      <c r="E5" s="46" t="s">
        <v>1549</v>
      </c>
      <c r="F5" s="39" t="s">
        <v>1550</v>
      </c>
      <c r="G5" s="47" t="s">
        <v>1551</v>
      </c>
      <c r="H5" s="47" t="s">
        <v>1552</v>
      </c>
      <c r="I5" s="47" t="s">
        <v>1553</v>
      </c>
      <c r="J5" s="47" t="s">
        <v>1554</v>
      </c>
      <c r="K5" s="47" t="s">
        <v>1555</v>
      </c>
      <c r="L5" s="47" t="s">
        <v>1556</v>
      </c>
      <c r="M5" s="47" t="s">
        <v>1557</v>
      </c>
      <c r="N5" s="47" t="s">
        <v>1558</v>
      </c>
      <c r="O5" s="47" t="s">
        <v>1559</v>
      </c>
      <c r="P5" s="47" t="s">
        <v>1560</v>
      </c>
      <c r="Q5" s="47" t="s">
        <v>1561</v>
      </c>
      <c r="R5" s="47" t="s">
        <v>1562</v>
      </c>
      <c r="S5" s="47" t="s">
        <v>1563</v>
      </c>
      <c r="T5" s="47" t="s">
        <v>1564</v>
      </c>
      <c r="U5" s="47" t="s">
        <v>1565</v>
      </c>
      <c r="V5" s="47" t="s">
        <v>1566</v>
      </c>
      <c r="W5" s="47" t="s">
        <v>1567</v>
      </c>
      <c r="X5" s="47" t="s">
        <v>1568</v>
      </c>
      <c r="Y5" s="47" t="s">
        <v>1569</v>
      </c>
      <c r="Z5" s="47" t="s">
        <v>1570</v>
      </c>
      <c r="AA5" s="47" t="s">
        <v>1571</v>
      </c>
      <c r="AB5" s="47" t="s">
        <v>1572</v>
      </c>
      <c r="AC5" s="47" t="s">
        <v>1573</v>
      </c>
      <c r="AD5" s="47" t="s">
        <v>1574</v>
      </c>
      <c r="AE5" s="47" t="s">
        <v>1575</v>
      </c>
      <c r="AF5" s="47" t="s">
        <v>1576</v>
      </c>
      <c r="AG5" s="47" t="s">
        <v>1577</v>
      </c>
      <c r="AH5" s="47" t="s">
        <v>1578</v>
      </c>
      <c r="AI5" s="47" t="s">
        <v>1579</v>
      </c>
      <c r="AJ5" s="47" t="s">
        <v>1580</v>
      </c>
      <c r="AK5" s="47" t="s">
        <v>1581</v>
      </c>
      <c r="AL5" s="47" t="s">
        <v>1582</v>
      </c>
      <c r="AM5" s="47" t="s">
        <v>1583</v>
      </c>
      <c r="AN5" s="47" t="s">
        <v>1584</v>
      </c>
      <c r="AO5" s="47" t="s">
        <v>1585</v>
      </c>
      <c r="AP5" s="47" t="s">
        <v>1586</v>
      </c>
      <c r="AQ5" s="47" t="s">
        <v>1587</v>
      </c>
      <c r="AR5" s="47" t="s">
        <v>1588</v>
      </c>
      <c r="AS5" s="47" t="s">
        <v>1589</v>
      </c>
      <c r="AT5" s="47" t="s">
        <v>1590</v>
      </c>
      <c r="AU5" s="47" t="s">
        <v>1591</v>
      </c>
      <c r="AV5" s="47" t="s">
        <v>1592</v>
      </c>
      <c r="AW5" s="47" t="s">
        <v>1593</v>
      </c>
      <c r="AX5" s="47" t="s">
        <v>1594</v>
      </c>
      <c r="AY5" s="47" t="s">
        <v>1595</v>
      </c>
      <c r="AZ5" s="47" t="s">
        <v>1596</v>
      </c>
      <c r="BA5" s="47" t="s">
        <v>1597</v>
      </c>
      <c r="BB5" s="47" t="s">
        <v>1598</v>
      </c>
      <c r="BC5" s="47" t="s">
        <v>2420</v>
      </c>
      <c r="BD5" s="47" t="s">
        <v>2421</v>
      </c>
      <c r="BE5" s="47" t="s">
        <v>2422</v>
      </c>
      <c r="BF5" s="47" t="s">
        <v>2423</v>
      </c>
      <c r="BG5" s="47" t="s">
        <v>2424</v>
      </c>
      <c r="BH5" s="47" t="s">
        <v>2425</v>
      </c>
      <c r="BI5" s="47" t="s">
        <v>2426</v>
      </c>
      <c r="BJ5" s="47" t="s">
        <v>2427</v>
      </c>
      <c r="BK5" s="47" t="s">
        <v>2039</v>
      </c>
      <c r="BL5" s="47" t="s">
        <v>2040</v>
      </c>
      <c r="BM5" s="47" t="s">
        <v>2041</v>
      </c>
      <c r="BN5" s="47" t="s">
        <v>2042</v>
      </c>
      <c r="BO5" s="47" t="s">
        <v>2428</v>
      </c>
      <c r="BP5" s="47" t="s">
        <v>2429</v>
      </c>
      <c r="BQ5" s="47" t="s">
        <v>2430</v>
      </c>
      <c r="BR5" s="47" t="s">
        <v>2431</v>
      </c>
      <c r="BS5" s="47" t="s">
        <v>2432</v>
      </c>
      <c r="BT5" s="47" t="s">
        <v>2433</v>
      </c>
      <c r="BU5" s="47" t="s">
        <v>2033</v>
      </c>
      <c r="BV5" s="47" t="s">
        <v>2034</v>
      </c>
      <c r="BW5" s="47" t="s">
        <v>2035</v>
      </c>
      <c r="BX5" s="47" t="s">
        <v>2036</v>
      </c>
      <c r="BY5" s="47" t="s">
        <v>2434</v>
      </c>
      <c r="BZ5" s="47" t="s">
        <v>2435</v>
      </c>
      <c r="CA5" s="47" t="s">
        <v>2436</v>
      </c>
      <c r="CB5" s="47" t="s">
        <v>2437</v>
      </c>
      <c r="CC5" s="47" t="s">
        <v>2438</v>
      </c>
    </row>
    <row r="6" spans="1:81" s="13" customFormat="1" ht="12.75" customHeight="1" x14ac:dyDescent="0.25">
      <c r="A6" s="42" t="s">
        <v>776</v>
      </c>
      <c r="B6" s="17" t="s">
        <v>2391</v>
      </c>
      <c r="C6" s="17"/>
      <c r="D6" s="1" t="s">
        <v>855</v>
      </c>
      <c r="E6" s="18" t="s">
        <v>927</v>
      </c>
      <c r="F6" s="1" t="s">
        <v>1544</v>
      </c>
      <c r="G6" s="15">
        <v>42095</v>
      </c>
      <c r="H6" s="15">
        <v>45261</v>
      </c>
      <c r="I6" s="2">
        <v>12125939.35</v>
      </c>
      <c r="J6" s="2">
        <v>14265811</v>
      </c>
      <c r="K6" s="2"/>
      <c r="L6" s="532"/>
      <c r="M6" s="538">
        <v>2147</v>
      </c>
      <c r="N6" s="19">
        <v>0</v>
      </c>
      <c r="O6" s="539"/>
      <c r="P6" s="538">
        <v>0</v>
      </c>
      <c r="Q6" s="19">
        <v>0</v>
      </c>
      <c r="R6" s="539"/>
      <c r="S6" s="538">
        <v>0</v>
      </c>
      <c r="T6" s="19">
        <v>0</v>
      </c>
      <c r="U6" s="539"/>
      <c r="V6" s="538">
        <v>0</v>
      </c>
      <c r="W6" s="19">
        <v>0</v>
      </c>
      <c r="X6" s="539"/>
      <c r="Y6" s="538">
        <v>0</v>
      </c>
      <c r="Z6" s="19">
        <v>0</v>
      </c>
      <c r="AA6" s="539"/>
      <c r="AB6" s="535">
        <v>0</v>
      </c>
      <c r="AC6" s="19">
        <v>0</v>
      </c>
      <c r="AD6" s="19"/>
      <c r="AE6" s="19">
        <v>0</v>
      </c>
      <c r="AF6" s="19">
        <v>0</v>
      </c>
      <c r="AG6" s="19"/>
      <c r="AH6" s="19">
        <v>0</v>
      </c>
      <c r="AI6" s="19">
        <v>0</v>
      </c>
      <c r="AJ6" s="19"/>
      <c r="AK6" s="19">
        <v>0</v>
      </c>
      <c r="AL6" s="19">
        <v>0</v>
      </c>
      <c r="AM6" s="19"/>
      <c r="AN6" s="19">
        <v>0</v>
      </c>
      <c r="AO6" s="19">
        <v>0</v>
      </c>
      <c r="AP6" s="19"/>
      <c r="AQ6" s="19">
        <v>0</v>
      </c>
      <c r="AR6" s="19">
        <v>0</v>
      </c>
      <c r="AS6" s="19"/>
      <c r="AT6" s="19">
        <v>0</v>
      </c>
      <c r="AU6" s="19">
        <v>0</v>
      </c>
      <c r="AV6" s="19"/>
      <c r="AW6" s="19">
        <v>0</v>
      </c>
      <c r="AX6" s="19">
        <v>0</v>
      </c>
      <c r="AY6" s="19"/>
      <c r="AZ6" s="19">
        <v>0</v>
      </c>
      <c r="BA6" s="19">
        <v>0</v>
      </c>
      <c r="BB6" s="19"/>
      <c r="BC6" s="19">
        <v>0</v>
      </c>
      <c r="BD6" s="19">
        <v>0</v>
      </c>
      <c r="BE6" s="19"/>
      <c r="BF6" s="19">
        <v>0</v>
      </c>
      <c r="BG6" s="19">
        <v>0</v>
      </c>
      <c r="BH6" s="19"/>
      <c r="BI6" s="19">
        <v>0</v>
      </c>
      <c r="BJ6" s="19">
        <v>0</v>
      </c>
      <c r="BK6" s="19"/>
      <c r="BL6" s="19">
        <v>0</v>
      </c>
      <c r="BM6" s="19">
        <v>0</v>
      </c>
      <c r="BN6" s="19"/>
      <c r="BO6" s="19">
        <v>0</v>
      </c>
      <c r="BP6" s="19">
        <v>0</v>
      </c>
      <c r="BQ6" s="19"/>
      <c r="BR6" s="19">
        <v>0</v>
      </c>
      <c r="BS6" s="19">
        <v>0</v>
      </c>
      <c r="BT6" s="19"/>
      <c r="BU6" s="19">
        <v>0</v>
      </c>
      <c r="BV6" s="19">
        <v>0</v>
      </c>
      <c r="BW6" s="19"/>
      <c r="BX6" s="19">
        <v>5021379</v>
      </c>
      <c r="BY6" s="19">
        <v>0</v>
      </c>
      <c r="BZ6" s="19"/>
      <c r="CA6" s="19">
        <v>8142177</v>
      </c>
      <c r="CB6" s="43">
        <v>0</v>
      </c>
      <c r="CC6" s="19">
        <v>0</v>
      </c>
    </row>
    <row r="7" spans="1:81" x14ac:dyDescent="0.25">
      <c r="A7" s="48"/>
      <c r="B7" s="49"/>
      <c r="C7" s="49"/>
      <c r="D7" s="97"/>
      <c r="E7" s="98"/>
      <c r="F7" s="97"/>
      <c r="G7" s="99"/>
      <c r="H7" s="99"/>
      <c r="I7" s="317">
        <f>SUBTOTAL(109,fn4114214312[Stĺpec8])</f>
        <v>12125939.35</v>
      </c>
      <c r="J7" s="317">
        <f>SUBTOTAL(109,fn4114214312[Stĺpec9])</f>
        <v>14265811</v>
      </c>
      <c r="K7" s="317">
        <f>SUBTOTAL(109,fn4114214312[Stĺpec10])</f>
        <v>0</v>
      </c>
      <c r="L7" s="534">
        <f>SUBTOTAL(109,fn4114214312[Stĺpec11])</f>
        <v>0</v>
      </c>
      <c r="M7" s="542">
        <f>SUBTOTAL(109,fn4114214312[Stĺpec12])</f>
        <v>2147</v>
      </c>
      <c r="N7" s="101">
        <f>SUBTOTAL(109,fn4114214312[Stĺpec13])</f>
        <v>0</v>
      </c>
      <c r="O7" s="543">
        <f>SUM(fn4114214312[Stĺpec14])</f>
        <v>0</v>
      </c>
      <c r="P7" s="542">
        <f>SUBTOTAL(109,fn4114214312[Stĺpec15])</f>
        <v>0</v>
      </c>
      <c r="Q7" s="101">
        <f>SUBTOTAL(109,fn4114214312[Stĺpec16])</f>
        <v>0</v>
      </c>
      <c r="R7" s="543">
        <f>SUM(fn4114214312[Stĺpec17])</f>
        <v>0</v>
      </c>
      <c r="S7" s="542">
        <f>SUBTOTAL(109,fn4114214312[Stĺpec18])</f>
        <v>0</v>
      </c>
      <c r="T7" s="101">
        <f>SUBTOTAL(109,fn4114214312[Stĺpec19])</f>
        <v>0</v>
      </c>
      <c r="U7" s="543">
        <f>SUM(fn4114214312[Stĺpec20])</f>
        <v>0</v>
      </c>
      <c r="V7" s="542">
        <f>SUBTOTAL(109,fn4114214312[Stĺpec21])</f>
        <v>0</v>
      </c>
      <c r="W7" s="101">
        <f>SUBTOTAL(109,fn4114214312[Stĺpec22])</f>
        <v>0</v>
      </c>
      <c r="X7" s="543">
        <f>SUM(fn4114214312[Stĺpec23])</f>
        <v>0</v>
      </c>
      <c r="Y7" s="542">
        <f>SUBTOTAL(109,fn4114214312[Stĺpec24])</f>
        <v>0</v>
      </c>
      <c r="Z7" s="101">
        <f>SUBTOTAL(109,fn4114214312[Stĺpec25])</f>
        <v>0</v>
      </c>
      <c r="AA7" s="543">
        <f>SUM(fn4114214312[Stĺpec26])</f>
        <v>0</v>
      </c>
      <c r="AB7" s="537">
        <f>SUBTOTAL(109,fn4114214312[Stĺpec27])</f>
        <v>0</v>
      </c>
      <c r="AC7" s="101">
        <f>SUBTOTAL(109,fn4114214312[Stĺpec28])</f>
        <v>0</v>
      </c>
      <c r="AD7" s="101">
        <f>SUM(fn4114214312[Stĺpec29])</f>
        <v>0</v>
      </c>
      <c r="AE7" s="101">
        <f>SUBTOTAL(109,fn4114214312[Stĺpec30])</f>
        <v>0</v>
      </c>
      <c r="AF7" s="101">
        <f>SUBTOTAL(109,fn4114214312[Stĺpec31])</f>
        <v>0</v>
      </c>
      <c r="AG7" s="101">
        <f>SUM(fn4114214312[Stĺpec32])</f>
        <v>0</v>
      </c>
      <c r="AH7" s="101">
        <f>SUBTOTAL(109,fn4114214312[Stĺpec33])</f>
        <v>0</v>
      </c>
      <c r="AI7" s="101">
        <f>SUBTOTAL(109,fn4114214312[Stĺpec34])</f>
        <v>0</v>
      </c>
      <c r="AJ7" s="101">
        <f>SUM(fn4114214312[Stĺpec35])</f>
        <v>0</v>
      </c>
      <c r="AK7" s="101">
        <f>SUBTOTAL(109,fn4114214312[Stĺpec36])</f>
        <v>0</v>
      </c>
      <c r="AL7" s="101">
        <f>SUBTOTAL(109,fn4114214312[Stĺpec37])</f>
        <v>0</v>
      </c>
      <c r="AM7" s="101">
        <f>SUM(fn4114214312[Stĺpec38])</f>
        <v>0</v>
      </c>
      <c r="AN7" s="101">
        <f>SUBTOTAL(109,fn4114214312[Stĺpec39])</f>
        <v>0</v>
      </c>
      <c r="AO7" s="101">
        <f>SUBTOTAL(109,fn4114214312[Stĺpec40])</f>
        <v>0</v>
      </c>
      <c r="AP7" s="101">
        <f>SUM(fn4114214312[Stĺpec41])</f>
        <v>0</v>
      </c>
      <c r="AQ7" s="101">
        <f>SUBTOTAL(109,fn4114214312[Stĺpec42])</f>
        <v>0</v>
      </c>
      <c r="AR7" s="101">
        <f>SUBTOTAL(109,fn4114214312[Stĺpec43])</f>
        <v>0</v>
      </c>
      <c r="AS7" s="101">
        <f>SUM(fn4114214312[Stĺpec44])</f>
        <v>0</v>
      </c>
      <c r="AT7" s="101">
        <f>SUBTOTAL(109,fn4114214312[Stĺpec45])</f>
        <v>0</v>
      </c>
      <c r="AU7" s="101">
        <f>SUBTOTAL(109,fn4114214312[Stĺpec46])</f>
        <v>0</v>
      </c>
      <c r="AV7" s="101">
        <f>SUM(fn4114214312[Stĺpec47])</f>
        <v>0</v>
      </c>
      <c r="AW7" s="101">
        <f>SUBTOTAL(109,fn4114214312[Stĺpec48])</f>
        <v>0</v>
      </c>
      <c r="AX7" s="101">
        <f>SUBTOTAL(109,fn4114214312[Stĺpec49])</f>
        <v>0</v>
      </c>
      <c r="AY7" s="101">
        <f>SUM(fn4114214312[Stĺpec50])</f>
        <v>0</v>
      </c>
      <c r="AZ7" s="101">
        <f>SUBTOTAL(109,fn4114214312[Stĺpec51])</f>
        <v>0</v>
      </c>
      <c r="BA7" s="101">
        <f>SUBTOTAL(109,fn4114214312[Stĺpec52])</f>
        <v>0</v>
      </c>
      <c r="BB7" s="101">
        <f>SUM(fn4114214312[Stĺpec53])</f>
        <v>0</v>
      </c>
      <c r="BC7" s="101">
        <f>SUBTOTAL(109,fn4114214312[Stĺpec54])</f>
        <v>0</v>
      </c>
      <c r="BD7" s="101">
        <f>SUBTOTAL(109,fn4114214312[Stĺpec55])</f>
        <v>0</v>
      </c>
      <c r="BE7" s="101">
        <f>SUM(fn4114214312[Stĺpec56])</f>
        <v>0</v>
      </c>
      <c r="BF7" s="101">
        <f>SUBTOTAL(109,fn4114214312[Stĺpec57])</f>
        <v>0</v>
      </c>
      <c r="BG7" s="101">
        <f>SUBTOTAL(109,fn4114214312[Stĺpec58])</f>
        <v>0</v>
      </c>
      <c r="BH7" s="101">
        <f>SUM(fn4114214312[Stĺpec59])</f>
        <v>0</v>
      </c>
      <c r="BI7" s="101">
        <f>SUBTOTAL(109,fn4114214312[Stĺpec60])</f>
        <v>0</v>
      </c>
      <c r="BJ7" s="101">
        <f>SUBTOTAL(109,fn4114214312[Stĺpec61])</f>
        <v>0</v>
      </c>
      <c r="BK7" s="101">
        <f>SUM(fn4114214312[Stĺpec62])</f>
        <v>0</v>
      </c>
      <c r="BL7" s="101">
        <f>SUBTOTAL(109,fn4114214312[Stĺpec63])</f>
        <v>0</v>
      </c>
      <c r="BM7" s="101">
        <f>SUBTOTAL(109,fn4114214312[Stĺpec64])</f>
        <v>0</v>
      </c>
      <c r="BN7" s="101">
        <f>SUM(fn4114214312[Stĺpec65])</f>
        <v>0</v>
      </c>
      <c r="BO7" s="101">
        <f>SUBTOTAL(109,fn4114214312[Stĺpec66])</f>
        <v>0</v>
      </c>
      <c r="BP7" s="101">
        <f>SUBTOTAL(109,fn4114214312[Stĺpec67])</f>
        <v>0</v>
      </c>
      <c r="BQ7" s="101">
        <f>SUM(fn4114214312[Stĺpec68])</f>
        <v>0</v>
      </c>
      <c r="BR7" s="101">
        <f>SUBTOTAL(109,fn4114214312[Stĺpec69])</f>
        <v>0</v>
      </c>
      <c r="BS7" s="101">
        <f>SUBTOTAL(109,fn4114214312[Stĺpec70])</f>
        <v>0</v>
      </c>
      <c r="BT7" s="101">
        <f>SUM(fn4114214312[Stĺpec71])</f>
        <v>0</v>
      </c>
      <c r="BU7" s="101">
        <f>SUBTOTAL(109,fn4114214312[Stĺpec72])</f>
        <v>0</v>
      </c>
      <c r="BV7" s="101">
        <f>SUBTOTAL(109,fn4114214312[Stĺpec73])</f>
        <v>0</v>
      </c>
      <c r="BW7" s="101">
        <f>SUM(fn4114214312[Stĺpec74])</f>
        <v>0</v>
      </c>
      <c r="BX7" s="101">
        <f>SUBTOTAL(109,fn4114214312[Stĺpec75])</f>
        <v>5021379</v>
      </c>
      <c r="BY7" s="101">
        <f>SUBTOTAL(109,fn4114214312[Stĺpec76])</f>
        <v>0</v>
      </c>
      <c r="BZ7" s="101">
        <f>SUM(fn4114214312[Stĺpec77])</f>
        <v>0</v>
      </c>
      <c r="CA7" s="101">
        <f>SUBTOTAL(109,fn4114214312[Stĺpec78])</f>
        <v>8142177</v>
      </c>
      <c r="CB7" s="101">
        <f>SUBTOTAL(109,fn4114214312[Stĺpec79])</f>
        <v>0</v>
      </c>
      <c r="CC7" s="547">
        <f>SUBTOTAL(109,fn4114214312[Stĺpec80])</f>
        <v>0</v>
      </c>
    </row>
  </sheetData>
  <sheetProtection algorithmName="SHA-512" hashValue="lYz6kkpLxEE8JmOx510A6+5XYh+pBdu9lW/T6wW6rbuKbsKXVt2Jgm5wU33/5OUVeSjMwd3Nd6FsVVBtMDdzTg==" saltValue="DImzEWJa0XZOY1tuKAx1bQ==" spinCount="100000" sheet="1" objects="1" scenarios="1" autoFilter="0"/>
  <mergeCells count="80">
    <mergeCell ref="CA3:CB3"/>
    <mergeCell ref="AT3:AU3"/>
    <mergeCell ref="AW3:AX3"/>
    <mergeCell ref="AZ3:BA3"/>
    <mergeCell ref="BC3:BD3"/>
    <mergeCell ref="BF3:BG3"/>
    <mergeCell ref="BI3:BJ3"/>
    <mergeCell ref="BL3:BM3"/>
    <mergeCell ref="BO3:BP3"/>
    <mergeCell ref="BR3:BS3"/>
    <mergeCell ref="BU3:BV3"/>
    <mergeCell ref="BX3:BY3"/>
    <mergeCell ref="AB3:AC3"/>
    <mergeCell ref="AE3:AF3"/>
    <mergeCell ref="AH3:AI3"/>
    <mergeCell ref="AK3:AL3"/>
    <mergeCell ref="AN3:AO3"/>
    <mergeCell ref="AQ3:AR3"/>
    <mergeCell ref="BO2:BP2"/>
    <mergeCell ref="BR2:BS2"/>
    <mergeCell ref="BU2:BV2"/>
    <mergeCell ref="BX2:BY2"/>
    <mergeCell ref="AQ2:AR2"/>
    <mergeCell ref="AT2:AU2"/>
    <mergeCell ref="CA2:CB2"/>
    <mergeCell ref="M3:N3"/>
    <mergeCell ref="P3:Q3"/>
    <mergeCell ref="S3:U3"/>
    <mergeCell ref="V3:X3"/>
    <mergeCell ref="Y3:AA3"/>
    <mergeCell ref="AW2:AX2"/>
    <mergeCell ref="AZ2:BA2"/>
    <mergeCell ref="BC2:BD2"/>
    <mergeCell ref="BF2:BG2"/>
    <mergeCell ref="BI2:BJ2"/>
    <mergeCell ref="BL2:BM2"/>
    <mergeCell ref="AE2:AF2"/>
    <mergeCell ref="AH2:AI2"/>
    <mergeCell ref="AK2:AL2"/>
    <mergeCell ref="AN2:AO2"/>
    <mergeCell ref="BR1:BS1"/>
    <mergeCell ref="BU1:BV1"/>
    <mergeCell ref="BX1:BY1"/>
    <mergeCell ref="CA1:CC1"/>
    <mergeCell ref="M2:O2"/>
    <mergeCell ref="P2:R2"/>
    <mergeCell ref="S2:U2"/>
    <mergeCell ref="V2:X2"/>
    <mergeCell ref="Y2:AA2"/>
    <mergeCell ref="AB2:AC2"/>
    <mergeCell ref="AZ1:BA1"/>
    <mergeCell ref="BC1:BD1"/>
    <mergeCell ref="BF1:BG1"/>
    <mergeCell ref="BI1:BJ1"/>
    <mergeCell ref="BL1:BM1"/>
    <mergeCell ref="BO1:BP1"/>
    <mergeCell ref="AW1:AX1"/>
    <mergeCell ref="P1:R1"/>
    <mergeCell ref="S1:U1"/>
    <mergeCell ref="V1:X1"/>
    <mergeCell ref="Y1:AA1"/>
    <mergeCell ref="AB1:AC1"/>
    <mergeCell ref="AE1:AF1"/>
    <mergeCell ref="AH1:AI1"/>
    <mergeCell ref="AK1:AL1"/>
    <mergeCell ref="AN1:AO1"/>
    <mergeCell ref="AQ1:AR1"/>
    <mergeCell ref="AT1:AU1"/>
    <mergeCell ref="M1:O1"/>
    <mergeCell ref="A1:A4"/>
    <mergeCell ref="B1:B4"/>
    <mergeCell ref="D1:D4"/>
    <mergeCell ref="E1:E4"/>
    <mergeCell ref="F1:F4"/>
    <mergeCell ref="G1:G4"/>
    <mergeCell ref="H1:H4"/>
    <mergeCell ref="I1:I3"/>
    <mergeCell ref="J1:J3"/>
    <mergeCell ref="K1:K3"/>
    <mergeCell ref="L1:L3"/>
  </mergeCell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J90"/>
  <sheetViews>
    <sheetView zoomScale="70" zoomScaleNormal="70" workbookViewId="0">
      <pane ySplit="5" topLeftCell="A58" activePane="bottomLeft" state="frozen"/>
      <selection pane="bottomLeft" activeCell="C91" sqref="C91"/>
    </sheetView>
  </sheetViews>
  <sheetFormatPr defaultRowHeight="12.75" x14ac:dyDescent="0.2"/>
  <cols>
    <col min="1" max="1" width="11.28515625" style="25" bestFit="1" customWidth="1"/>
    <col min="2" max="2" width="28.28515625" style="16" customWidth="1"/>
    <col min="3" max="3" width="32.140625" style="25" customWidth="1"/>
    <col min="4" max="4" width="46.7109375" style="16" customWidth="1"/>
    <col min="5" max="11" width="16.42578125" style="16" customWidth="1"/>
    <col min="12" max="61" width="11.42578125" style="16" customWidth="1"/>
    <col min="62" max="62" width="10.42578125" style="16" customWidth="1"/>
    <col min="63" max="63" width="9.140625" style="16" customWidth="1"/>
    <col min="64" max="16384" width="9.140625" style="16"/>
  </cols>
  <sheetData>
    <row r="1" spans="1:62" ht="65.25" customHeight="1" x14ac:dyDescent="0.2">
      <c r="A1" s="1622" t="s">
        <v>476</v>
      </c>
      <c r="B1" s="1622" t="s">
        <v>477</v>
      </c>
      <c r="C1" s="1622" t="s">
        <v>478</v>
      </c>
      <c r="D1" s="1622" t="s">
        <v>479</v>
      </c>
      <c r="E1" s="1622" t="s">
        <v>481</v>
      </c>
      <c r="F1" s="1615" t="s">
        <v>976</v>
      </c>
      <c r="G1" s="1615" t="s">
        <v>684</v>
      </c>
      <c r="H1" s="1615" t="s">
        <v>2020</v>
      </c>
      <c r="I1" s="1615" t="s">
        <v>2021</v>
      </c>
      <c r="J1" s="1615" t="s">
        <v>2032</v>
      </c>
      <c r="K1" s="1615" t="s">
        <v>2022</v>
      </c>
      <c r="L1" s="1631" t="s">
        <v>326</v>
      </c>
      <c r="M1" s="1619"/>
      <c r="N1" s="1627"/>
      <c r="O1" s="1631" t="s">
        <v>328</v>
      </c>
      <c r="P1" s="1619"/>
      <c r="Q1" s="1627"/>
      <c r="R1" s="1631" t="s">
        <v>85</v>
      </c>
      <c r="S1" s="1619"/>
      <c r="T1" s="1627"/>
      <c r="U1" s="1631" t="s">
        <v>354</v>
      </c>
      <c r="V1" s="1619"/>
      <c r="W1" s="1627"/>
      <c r="X1" s="1631" t="s">
        <v>705</v>
      </c>
      <c r="Y1" s="1619"/>
      <c r="Z1" s="1627"/>
      <c r="AA1" s="1631" t="s">
        <v>108</v>
      </c>
      <c r="AB1" s="1619"/>
      <c r="AC1" s="1627"/>
      <c r="AD1" s="1631" t="s">
        <v>358</v>
      </c>
      <c r="AE1" s="1619"/>
      <c r="AF1" s="1627"/>
      <c r="AG1" s="1631" t="s">
        <v>360</v>
      </c>
      <c r="AH1" s="1619"/>
      <c r="AI1" s="1627"/>
      <c r="AJ1" s="1631" t="s">
        <v>110</v>
      </c>
      <c r="AK1" s="1619"/>
      <c r="AL1" s="1627"/>
      <c r="AM1" s="1631" t="s">
        <v>363</v>
      </c>
      <c r="AN1" s="1619"/>
      <c r="AO1" s="1627"/>
      <c r="AP1" s="1631" t="s">
        <v>239</v>
      </c>
      <c r="AQ1" s="1619"/>
      <c r="AR1" s="1627"/>
      <c r="AS1" s="1631" t="s">
        <v>241</v>
      </c>
      <c r="AT1" s="1619"/>
      <c r="AU1" s="1627"/>
      <c r="AV1" s="1631" t="s">
        <v>245</v>
      </c>
      <c r="AW1" s="1619"/>
      <c r="AX1" s="1627"/>
      <c r="AY1" s="1631" t="s">
        <v>706</v>
      </c>
      <c r="AZ1" s="1619"/>
      <c r="BA1" s="1627"/>
      <c r="BB1" s="1631" t="s">
        <v>88</v>
      </c>
      <c r="BC1" s="1619"/>
      <c r="BD1" s="1627"/>
      <c r="BE1" s="1631" t="s">
        <v>83</v>
      </c>
      <c r="BF1" s="1619"/>
      <c r="BG1" s="1627"/>
      <c r="BH1" s="1631" t="s">
        <v>90</v>
      </c>
      <c r="BI1" s="1619"/>
      <c r="BJ1" s="1627"/>
    </row>
    <row r="2" spans="1:62" x14ac:dyDescent="0.2">
      <c r="A2" s="1623"/>
      <c r="B2" s="1623"/>
      <c r="C2" s="1623"/>
      <c r="D2" s="1623"/>
      <c r="E2" s="1623"/>
      <c r="F2" s="1615"/>
      <c r="G2" s="1615"/>
      <c r="H2" s="1615"/>
      <c r="I2" s="1615"/>
      <c r="J2" s="1615"/>
      <c r="K2" s="1615"/>
      <c r="L2" s="1629" t="s">
        <v>325</v>
      </c>
      <c r="M2" s="1630"/>
      <c r="N2" s="1628"/>
      <c r="O2" s="1629" t="s">
        <v>327</v>
      </c>
      <c r="P2" s="1630"/>
      <c r="Q2" s="1628"/>
      <c r="R2" s="1629" t="s">
        <v>331</v>
      </c>
      <c r="S2" s="1630"/>
      <c r="T2" s="1628"/>
      <c r="U2" s="1629" t="s">
        <v>353</v>
      </c>
      <c r="V2" s="1630"/>
      <c r="W2" s="1628"/>
      <c r="X2" s="1629" t="s">
        <v>355</v>
      </c>
      <c r="Y2" s="1630"/>
      <c r="Z2" s="1628"/>
      <c r="AA2" s="1629" t="s">
        <v>356</v>
      </c>
      <c r="AB2" s="1630"/>
      <c r="AC2" s="1628"/>
      <c r="AD2" s="1629" t="s">
        <v>357</v>
      </c>
      <c r="AE2" s="1630"/>
      <c r="AF2" s="1628"/>
      <c r="AG2" s="1629" t="s">
        <v>359</v>
      </c>
      <c r="AH2" s="1630"/>
      <c r="AI2" s="1628"/>
      <c r="AJ2" s="1629" t="s">
        <v>361</v>
      </c>
      <c r="AK2" s="1630"/>
      <c r="AL2" s="1628"/>
      <c r="AM2" s="1629" t="s">
        <v>362</v>
      </c>
      <c r="AN2" s="1630"/>
      <c r="AO2" s="1628"/>
      <c r="AP2" s="1629" t="s">
        <v>238</v>
      </c>
      <c r="AQ2" s="1630"/>
      <c r="AR2" s="1628"/>
      <c r="AS2" s="1629" t="s">
        <v>240</v>
      </c>
      <c r="AT2" s="1630"/>
      <c r="AU2" s="1628"/>
      <c r="AV2" s="1629" t="s">
        <v>244</v>
      </c>
      <c r="AW2" s="1630"/>
      <c r="AX2" s="1628"/>
      <c r="AY2" s="1629" t="s">
        <v>364</v>
      </c>
      <c r="AZ2" s="1630"/>
      <c r="BA2" s="1628"/>
      <c r="BB2" s="1629" t="s">
        <v>335</v>
      </c>
      <c r="BC2" s="1630"/>
      <c r="BD2" s="1628"/>
      <c r="BE2" s="1629" t="s">
        <v>336</v>
      </c>
      <c r="BF2" s="1630"/>
      <c r="BG2" s="1628"/>
      <c r="BH2" s="1629" t="s">
        <v>337</v>
      </c>
      <c r="BI2" s="1630"/>
      <c r="BJ2" s="1628"/>
    </row>
    <row r="3" spans="1:62" x14ac:dyDescent="0.2">
      <c r="A3" s="1623"/>
      <c r="B3" s="1623"/>
      <c r="C3" s="1623"/>
      <c r="D3" s="1623"/>
      <c r="E3" s="1623"/>
      <c r="F3" s="1615"/>
      <c r="G3" s="1615"/>
      <c r="H3" s="1615"/>
      <c r="I3" s="1615"/>
      <c r="J3" s="1615"/>
      <c r="K3" s="1615"/>
      <c r="L3" s="1629" t="s">
        <v>447</v>
      </c>
      <c r="M3" s="1630"/>
      <c r="N3" s="1628"/>
      <c r="O3" s="1629" t="s">
        <v>447</v>
      </c>
      <c r="P3" s="1630"/>
      <c r="Q3" s="1628"/>
      <c r="R3" s="1629" t="s">
        <v>447</v>
      </c>
      <c r="S3" s="1630"/>
      <c r="T3" s="1628"/>
      <c r="U3" s="1629" t="s">
        <v>447</v>
      </c>
      <c r="V3" s="1630"/>
      <c r="W3" s="1628"/>
      <c r="X3" s="1629" t="s">
        <v>447</v>
      </c>
      <c r="Y3" s="1630"/>
      <c r="Z3" s="1628"/>
      <c r="AA3" s="1629" t="s">
        <v>447</v>
      </c>
      <c r="AB3" s="1630"/>
      <c r="AC3" s="1628"/>
      <c r="AD3" s="1629" t="s">
        <v>447</v>
      </c>
      <c r="AE3" s="1630"/>
      <c r="AF3" s="1628"/>
      <c r="AG3" s="1629" t="s">
        <v>447</v>
      </c>
      <c r="AH3" s="1630"/>
      <c r="AI3" s="1628"/>
      <c r="AJ3" s="1629" t="s">
        <v>447</v>
      </c>
      <c r="AK3" s="1630"/>
      <c r="AL3" s="1628"/>
      <c r="AM3" s="1629" t="s">
        <v>447</v>
      </c>
      <c r="AN3" s="1630"/>
      <c r="AO3" s="1628"/>
      <c r="AP3" s="1629" t="s">
        <v>447</v>
      </c>
      <c r="AQ3" s="1630"/>
      <c r="AR3" s="1628"/>
      <c r="AS3" s="1629" t="s">
        <v>447</v>
      </c>
      <c r="AT3" s="1630"/>
      <c r="AU3" s="1628"/>
      <c r="AV3" s="1629" t="s">
        <v>447</v>
      </c>
      <c r="AW3" s="1630"/>
      <c r="AX3" s="1628"/>
      <c r="AY3" s="1629" t="s">
        <v>447</v>
      </c>
      <c r="AZ3" s="1630"/>
      <c r="BA3" s="1628"/>
      <c r="BB3" s="1629" t="s">
        <v>447</v>
      </c>
      <c r="BC3" s="1630"/>
      <c r="BD3" s="1628"/>
      <c r="BE3" s="1629" t="s">
        <v>447</v>
      </c>
      <c r="BF3" s="1630"/>
      <c r="BG3" s="1628"/>
      <c r="BH3" s="1629" t="s">
        <v>447</v>
      </c>
      <c r="BI3" s="1630"/>
      <c r="BJ3" s="1628"/>
    </row>
    <row r="4" spans="1:62" ht="51" x14ac:dyDescent="0.2">
      <c r="A4" s="1624"/>
      <c r="B4" s="1624"/>
      <c r="C4" s="1624"/>
      <c r="D4" s="1624"/>
      <c r="E4" s="1624"/>
      <c r="F4" s="1615"/>
      <c r="G4" s="1615"/>
      <c r="H4" s="232" t="s">
        <v>410</v>
      </c>
      <c r="I4" s="232" t="s">
        <v>410</v>
      </c>
      <c r="J4" s="232" t="s">
        <v>410</v>
      </c>
      <c r="K4" s="232" t="s">
        <v>410</v>
      </c>
      <c r="L4" s="41" t="s">
        <v>484</v>
      </c>
      <c r="M4" s="41" t="s">
        <v>485</v>
      </c>
      <c r="N4" s="41" t="s">
        <v>2016</v>
      </c>
      <c r="O4" s="41" t="s">
        <v>484</v>
      </c>
      <c r="P4" s="41" t="s">
        <v>485</v>
      </c>
      <c r="Q4" s="41" t="s">
        <v>2016</v>
      </c>
      <c r="R4" s="41" t="s">
        <v>484</v>
      </c>
      <c r="S4" s="41" t="s">
        <v>485</v>
      </c>
      <c r="T4" s="41" t="s">
        <v>2016</v>
      </c>
      <c r="U4" s="41" t="s">
        <v>484</v>
      </c>
      <c r="V4" s="41" t="s">
        <v>485</v>
      </c>
      <c r="W4" s="41" t="s">
        <v>2016</v>
      </c>
      <c r="X4" s="41" t="s">
        <v>484</v>
      </c>
      <c r="Y4" s="41" t="s">
        <v>485</v>
      </c>
      <c r="Z4" s="41" t="s">
        <v>2016</v>
      </c>
      <c r="AA4" s="41" t="s">
        <v>484</v>
      </c>
      <c r="AB4" s="41" t="s">
        <v>485</v>
      </c>
      <c r="AC4" s="41" t="s">
        <v>2016</v>
      </c>
      <c r="AD4" s="41" t="s">
        <v>484</v>
      </c>
      <c r="AE4" s="41" t="s">
        <v>485</v>
      </c>
      <c r="AF4" s="41" t="s">
        <v>2016</v>
      </c>
      <c r="AG4" s="41" t="s">
        <v>484</v>
      </c>
      <c r="AH4" s="41" t="s">
        <v>485</v>
      </c>
      <c r="AI4" s="41" t="s">
        <v>2016</v>
      </c>
      <c r="AJ4" s="41" t="s">
        <v>484</v>
      </c>
      <c r="AK4" s="41" t="s">
        <v>485</v>
      </c>
      <c r="AL4" s="41" t="s">
        <v>2016</v>
      </c>
      <c r="AM4" s="41" t="s">
        <v>484</v>
      </c>
      <c r="AN4" s="41" t="s">
        <v>485</v>
      </c>
      <c r="AO4" s="41" t="s">
        <v>2016</v>
      </c>
      <c r="AP4" s="41" t="s">
        <v>484</v>
      </c>
      <c r="AQ4" s="41" t="s">
        <v>485</v>
      </c>
      <c r="AR4" s="41" t="s">
        <v>2016</v>
      </c>
      <c r="AS4" s="41" t="s">
        <v>484</v>
      </c>
      <c r="AT4" s="41" t="s">
        <v>485</v>
      </c>
      <c r="AU4" s="41" t="s">
        <v>2016</v>
      </c>
      <c r="AV4" s="41" t="s">
        <v>484</v>
      </c>
      <c r="AW4" s="41" t="s">
        <v>485</v>
      </c>
      <c r="AX4" s="41" t="s">
        <v>2016</v>
      </c>
      <c r="AY4" s="41" t="s">
        <v>484</v>
      </c>
      <c r="AZ4" s="41" t="s">
        <v>485</v>
      </c>
      <c r="BA4" s="41" t="s">
        <v>2016</v>
      </c>
      <c r="BB4" s="41" t="s">
        <v>484</v>
      </c>
      <c r="BC4" s="41" t="s">
        <v>485</v>
      </c>
      <c r="BD4" s="41" t="s">
        <v>2016</v>
      </c>
      <c r="BE4" s="41" t="s">
        <v>484</v>
      </c>
      <c r="BF4" s="41" t="s">
        <v>485</v>
      </c>
      <c r="BG4" s="41" t="s">
        <v>2016</v>
      </c>
      <c r="BH4" s="41" t="s">
        <v>484</v>
      </c>
      <c r="BI4" s="41" t="s">
        <v>485</v>
      </c>
      <c r="BJ4" s="41" t="s">
        <v>2016</v>
      </c>
    </row>
    <row r="5" spans="1:62" x14ac:dyDescent="0.2">
      <c r="A5" s="54" t="s">
        <v>1546</v>
      </c>
      <c r="B5" s="37" t="s">
        <v>1547</v>
      </c>
      <c r="C5" s="39" t="s">
        <v>1548</v>
      </c>
      <c r="D5" s="46" t="s">
        <v>1549</v>
      </c>
      <c r="E5" s="39" t="s">
        <v>1550</v>
      </c>
      <c r="F5" s="47" t="s">
        <v>1551</v>
      </c>
      <c r="G5" s="47" t="s">
        <v>1552</v>
      </c>
      <c r="H5" s="47" t="s">
        <v>1553</v>
      </c>
      <c r="I5" s="47" t="s">
        <v>1554</v>
      </c>
      <c r="J5" s="47" t="s">
        <v>1555</v>
      </c>
      <c r="K5" s="47" t="s">
        <v>1556</v>
      </c>
      <c r="L5" s="47" t="s">
        <v>1557</v>
      </c>
      <c r="M5" s="47" t="s">
        <v>1558</v>
      </c>
      <c r="N5" s="47" t="s">
        <v>1559</v>
      </c>
      <c r="O5" s="47" t="s">
        <v>1560</v>
      </c>
      <c r="P5" s="47" t="s">
        <v>1561</v>
      </c>
      <c r="Q5" s="47" t="s">
        <v>1562</v>
      </c>
      <c r="R5" s="47" t="s">
        <v>1563</v>
      </c>
      <c r="S5" s="47" t="s">
        <v>1564</v>
      </c>
      <c r="T5" s="47" t="s">
        <v>1565</v>
      </c>
      <c r="U5" s="47" t="s">
        <v>1566</v>
      </c>
      <c r="V5" s="47" t="s">
        <v>1567</v>
      </c>
      <c r="W5" s="47" t="s">
        <v>1568</v>
      </c>
      <c r="X5" s="47" t="s">
        <v>1569</v>
      </c>
      <c r="Y5" s="47" t="s">
        <v>1570</v>
      </c>
      <c r="Z5" s="47" t="s">
        <v>1571</v>
      </c>
      <c r="AA5" s="47" t="s">
        <v>1572</v>
      </c>
      <c r="AB5" s="47" t="s">
        <v>1573</v>
      </c>
      <c r="AC5" s="47" t="s">
        <v>1574</v>
      </c>
      <c r="AD5" s="47" t="s">
        <v>1575</v>
      </c>
      <c r="AE5" s="47" t="s">
        <v>1576</v>
      </c>
      <c r="AF5" s="47" t="s">
        <v>1577</v>
      </c>
      <c r="AG5" s="47" t="s">
        <v>1578</v>
      </c>
      <c r="AH5" s="47" t="s">
        <v>1579</v>
      </c>
      <c r="AI5" s="47" t="s">
        <v>1580</v>
      </c>
      <c r="AJ5" s="47" t="s">
        <v>1581</v>
      </c>
      <c r="AK5" s="47" t="s">
        <v>1582</v>
      </c>
      <c r="AL5" s="47" t="s">
        <v>1583</v>
      </c>
      <c r="AM5" s="47" t="s">
        <v>1584</v>
      </c>
      <c r="AN5" s="47" t="s">
        <v>1585</v>
      </c>
      <c r="AO5" s="47" t="s">
        <v>1586</v>
      </c>
      <c r="AP5" s="47" t="s">
        <v>1587</v>
      </c>
      <c r="AQ5" s="47" t="s">
        <v>1588</v>
      </c>
      <c r="AR5" s="47" t="s">
        <v>1589</v>
      </c>
      <c r="AS5" s="47" t="s">
        <v>1590</v>
      </c>
      <c r="AT5" s="47" t="s">
        <v>1591</v>
      </c>
      <c r="AU5" s="47" t="s">
        <v>1592</v>
      </c>
      <c r="AV5" s="47" t="s">
        <v>1593</v>
      </c>
      <c r="AW5" s="47" t="s">
        <v>1594</v>
      </c>
      <c r="AX5" s="47" t="s">
        <v>1595</v>
      </c>
      <c r="AY5" s="47" t="s">
        <v>1596</v>
      </c>
      <c r="AZ5" s="47" t="s">
        <v>1597</v>
      </c>
      <c r="BA5" s="47" t="s">
        <v>1598</v>
      </c>
      <c r="BB5" s="47" t="s">
        <v>2420</v>
      </c>
      <c r="BC5" s="47" t="s">
        <v>2421</v>
      </c>
      <c r="BD5" s="47" t="s">
        <v>2422</v>
      </c>
      <c r="BE5" s="47" t="s">
        <v>2423</v>
      </c>
      <c r="BF5" s="47" t="s">
        <v>2424</v>
      </c>
      <c r="BG5" s="47" t="s">
        <v>2425</v>
      </c>
      <c r="BH5" s="47" t="s">
        <v>2426</v>
      </c>
      <c r="BI5" s="47" t="s">
        <v>2427</v>
      </c>
      <c r="BJ5" s="47" t="s">
        <v>2039</v>
      </c>
    </row>
    <row r="6" spans="1:62" ht="15" x14ac:dyDescent="0.25">
      <c r="A6" s="27" t="s">
        <v>791</v>
      </c>
      <c r="B6" s="14" t="s">
        <v>802</v>
      </c>
      <c r="C6" s="1" t="s">
        <v>955</v>
      </c>
      <c r="D6" s="18" t="s">
        <v>956</v>
      </c>
      <c r="E6" s="1" t="s">
        <v>1544</v>
      </c>
      <c r="F6" s="15">
        <v>42522</v>
      </c>
      <c r="G6" s="15">
        <v>42644</v>
      </c>
      <c r="H6" s="15"/>
      <c r="I6" s="279">
        <v>301605.65999999997</v>
      </c>
      <c r="J6" s="15"/>
      <c r="K6" s="306">
        <f>projekty[[#This Row],[Stĺpec9]]</f>
        <v>301605.65999999997</v>
      </c>
      <c r="L6" s="20">
        <v>0</v>
      </c>
      <c r="M6" s="20">
        <v>0</v>
      </c>
      <c r="N6" s="20">
        <f>projekty[[#This Row],[Stĺpec12]]</f>
        <v>0</v>
      </c>
      <c r="O6" s="20">
        <v>0</v>
      </c>
      <c r="P6" s="20">
        <v>0</v>
      </c>
      <c r="Q6" s="20">
        <f>projekty[[#This Row],[Stĺpec15]]</f>
        <v>0</v>
      </c>
      <c r="R6" s="20">
        <v>37</v>
      </c>
      <c r="S6" s="20">
        <v>0</v>
      </c>
      <c r="T6" s="20">
        <f>projekty[[#This Row],[Stĺpec18]]</f>
        <v>37</v>
      </c>
      <c r="U6" s="20">
        <v>3</v>
      </c>
      <c r="V6" s="20">
        <v>0</v>
      </c>
      <c r="W6" s="20">
        <f>projekty[[#This Row],[Stĺpec21]]</f>
        <v>3</v>
      </c>
      <c r="X6" s="20">
        <v>1</v>
      </c>
      <c r="Y6" s="20">
        <v>0</v>
      </c>
      <c r="Z6" s="20">
        <f>projekty[[#This Row],[Stĺpec24]]</f>
        <v>1</v>
      </c>
      <c r="AA6" s="20">
        <v>840.8</v>
      </c>
      <c r="AB6" s="20">
        <v>0</v>
      </c>
      <c r="AC6" s="20">
        <f>projekty[[#This Row],[Stĺpec27]]</f>
        <v>840.8</v>
      </c>
      <c r="AD6" s="20">
        <v>18</v>
      </c>
      <c r="AE6" s="20">
        <v>0</v>
      </c>
      <c r="AF6" s="20">
        <f>projekty[[#This Row],[Stĺpec30]]</f>
        <v>18</v>
      </c>
      <c r="AG6" s="20">
        <v>138</v>
      </c>
      <c r="AH6" s="20">
        <v>0</v>
      </c>
      <c r="AI6" s="20">
        <f>projekty[[#This Row],[Stĺpec33]]</f>
        <v>138</v>
      </c>
      <c r="AJ6" s="20">
        <v>120000</v>
      </c>
      <c r="AK6" s="20">
        <v>0</v>
      </c>
      <c r="AL6" s="20">
        <f>projekty[[#This Row],[Stĺpec36]]</f>
        <v>120000</v>
      </c>
      <c r="AM6" s="20">
        <v>120000</v>
      </c>
      <c r="AN6" s="20">
        <v>0</v>
      </c>
      <c r="AO6" s="20">
        <f>projekty[[#This Row],[Stĺpec39]]</f>
        <v>120000</v>
      </c>
      <c r="AP6" s="20">
        <v>0</v>
      </c>
      <c r="AQ6" s="20">
        <v>0</v>
      </c>
      <c r="AR6" s="20">
        <f>projekty[[#This Row],[Stĺpec42]]</f>
        <v>0</v>
      </c>
      <c r="AS6" s="20">
        <v>0</v>
      </c>
      <c r="AT6" s="20">
        <v>0</v>
      </c>
      <c r="AU6" s="20">
        <f>projekty[[#This Row],[Stĺpec45]]</f>
        <v>0</v>
      </c>
      <c r="AV6" s="20">
        <v>0</v>
      </c>
      <c r="AW6" s="20">
        <v>0</v>
      </c>
      <c r="AX6" s="20">
        <f>projekty[[#This Row],[Stĺpec48]]</f>
        <v>0</v>
      </c>
      <c r="AY6" s="20">
        <v>295370</v>
      </c>
      <c r="AZ6" s="20">
        <v>0</v>
      </c>
      <c r="BA6" s="20">
        <f>projekty[[#This Row],[Stĺpec51]]</f>
        <v>295370</v>
      </c>
      <c r="BB6" s="20">
        <v>0</v>
      </c>
      <c r="BC6" s="20">
        <v>0</v>
      </c>
      <c r="BD6" s="20">
        <f>projekty[[#This Row],[Stĺpec54]]</f>
        <v>0</v>
      </c>
      <c r="BE6" s="20">
        <v>0</v>
      </c>
      <c r="BF6" s="20">
        <v>0</v>
      </c>
      <c r="BG6" s="20">
        <f>projekty[[#This Row],[Stĺpec57]]</f>
        <v>0</v>
      </c>
      <c r="BH6" s="20">
        <v>0</v>
      </c>
      <c r="BI6" s="28">
        <v>0</v>
      </c>
      <c r="BJ6" s="40">
        <f>projekty[[#This Row],[Stĺpec60]]</f>
        <v>0</v>
      </c>
    </row>
    <row r="7" spans="1:62" ht="15" x14ac:dyDescent="0.25">
      <c r="A7" s="53" t="s">
        <v>716</v>
      </c>
      <c r="B7" s="14" t="s">
        <v>802</v>
      </c>
      <c r="C7" s="1" t="s">
        <v>807</v>
      </c>
      <c r="D7" s="18" t="s">
        <v>808</v>
      </c>
      <c r="E7" s="1" t="s">
        <v>1544</v>
      </c>
      <c r="F7" s="15">
        <v>42583</v>
      </c>
      <c r="G7" s="15">
        <v>42767</v>
      </c>
      <c r="H7" s="15"/>
      <c r="I7" s="279">
        <v>919603.22</v>
      </c>
      <c r="J7" s="15"/>
      <c r="K7" s="306">
        <f>projekty[[#This Row],[Stĺpec9]]</f>
        <v>919603.22</v>
      </c>
      <c r="L7" s="19">
        <v>0</v>
      </c>
      <c r="M7" s="19">
        <v>0</v>
      </c>
      <c r="N7" s="19">
        <f>projekty[[#This Row],[Stĺpec12]]</f>
        <v>0</v>
      </c>
      <c r="O7" s="19">
        <v>0</v>
      </c>
      <c r="P7" s="19">
        <v>0</v>
      </c>
      <c r="Q7" s="19">
        <f>projekty[[#This Row],[Stĺpec15]]</f>
        <v>0</v>
      </c>
      <c r="R7" s="19">
        <v>79</v>
      </c>
      <c r="S7" s="19">
        <v>0</v>
      </c>
      <c r="T7" s="19">
        <f>projekty[[#This Row],[Stĺpec18]]</f>
        <v>79</v>
      </c>
      <c r="U7" s="19">
        <v>2</v>
      </c>
      <c r="V7" s="19">
        <v>0</v>
      </c>
      <c r="W7" s="19">
        <f>projekty[[#This Row],[Stĺpec21]]</f>
        <v>2</v>
      </c>
      <c r="X7" s="19">
        <v>1</v>
      </c>
      <c r="Y7" s="19">
        <v>0</v>
      </c>
      <c r="Z7" s="19">
        <f>projekty[[#This Row],[Stĺpec24]]</f>
        <v>1</v>
      </c>
      <c r="AA7" s="19">
        <v>3744</v>
      </c>
      <c r="AB7" s="19">
        <v>0</v>
      </c>
      <c r="AC7" s="19">
        <f>projekty[[#This Row],[Stĺpec27]]</f>
        <v>3744</v>
      </c>
      <c r="AD7" s="19">
        <v>134</v>
      </c>
      <c r="AE7" s="19">
        <v>0</v>
      </c>
      <c r="AF7" s="19">
        <f>projekty[[#This Row],[Stĺpec30]]</f>
        <v>134</v>
      </c>
      <c r="AG7" s="19">
        <v>334</v>
      </c>
      <c r="AH7" s="19">
        <v>0</v>
      </c>
      <c r="AI7" s="19">
        <f>projekty[[#This Row],[Stĺpec33]]</f>
        <v>334</v>
      </c>
      <c r="AJ7" s="19">
        <v>200000</v>
      </c>
      <c r="AK7" s="19">
        <v>0</v>
      </c>
      <c r="AL7" s="19">
        <f>projekty[[#This Row],[Stĺpec36]]</f>
        <v>200000</v>
      </c>
      <c r="AM7" s="20">
        <v>200000</v>
      </c>
      <c r="AN7" s="20">
        <v>0</v>
      </c>
      <c r="AO7" s="20">
        <f>projekty[[#This Row],[Stĺpec39]]</f>
        <v>200000</v>
      </c>
      <c r="AP7" s="20">
        <v>0</v>
      </c>
      <c r="AQ7" s="20">
        <v>0</v>
      </c>
      <c r="AR7" s="20">
        <f>projekty[[#This Row],[Stĺpec42]]</f>
        <v>0</v>
      </c>
      <c r="AS7" s="20">
        <v>800</v>
      </c>
      <c r="AT7" s="20">
        <v>0</v>
      </c>
      <c r="AU7" s="20">
        <f>projekty[[#This Row],[Stĺpec45]]</f>
        <v>800</v>
      </c>
      <c r="AV7" s="20">
        <v>0</v>
      </c>
      <c r="AW7" s="20">
        <v>0</v>
      </c>
      <c r="AX7" s="20">
        <f>projekty[[#This Row],[Stĺpec48]]</f>
        <v>0</v>
      </c>
      <c r="AY7" s="20">
        <v>200000</v>
      </c>
      <c r="AZ7" s="20">
        <v>0</v>
      </c>
      <c r="BA7" s="20">
        <f>projekty[[#This Row],[Stĺpec51]]</f>
        <v>200000</v>
      </c>
      <c r="BB7" s="20">
        <v>0</v>
      </c>
      <c r="BC7" s="20">
        <v>0</v>
      </c>
      <c r="BD7" s="20">
        <f>projekty[[#This Row],[Stĺpec54]]</f>
        <v>0</v>
      </c>
      <c r="BE7" s="20">
        <v>0</v>
      </c>
      <c r="BF7" s="20">
        <v>0</v>
      </c>
      <c r="BG7" s="20">
        <f>projekty[[#This Row],[Stĺpec57]]</f>
        <v>0</v>
      </c>
      <c r="BH7" s="20">
        <v>0</v>
      </c>
      <c r="BI7" s="28">
        <v>0</v>
      </c>
      <c r="BJ7" s="20">
        <f>projekty[[#This Row],[Stĺpec60]]</f>
        <v>0</v>
      </c>
    </row>
    <row r="8" spans="1:62" ht="15" x14ac:dyDescent="0.25">
      <c r="A8" s="27" t="s">
        <v>797</v>
      </c>
      <c r="B8" s="14" t="s">
        <v>802</v>
      </c>
      <c r="C8" s="1" t="s">
        <v>967</v>
      </c>
      <c r="D8" s="18" t="s">
        <v>968</v>
      </c>
      <c r="E8" s="1" t="s">
        <v>1544</v>
      </c>
      <c r="F8" s="15">
        <v>42583</v>
      </c>
      <c r="G8" s="15">
        <v>42826</v>
      </c>
      <c r="H8" s="15"/>
      <c r="I8" s="279">
        <v>243322.9</v>
      </c>
      <c r="J8" s="15"/>
      <c r="K8" s="306">
        <f>projekty[[#This Row],[Stĺpec9]]</f>
        <v>243322.9</v>
      </c>
      <c r="L8" s="20">
        <v>0</v>
      </c>
      <c r="M8" s="20">
        <v>0</v>
      </c>
      <c r="N8" s="20">
        <f>projekty[[#This Row],[Stĺpec12]]</f>
        <v>0</v>
      </c>
      <c r="O8" s="20">
        <v>0</v>
      </c>
      <c r="P8" s="20">
        <v>0</v>
      </c>
      <c r="Q8" s="20">
        <f>projekty[[#This Row],[Stĺpec15]]</f>
        <v>0</v>
      </c>
      <c r="R8" s="20">
        <v>12.4</v>
      </c>
      <c r="S8" s="20">
        <v>0</v>
      </c>
      <c r="T8" s="20">
        <f>projekty[[#This Row],[Stĺpec18]]</f>
        <v>12.4</v>
      </c>
      <c r="U8" s="20">
        <v>2</v>
      </c>
      <c r="V8" s="20">
        <v>0</v>
      </c>
      <c r="W8" s="20">
        <f>projekty[[#This Row],[Stĺpec21]]</f>
        <v>2</v>
      </c>
      <c r="X8" s="20">
        <v>1</v>
      </c>
      <c r="Y8" s="20">
        <v>0</v>
      </c>
      <c r="Z8" s="20">
        <f>projekty[[#This Row],[Stĺpec24]]</f>
        <v>1</v>
      </c>
      <c r="AA8" s="20">
        <v>1445</v>
      </c>
      <c r="AB8" s="20">
        <v>0</v>
      </c>
      <c r="AC8" s="20">
        <f>projekty[[#This Row],[Stĺpec27]]</f>
        <v>1445</v>
      </c>
      <c r="AD8" s="20">
        <v>52.558</v>
      </c>
      <c r="AE8" s="20">
        <v>0</v>
      </c>
      <c r="AF8" s="20">
        <f>projekty[[#This Row],[Stĺpec30]]</f>
        <v>52.558</v>
      </c>
      <c r="AG8" s="20">
        <v>107.827</v>
      </c>
      <c r="AH8" s="20">
        <v>0</v>
      </c>
      <c r="AI8" s="20">
        <f>projekty[[#This Row],[Stĺpec33]]</f>
        <v>107.827</v>
      </c>
      <c r="AJ8" s="20">
        <v>55268.9</v>
      </c>
      <c r="AK8" s="20">
        <v>0</v>
      </c>
      <c r="AL8" s="20">
        <f>projekty[[#This Row],[Stĺpec36]]</f>
        <v>55268.9</v>
      </c>
      <c r="AM8" s="20">
        <v>55268.9</v>
      </c>
      <c r="AN8" s="20">
        <v>0</v>
      </c>
      <c r="AO8" s="20">
        <f>projekty[[#This Row],[Stĺpec39]]</f>
        <v>55268.9</v>
      </c>
      <c r="AP8" s="20">
        <v>14</v>
      </c>
      <c r="AQ8" s="20">
        <v>0</v>
      </c>
      <c r="AR8" s="20">
        <f>projekty[[#This Row],[Stĺpec42]]</f>
        <v>14</v>
      </c>
      <c r="AS8" s="20">
        <v>1</v>
      </c>
      <c r="AT8" s="20">
        <v>0</v>
      </c>
      <c r="AU8" s="20">
        <f>projekty[[#This Row],[Stĺpec45]]</f>
        <v>1</v>
      </c>
      <c r="AV8" s="20">
        <v>1</v>
      </c>
      <c r="AW8" s="20">
        <v>0</v>
      </c>
      <c r="AX8" s="20">
        <f>projekty[[#This Row],[Stĺpec48]]</f>
        <v>1</v>
      </c>
      <c r="AY8" s="20">
        <v>53708.3</v>
      </c>
      <c r="AZ8" s="20">
        <v>0</v>
      </c>
      <c r="BA8" s="20">
        <f>projekty[[#This Row],[Stĺpec51]]</f>
        <v>53708.3</v>
      </c>
      <c r="BB8" s="20">
        <v>0</v>
      </c>
      <c r="BC8" s="20">
        <v>0</v>
      </c>
      <c r="BD8" s="20">
        <f>projekty[[#This Row],[Stĺpec54]]</f>
        <v>0</v>
      </c>
      <c r="BE8" s="20">
        <v>0</v>
      </c>
      <c r="BF8" s="20">
        <v>0</v>
      </c>
      <c r="BG8" s="20">
        <f>projekty[[#This Row],[Stĺpec57]]</f>
        <v>0</v>
      </c>
      <c r="BH8" s="20">
        <v>0</v>
      </c>
      <c r="BI8" s="28">
        <v>0</v>
      </c>
      <c r="BJ8" s="20">
        <f>projekty[[#This Row],[Stĺpec60]]</f>
        <v>0</v>
      </c>
    </row>
    <row r="9" spans="1:62" ht="15" x14ac:dyDescent="0.25">
      <c r="A9" s="27" t="s">
        <v>757</v>
      </c>
      <c r="B9" s="14" t="s">
        <v>802</v>
      </c>
      <c r="C9" s="1" t="s">
        <v>889</v>
      </c>
      <c r="D9" s="18" t="s">
        <v>890</v>
      </c>
      <c r="E9" s="1" t="s">
        <v>1544</v>
      </c>
      <c r="F9" s="15">
        <v>42522</v>
      </c>
      <c r="G9" s="15">
        <v>42856</v>
      </c>
      <c r="H9" s="15"/>
      <c r="I9" s="279">
        <v>211868.46</v>
      </c>
      <c r="J9" s="15"/>
      <c r="K9" s="306">
        <f>projekty[[#This Row],[Stĺpec9]]</f>
        <v>211868.46</v>
      </c>
      <c r="L9" s="20">
        <v>0</v>
      </c>
      <c r="M9" s="20">
        <v>0</v>
      </c>
      <c r="N9" s="20">
        <f>projekty[[#This Row],[Stĺpec12]]</f>
        <v>0</v>
      </c>
      <c r="O9" s="20">
        <v>0</v>
      </c>
      <c r="P9" s="20">
        <v>0</v>
      </c>
      <c r="Q9" s="20">
        <f>projekty[[#This Row],[Stĺpec15]]</f>
        <v>0</v>
      </c>
      <c r="R9" s="20">
        <v>26.26</v>
      </c>
      <c r="S9" s="20">
        <v>0</v>
      </c>
      <c r="T9" s="20">
        <f>projekty[[#This Row],[Stĺpec18]]</f>
        <v>26.26</v>
      </c>
      <c r="U9" s="20">
        <v>4</v>
      </c>
      <c r="V9" s="20">
        <v>0</v>
      </c>
      <c r="W9" s="20">
        <f>projekty[[#This Row],[Stĺpec21]]</f>
        <v>4</v>
      </c>
      <c r="X9" s="20">
        <v>1</v>
      </c>
      <c r="Y9" s="20">
        <v>0</v>
      </c>
      <c r="Z9" s="20">
        <f>projekty[[#This Row],[Stĺpec24]]</f>
        <v>1</v>
      </c>
      <c r="AA9" s="20">
        <v>367.53</v>
      </c>
      <c r="AB9" s="20">
        <v>0</v>
      </c>
      <c r="AC9" s="20">
        <f>projekty[[#This Row],[Stĺpec27]]</f>
        <v>367.53</v>
      </c>
      <c r="AD9" s="20">
        <v>17.591000000000001</v>
      </c>
      <c r="AE9" s="20">
        <v>0</v>
      </c>
      <c r="AF9" s="20">
        <f>projekty[[#This Row],[Stĺpec30]]</f>
        <v>17.591000000000001</v>
      </c>
      <c r="AG9" s="20">
        <v>110.931</v>
      </c>
      <c r="AH9" s="20">
        <v>0</v>
      </c>
      <c r="AI9" s="20">
        <f>projekty[[#This Row],[Stĺpec33]]</f>
        <v>110.931</v>
      </c>
      <c r="AJ9" s="20">
        <v>93340</v>
      </c>
      <c r="AK9" s="20">
        <v>0</v>
      </c>
      <c r="AL9" s="20">
        <f>projekty[[#This Row],[Stĺpec36]]</f>
        <v>93340</v>
      </c>
      <c r="AM9" s="20">
        <v>130364.44</v>
      </c>
      <c r="AN9" s="20">
        <v>0</v>
      </c>
      <c r="AO9" s="20">
        <f>projekty[[#This Row],[Stĺpec39]]</f>
        <v>130364.44</v>
      </c>
      <c r="AP9" s="20">
        <v>14710</v>
      </c>
      <c r="AQ9" s="20">
        <v>0</v>
      </c>
      <c r="AR9" s="20">
        <f>projekty[[#This Row],[Stĺpec42]]</f>
        <v>14710</v>
      </c>
      <c r="AS9" s="20">
        <v>0</v>
      </c>
      <c r="AT9" s="20">
        <v>0</v>
      </c>
      <c r="AU9" s="20">
        <f>projekty[[#This Row],[Stĺpec45]]</f>
        <v>0</v>
      </c>
      <c r="AV9" s="20">
        <v>750</v>
      </c>
      <c r="AW9" s="20">
        <v>0</v>
      </c>
      <c r="AX9" s="20">
        <f>projekty[[#This Row],[Stĺpec48]]</f>
        <v>750</v>
      </c>
      <c r="AY9" s="20">
        <v>126327</v>
      </c>
      <c r="AZ9" s="20">
        <v>0</v>
      </c>
      <c r="BA9" s="20">
        <f>projekty[[#This Row],[Stĺpec51]]</f>
        <v>126327</v>
      </c>
      <c r="BB9" s="20">
        <v>0</v>
      </c>
      <c r="BC9" s="20">
        <v>0</v>
      </c>
      <c r="BD9" s="20">
        <f>projekty[[#This Row],[Stĺpec54]]</f>
        <v>0</v>
      </c>
      <c r="BE9" s="20">
        <v>0</v>
      </c>
      <c r="BF9" s="20">
        <v>0</v>
      </c>
      <c r="BG9" s="20">
        <f>projekty[[#This Row],[Stĺpec57]]</f>
        <v>0</v>
      </c>
      <c r="BH9" s="20">
        <v>0</v>
      </c>
      <c r="BI9" s="28">
        <v>0</v>
      </c>
      <c r="BJ9" s="20">
        <f>projekty[[#This Row],[Stĺpec60]]</f>
        <v>0</v>
      </c>
    </row>
    <row r="10" spans="1:62" ht="15" x14ac:dyDescent="0.25">
      <c r="A10" s="27" t="s">
        <v>794</v>
      </c>
      <c r="B10" s="14" t="s">
        <v>802</v>
      </c>
      <c r="C10" s="1" t="s">
        <v>961</v>
      </c>
      <c r="D10" s="18" t="s">
        <v>962</v>
      </c>
      <c r="E10" s="1" t="s">
        <v>1544</v>
      </c>
      <c r="F10" s="15">
        <v>42522</v>
      </c>
      <c r="G10" s="15">
        <v>42856</v>
      </c>
      <c r="H10" s="15"/>
      <c r="I10" s="279">
        <v>211764.34</v>
      </c>
      <c r="J10" s="15"/>
      <c r="K10" s="306">
        <f>projekty[[#This Row],[Stĺpec9]]</f>
        <v>211764.34</v>
      </c>
      <c r="L10" s="20">
        <v>0</v>
      </c>
      <c r="M10" s="20">
        <v>0</v>
      </c>
      <c r="N10" s="20">
        <f>projekty[[#This Row],[Stĺpec12]]</f>
        <v>0</v>
      </c>
      <c r="O10" s="20">
        <v>0</v>
      </c>
      <c r="P10" s="20">
        <v>0</v>
      </c>
      <c r="Q10" s="20">
        <f>projekty[[#This Row],[Stĺpec15]]</f>
        <v>0</v>
      </c>
      <c r="R10" s="20">
        <v>14.794</v>
      </c>
      <c r="S10" s="20">
        <v>0</v>
      </c>
      <c r="T10" s="20">
        <f>projekty[[#This Row],[Stĺpec18]]</f>
        <v>14.794</v>
      </c>
      <c r="U10" s="20">
        <v>4</v>
      </c>
      <c r="V10" s="20">
        <v>0</v>
      </c>
      <c r="W10" s="20">
        <f>projekty[[#This Row],[Stĺpec21]]</f>
        <v>4</v>
      </c>
      <c r="X10" s="20">
        <v>1</v>
      </c>
      <c r="Y10" s="20">
        <v>0</v>
      </c>
      <c r="Z10" s="20">
        <f>projekty[[#This Row],[Stĺpec24]]</f>
        <v>1</v>
      </c>
      <c r="AA10" s="20">
        <v>697</v>
      </c>
      <c r="AB10" s="20">
        <v>0</v>
      </c>
      <c r="AC10" s="20">
        <f>projekty[[#This Row],[Stĺpec27]]</f>
        <v>697</v>
      </c>
      <c r="AD10" s="20">
        <v>30.655999999999999</v>
      </c>
      <c r="AE10" s="20">
        <v>0</v>
      </c>
      <c r="AF10" s="20">
        <f>projekty[[#This Row],[Stĺpec30]]</f>
        <v>30.655999999999999</v>
      </c>
      <c r="AG10" s="20">
        <v>84.004999999999995</v>
      </c>
      <c r="AH10" s="20">
        <v>0</v>
      </c>
      <c r="AI10" s="20">
        <f>projekty[[#This Row],[Stĺpec33]]</f>
        <v>84.004999999999995</v>
      </c>
      <c r="AJ10" s="20">
        <v>53348</v>
      </c>
      <c r="AK10" s="20">
        <v>0</v>
      </c>
      <c r="AL10" s="20">
        <f>projekty[[#This Row],[Stĺpec36]]</f>
        <v>53348</v>
      </c>
      <c r="AM10" s="20">
        <v>122907</v>
      </c>
      <c r="AN10" s="20">
        <v>0</v>
      </c>
      <c r="AO10" s="20">
        <f>projekty[[#This Row],[Stĺpec39]]</f>
        <v>122907</v>
      </c>
      <c r="AP10" s="20">
        <v>13</v>
      </c>
      <c r="AQ10" s="20">
        <v>0</v>
      </c>
      <c r="AR10" s="20">
        <f>projekty[[#This Row],[Stĺpec42]]</f>
        <v>13</v>
      </c>
      <c r="AS10" s="20">
        <v>0</v>
      </c>
      <c r="AT10" s="20">
        <v>0</v>
      </c>
      <c r="AU10" s="20">
        <f>projekty[[#This Row],[Stĺpec45]]</f>
        <v>0</v>
      </c>
      <c r="AV10" s="20">
        <v>0</v>
      </c>
      <c r="AW10" s="20">
        <v>0</v>
      </c>
      <c r="AX10" s="20">
        <f>projekty[[#This Row],[Stĺpec48]]</f>
        <v>0</v>
      </c>
      <c r="AY10" s="20">
        <v>72000</v>
      </c>
      <c r="AZ10" s="20">
        <v>0</v>
      </c>
      <c r="BA10" s="20">
        <f>projekty[[#This Row],[Stĺpec51]]</f>
        <v>72000</v>
      </c>
      <c r="BB10" s="20">
        <v>0</v>
      </c>
      <c r="BC10" s="20">
        <v>0</v>
      </c>
      <c r="BD10" s="20">
        <f>projekty[[#This Row],[Stĺpec54]]</f>
        <v>0</v>
      </c>
      <c r="BE10" s="20">
        <v>0</v>
      </c>
      <c r="BF10" s="20">
        <v>0</v>
      </c>
      <c r="BG10" s="20">
        <f>projekty[[#This Row],[Stĺpec57]]</f>
        <v>0</v>
      </c>
      <c r="BH10" s="20">
        <v>0</v>
      </c>
      <c r="BI10" s="28">
        <v>0</v>
      </c>
      <c r="BJ10" s="20">
        <f>projekty[[#This Row],[Stĺpec60]]</f>
        <v>0</v>
      </c>
    </row>
    <row r="11" spans="1:62" ht="15" x14ac:dyDescent="0.25">
      <c r="A11" s="27" t="s">
        <v>793</v>
      </c>
      <c r="B11" s="14" t="s">
        <v>802</v>
      </c>
      <c r="C11" s="1" t="s">
        <v>959</v>
      </c>
      <c r="D11" s="18" t="s">
        <v>960</v>
      </c>
      <c r="E11" s="1" t="s">
        <v>1544</v>
      </c>
      <c r="F11" s="15">
        <v>42339</v>
      </c>
      <c r="G11" s="15">
        <v>42887</v>
      </c>
      <c r="H11" s="15"/>
      <c r="I11" s="279">
        <v>733777.71</v>
      </c>
      <c r="J11" s="15"/>
      <c r="K11" s="306">
        <f>projekty[[#This Row],[Stĺpec9]]</f>
        <v>733777.71</v>
      </c>
      <c r="L11" s="20">
        <v>10</v>
      </c>
      <c r="M11" s="20">
        <v>0</v>
      </c>
      <c r="N11" s="20">
        <f>projekty[[#This Row],[Stĺpec12]]</f>
        <v>10</v>
      </c>
      <c r="O11" s="20">
        <v>0</v>
      </c>
      <c r="P11" s="20">
        <v>0</v>
      </c>
      <c r="Q11" s="20">
        <f>projekty[[#This Row],[Stĺpec15]]</f>
        <v>0</v>
      </c>
      <c r="R11" s="20">
        <v>2.3E-2</v>
      </c>
      <c r="S11" s="20">
        <v>0</v>
      </c>
      <c r="T11" s="20">
        <f>projekty[[#This Row],[Stĺpec18]]</f>
        <v>2.3E-2</v>
      </c>
      <c r="U11" s="20">
        <v>3</v>
      </c>
      <c r="V11" s="20">
        <v>0</v>
      </c>
      <c r="W11" s="20">
        <f>projekty[[#This Row],[Stĺpec21]]</f>
        <v>3</v>
      </c>
      <c r="X11" s="20">
        <v>1</v>
      </c>
      <c r="Y11" s="20">
        <v>0</v>
      </c>
      <c r="Z11" s="20">
        <f>projekty[[#This Row],[Stĺpec24]]</f>
        <v>1</v>
      </c>
      <c r="AA11" s="20">
        <v>1223.56</v>
      </c>
      <c r="AB11" s="20">
        <v>0</v>
      </c>
      <c r="AC11" s="20">
        <f>projekty[[#This Row],[Stĺpec27]]</f>
        <v>1223.56</v>
      </c>
      <c r="AD11" s="20">
        <v>117.29900000000001</v>
      </c>
      <c r="AE11" s="20">
        <v>0</v>
      </c>
      <c r="AF11" s="20">
        <f>projekty[[#This Row],[Stĺpec30]]</f>
        <v>117.29900000000001</v>
      </c>
      <c r="AG11" s="20">
        <v>592.70000000000005</v>
      </c>
      <c r="AH11" s="20">
        <v>0</v>
      </c>
      <c r="AI11" s="20">
        <f>projekty[[#This Row],[Stĺpec33]]</f>
        <v>592.70000000000005</v>
      </c>
      <c r="AJ11" s="20">
        <v>475404</v>
      </c>
      <c r="AK11" s="20">
        <v>0</v>
      </c>
      <c r="AL11" s="20">
        <f>projekty[[#This Row],[Stĺpec36]]</f>
        <v>475404</v>
      </c>
      <c r="AM11" s="20">
        <v>475404</v>
      </c>
      <c r="AN11" s="20">
        <v>0</v>
      </c>
      <c r="AO11" s="20">
        <f>projekty[[#This Row],[Stĺpec39]]</f>
        <v>475404</v>
      </c>
      <c r="AP11" s="20">
        <v>535</v>
      </c>
      <c r="AQ11" s="20">
        <v>0</v>
      </c>
      <c r="AR11" s="20">
        <f>projekty[[#This Row],[Stĺpec42]]</f>
        <v>535</v>
      </c>
      <c r="AS11" s="20">
        <v>4</v>
      </c>
      <c r="AT11" s="20">
        <v>0</v>
      </c>
      <c r="AU11" s="20">
        <f>projekty[[#This Row],[Stĺpec45]]</f>
        <v>4</v>
      </c>
      <c r="AV11" s="20">
        <v>7</v>
      </c>
      <c r="AW11" s="20">
        <v>0</v>
      </c>
      <c r="AX11" s="20">
        <f>projekty[[#This Row],[Stĺpec48]]</f>
        <v>7</v>
      </c>
      <c r="AY11" s="20">
        <v>237260</v>
      </c>
      <c r="AZ11" s="20">
        <v>0</v>
      </c>
      <c r="BA11" s="20">
        <f>projekty[[#This Row],[Stĺpec51]]</f>
        <v>237260</v>
      </c>
      <c r="BB11" s="20">
        <v>10</v>
      </c>
      <c r="BC11" s="20">
        <v>0</v>
      </c>
      <c r="BD11" s="20">
        <f>projekty[[#This Row],[Stĺpec54]]</f>
        <v>10</v>
      </c>
      <c r="BE11" s="20">
        <v>10</v>
      </c>
      <c r="BF11" s="20">
        <v>0</v>
      </c>
      <c r="BG11" s="20">
        <f>projekty[[#This Row],[Stĺpec57]]</f>
        <v>10</v>
      </c>
      <c r="BH11" s="20">
        <v>0</v>
      </c>
      <c r="BI11" s="28">
        <v>0</v>
      </c>
      <c r="BJ11" s="20">
        <f>projekty[[#This Row],[Stĺpec60]]</f>
        <v>0</v>
      </c>
    </row>
    <row r="12" spans="1:62" ht="15" x14ac:dyDescent="0.25">
      <c r="A12" s="27" t="s">
        <v>733</v>
      </c>
      <c r="B12" s="14" t="s">
        <v>802</v>
      </c>
      <c r="C12" s="1" t="s">
        <v>841</v>
      </c>
      <c r="D12" s="18" t="s">
        <v>842</v>
      </c>
      <c r="E12" s="1" t="s">
        <v>1544</v>
      </c>
      <c r="F12" s="15">
        <v>42552</v>
      </c>
      <c r="G12" s="15">
        <v>42887</v>
      </c>
      <c r="H12" s="15"/>
      <c r="I12" s="279">
        <v>892912.3</v>
      </c>
      <c r="J12" s="15"/>
      <c r="K12" s="306">
        <f>projekty[[#This Row],[Stĺpec9]]</f>
        <v>892912.3</v>
      </c>
      <c r="L12" s="20">
        <v>0</v>
      </c>
      <c r="M12" s="20">
        <v>0</v>
      </c>
      <c r="N12" s="20">
        <f>projekty[[#This Row],[Stĺpec12]]</f>
        <v>0</v>
      </c>
      <c r="O12" s="20">
        <v>0</v>
      </c>
      <c r="P12" s="20">
        <v>0</v>
      </c>
      <c r="Q12" s="20">
        <f>projekty[[#This Row],[Stĺpec15]]</f>
        <v>0</v>
      </c>
      <c r="R12" s="20">
        <v>53.6</v>
      </c>
      <c r="S12" s="20">
        <v>0</v>
      </c>
      <c r="T12" s="20">
        <f>projekty[[#This Row],[Stĺpec18]]</f>
        <v>53.6</v>
      </c>
      <c r="U12" s="20">
        <v>5</v>
      </c>
      <c r="V12" s="20">
        <v>0</v>
      </c>
      <c r="W12" s="20">
        <f>projekty[[#This Row],[Stĺpec21]]</f>
        <v>5</v>
      </c>
      <c r="X12" s="20">
        <v>5</v>
      </c>
      <c r="Y12" s="20">
        <v>0</v>
      </c>
      <c r="Z12" s="20">
        <f>projekty[[#This Row],[Stĺpec24]]</f>
        <v>5</v>
      </c>
      <c r="AA12" s="20">
        <v>3404.16</v>
      </c>
      <c r="AB12" s="20">
        <v>0</v>
      </c>
      <c r="AC12" s="20">
        <f>projekty[[#This Row],[Stĺpec27]]</f>
        <v>3404.16</v>
      </c>
      <c r="AD12" s="20">
        <v>181.02699999999999</v>
      </c>
      <c r="AE12" s="20">
        <v>0</v>
      </c>
      <c r="AF12" s="20">
        <f>projekty[[#This Row],[Stĺpec30]]</f>
        <v>181.02699999999999</v>
      </c>
      <c r="AG12" s="20">
        <v>374.51</v>
      </c>
      <c r="AH12" s="20">
        <v>0</v>
      </c>
      <c r="AI12" s="20">
        <f>projekty[[#This Row],[Stĺpec33]]</f>
        <v>374.51</v>
      </c>
      <c r="AJ12" s="20">
        <v>193483</v>
      </c>
      <c r="AK12" s="20">
        <v>0</v>
      </c>
      <c r="AL12" s="20">
        <f>projekty[[#This Row],[Stĺpec36]]</f>
        <v>193483</v>
      </c>
      <c r="AM12" s="20">
        <v>149721</v>
      </c>
      <c r="AN12" s="20">
        <v>0</v>
      </c>
      <c r="AO12" s="20">
        <f>projekty[[#This Row],[Stĺpec39]]</f>
        <v>149721</v>
      </c>
      <c r="AP12" s="20">
        <v>27.8</v>
      </c>
      <c r="AQ12" s="20">
        <v>0</v>
      </c>
      <c r="AR12" s="20">
        <f>projekty[[#This Row],[Stĺpec42]]</f>
        <v>27.8</v>
      </c>
      <c r="AS12" s="20">
        <v>3.9</v>
      </c>
      <c r="AT12" s="20">
        <v>0</v>
      </c>
      <c r="AU12" s="20">
        <f>projekty[[#This Row],[Stĺpec45]]</f>
        <v>3.9</v>
      </c>
      <c r="AV12" s="20">
        <v>0</v>
      </c>
      <c r="AW12" s="20">
        <v>0</v>
      </c>
      <c r="AX12" s="20">
        <f>projekty[[#This Row],[Stĺpec48]]</f>
        <v>0</v>
      </c>
      <c r="AY12" s="20">
        <v>247225</v>
      </c>
      <c r="AZ12" s="20">
        <v>0</v>
      </c>
      <c r="BA12" s="20">
        <f>projekty[[#This Row],[Stĺpec51]]</f>
        <v>247225</v>
      </c>
      <c r="BB12" s="20">
        <v>0</v>
      </c>
      <c r="BC12" s="20">
        <v>0</v>
      </c>
      <c r="BD12" s="20">
        <f>projekty[[#This Row],[Stĺpec54]]</f>
        <v>0</v>
      </c>
      <c r="BE12" s="20">
        <v>0</v>
      </c>
      <c r="BF12" s="20">
        <v>0</v>
      </c>
      <c r="BG12" s="20">
        <f>projekty[[#This Row],[Stĺpec57]]</f>
        <v>0</v>
      </c>
      <c r="BH12" s="20">
        <v>0</v>
      </c>
      <c r="BI12" s="28">
        <v>0</v>
      </c>
      <c r="BJ12" s="20">
        <f>projekty[[#This Row],[Stĺpec60]]</f>
        <v>0</v>
      </c>
    </row>
    <row r="13" spans="1:62" ht="15" x14ac:dyDescent="0.25">
      <c r="A13" s="27" t="s">
        <v>751</v>
      </c>
      <c r="B13" s="14" t="s">
        <v>802</v>
      </c>
      <c r="C13" s="1" t="s">
        <v>877</v>
      </c>
      <c r="D13" s="18" t="s">
        <v>878</v>
      </c>
      <c r="E13" s="1" t="s">
        <v>1544</v>
      </c>
      <c r="F13" s="15">
        <v>42583</v>
      </c>
      <c r="G13" s="15">
        <v>42887</v>
      </c>
      <c r="H13" s="15"/>
      <c r="I13" s="279">
        <v>744098.39</v>
      </c>
      <c r="J13" s="15"/>
      <c r="K13" s="306">
        <f>projekty[[#This Row],[Stĺpec9]]</f>
        <v>744098.39</v>
      </c>
      <c r="L13" s="20">
        <v>0</v>
      </c>
      <c r="M13" s="20">
        <v>0</v>
      </c>
      <c r="N13" s="20">
        <f>projekty[[#This Row],[Stĺpec12]]</f>
        <v>0</v>
      </c>
      <c r="O13" s="20">
        <v>0</v>
      </c>
      <c r="P13" s="20">
        <v>0</v>
      </c>
      <c r="Q13" s="20">
        <f>projekty[[#This Row],[Stĺpec15]]</f>
        <v>0</v>
      </c>
      <c r="R13" s="20">
        <v>79.424999999999997</v>
      </c>
      <c r="S13" s="20">
        <v>0</v>
      </c>
      <c r="T13" s="20">
        <f>projekty[[#This Row],[Stĺpec18]]</f>
        <v>79.424999999999997</v>
      </c>
      <c r="U13" s="20">
        <v>3</v>
      </c>
      <c r="V13" s="20">
        <v>0</v>
      </c>
      <c r="W13" s="20">
        <f>projekty[[#This Row],[Stĺpec21]]</f>
        <v>3</v>
      </c>
      <c r="X13" s="20">
        <v>1</v>
      </c>
      <c r="Y13" s="20">
        <v>0</v>
      </c>
      <c r="Z13" s="20">
        <f>projekty[[#This Row],[Stĺpec24]]</f>
        <v>1</v>
      </c>
      <c r="AA13" s="20">
        <v>3693.3</v>
      </c>
      <c r="AB13" s="20">
        <v>0</v>
      </c>
      <c r="AC13" s="20">
        <f>projekty[[#This Row],[Stĺpec27]]</f>
        <v>3693.3</v>
      </c>
      <c r="AD13" s="20">
        <v>130.43</v>
      </c>
      <c r="AE13" s="20">
        <v>0</v>
      </c>
      <c r="AF13" s="20">
        <f>projekty[[#This Row],[Stĺpec30]]</f>
        <v>130.43</v>
      </c>
      <c r="AG13" s="20">
        <v>335.11</v>
      </c>
      <c r="AH13" s="20">
        <v>335.11</v>
      </c>
      <c r="AI13" s="20">
        <f>projekty[[#This Row],[Stĺpec33]]</f>
        <v>335.11</v>
      </c>
      <c r="AJ13" s="20">
        <v>204690</v>
      </c>
      <c r="AK13" s="20">
        <v>0</v>
      </c>
      <c r="AL13" s="20">
        <f>projekty[[#This Row],[Stĺpec36]]</f>
        <v>204690</v>
      </c>
      <c r="AM13" s="20">
        <v>204685.2</v>
      </c>
      <c r="AN13" s="20">
        <v>0</v>
      </c>
      <c r="AO13" s="20">
        <f>projekty[[#This Row],[Stĺpec39]]</f>
        <v>204685.2</v>
      </c>
      <c r="AP13" s="20">
        <v>227</v>
      </c>
      <c r="AQ13" s="20">
        <v>0</v>
      </c>
      <c r="AR13" s="20">
        <f>projekty[[#This Row],[Stĺpec42]]</f>
        <v>227</v>
      </c>
      <c r="AS13" s="20">
        <v>18</v>
      </c>
      <c r="AT13" s="20">
        <v>0</v>
      </c>
      <c r="AU13" s="20">
        <f>projekty[[#This Row],[Stĺpec45]]</f>
        <v>18</v>
      </c>
      <c r="AV13" s="20">
        <v>191</v>
      </c>
      <c r="AW13" s="20">
        <v>0</v>
      </c>
      <c r="AX13" s="20">
        <f>projekty[[#This Row],[Stĺpec48]]</f>
        <v>191</v>
      </c>
      <c r="AY13" s="20">
        <v>386885</v>
      </c>
      <c r="AZ13" s="20">
        <v>0</v>
      </c>
      <c r="BA13" s="20">
        <f>projekty[[#This Row],[Stĺpec51]]</f>
        <v>386885</v>
      </c>
      <c r="BB13" s="20">
        <v>0</v>
      </c>
      <c r="BC13" s="20">
        <v>0</v>
      </c>
      <c r="BD13" s="20">
        <f>projekty[[#This Row],[Stĺpec54]]</f>
        <v>0</v>
      </c>
      <c r="BE13" s="20">
        <v>0</v>
      </c>
      <c r="BF13" s="20">
        <v>0</v>
      </c>
      <c r="BG13" s="20">
        <f>projekty[[#This Row],[Stĺpec57]]</f>
        <v>0</v>
      </c>
      <c r="BH13" s="20">
        <v>0</v>
      </c>
      <c r="BI13" s="28">
        <v>0</v>
      </c>
      <c r="BJ13" s="20">
        <f>projekty[[#This Row],[Stĺpec60]]</f>
        <v>0</v>
      </c>
    </row>
    <row r="14" spans="1:62" ht="15" x14ac:dyDescent="0.25">
      <c r="A14" s="27" t="s">
        <v>777</v>
      </c>
      <c r="B14" s="14" t="s">
        <v>802</v>
      </c>
      <c r="C14" s="1" t="s">
        <v>877</v>
      </c>
      <c r="D14" s="18" t="s">
        <v>928</v>
      </c>
      <c r="E14" s="1" t="s">
        <v>1544</v>
      </c>
      <c r="F14" s="15">
        <v>42552</v>
      </c>
      <c r="G14" s="15">
        <v>42887</v>
      </c>
      <c r="H14" s="15"/>
      <c r="I14" s="279">
        <v>535902.22</v>
      </c>
      <c r="J14" s="15"/>
      <c r="K14" s="306">
        <f>projekty[[#This Row],[Stĺpec9]]</f>
        <v>535902.22</v>
      </c>
      <c r="L14" s="20">
        <v>0</v>
      </c>
      <c r="M14" s="20">
        <v>0</v>
      </c>
      <c r="N14" s="20">
        <f>projekty[[#This Row],[Stĺpec12]]</f>
        <v>0</v>
      </c>
      <c r="O14" s="20">
        <v>0</v>
      </c>
      <c r="P14" s="20">
        <v>0</v>
      </c>
      <c r="Q14" s="20">
        <f>projekty[[#This Row],[Stĺpec15]]</f>
        <v>0</v>
      </c>
      <c r="R14" s="20">
        <v>33.92</v>
      </c>
      <c r="S14" s="20">
        <v>0</v>
      </c>
      <c r="T14" s="20">
        <f>projekty[[#This Row],[Stĺpec18]]</f>
        <v>33.92</v>
      </c>
      <c r="U14" s="20">
        <v>3</v>
      </c>
      <c r="V14" s="20">
        <v>0</v>
      </c>
      <c r="W14" s="20">
        <f>projekty[[#This Row],[Stĺpec21]]</f>
        <v>3</v>
      </c>
      <c r="X14" s="20">
        <v>1</v>
      </c>
      <c r="Y14" s="20">
        <v>0</v>
      </c>
      <c r="Z14" s="20">
        <f>projekty[[#This Row],[Stĺpec24]]</f>
        <v>1</v>
      </c>
      <c r="AA14" s="20">
        <v>2199.8000000000002</v>
      </c>
      <c r="AB14" s="20">
        <v>0</v>
      </c>
      <c r="AC14" s="20">
        <f>projekty[[#This Row],[Stĺpec27]]</f>
        <v>2199.8000000000002</v>
      </c>
      <c r="AD14" s="20">
        <v>75.599999999999994</v>
      </c>
      <c r="AE14" s="20">
        <v>0</v>
      </c>
      <c r="AF14" s="20">
        <f>projekty[[#This Row],[Stĺpec30]]</f>
        <v>75.599999999999994</v>
      </c>
      <c r="AG14" s="20">
        <v>165.92</v>
      </c>
      <c r="AH14" s="20">
        <v>165.92</v>
      </c>
      <c r="AI14" s="20">
        <f>projekty[[#This Row],[Stĺpec33]]</f>
        <v>165.92</v>
      </c>
      <c r="AJ14" s="20">
        <v>90320</v>
      </c>
      <c r="AK14" s="20">
        <v>0</v>
      </c>
      <c r="AL14" s="20">
        <f>projekty[[#This Row],[Stĺpec36]]</f>
        <v>90320</v>
      </c>
      <c r="AM14" s="20">
        <v>90317.4</v>
      </c>
      <c r="AN14" s="20">
        <v>0</v>
      </c>
      <c r="AO14" s="20">
        <f>projekty[[#This Row],[Stĺpec39]]</f>
        <v>90317.4</v>
      </c>
      <c r="AP14" s="20">
        <v>99</v>
      </c>
      <c r="AQ14" s="20">
        <v>0</v>
      </c>
      <c r="AR14" s="20">
        <f>projekty[[#This Row],[Stĺpec42]]</f>
        <v>99</v>
      </c>
      <c r="AS14" s="20">
        <v>9</v>
      </c>
      <c r="AT14" s="20">
        <v>0</v>
      </c>
      <c r="AU14" s="20">
        <f>projekty[[#This Row],[Stĺpec45]]</f>
        <v>9</v>
      </c>
      <c r="AV14" s="20">
        <v>84</v>
      </c>
      <c r="AW14" s="20">
        <v>0</v>
      </c>
      <c r="AX14" s="20">
        <f>projekty[[#This Row],[Stĺpec48]]</f>
        <v>84</v>
      </c>
      <c r="AY14" s="20">
        <v>181072</v>
      </c>
      <c r="AZ14" s="20">
        <v>0</v>
      </c>
      <c r="BA14" s="20">
        <f>projekty[[#This Row],[Stĺpec51]]</f>
        <v>181072</v>
      </c>
      <c r="BB14" s="20">
        <v>0</v>
      </c>
      <c r="BC14" s="20">
        <v>0</v>
      </c>
      <c r="BD14" s="20">
        <f>projekty[[#This Row],[Stĺpec54]]</f>
        <v>0</v>
      </c>
      <c r="BE14" s="20">
        <v>0</v>
      </c>
      <c r="BF14" s="20">
        <v>0</v>
      </c>
      <c r="BG14" s="20">
        <f>projekty[[#This Row],[Stĺpec57]]</f>
        <v>0</v>
      </c>
      <c r="BH14" s="20">
        <v>0</v>
      </c>
      <c r="BI14" s="28">
        <v>0</v>
      </c>
      <c r="BJ14" s="20">
        <f>projekty[[#This Row],[Stĺpec60]]</f>
        <v>0</v>
      </c>
    </row>
    <row r="15" spans="1:62" ht="15" x14ac:dyDescent="0.25">
      <c r="A15" s="27" t="s">
        <v>780</v>
      </c>
      <c r="B15" s="14" t="s">
        <v>802</v>
      </c>
      <c r="C15" s="1" t="s">
        <v>933</v>
      </c>
      <c r="D15" s="18" t="s">
        <v>934</v>
      </c>
      <c r="E15" s="1" t="s">
        <v>1544</v>
      </c>
      <c r="F15" s="15">
        <v>42186</v>
      </c>
      <c r="G15" s="15">
        <v>42887</v>
      </c>
      <c r="H15" s="15"/>
      <c r="I15" s="279">
        <v>587103.67000000004</v>
      </c>
      <c r="J15" s="15"/>
      <c r="K15" s="306">
        <f>projekty[[#This Row],[Stĺpec9]]</f>
        <v>587103.67000000004</v>
      </c>
      <c r="L15" s="20">
        <v>0</v>
      </c>
      <c r="M15" s="20">
        <v>0</v>
      </c>
      <c r="N15" s="20">
        <f>projekty[[#This Row],[Stĺpec12]]</f>
        <v>0</v>
      </c>
      <c r="O15" s="20">
        <v>0</v>
      </c>
      <c r="P15" s="20">
        <v>0</v>
      </c>
      <c r="Q15" s="20">
        <f>projekty[[#This Row],[Stĺpec15]]</f>
        <v>0</v>
      </c>
      <c r="R15" s="20">
        <v>0.19800000000000001</v>
      </c>
      <c r="S15" s="20">
        <v>0</v>
      </c>
      <c r="T15" s="20">
        <f>projekty[[#This Row],[Stĺpec18]]</f>
        <v>0.19800000000000001</v>
      </c>
      <c r="U15" s="20">
        <v>4</v>
      </c>
      <c r="V15" s="20">
        <v>0</v>
      </c>
      <c r="W15" s="20">
        <f>projekty[[#This Row],[Stĺpec21]]</f>
        <v>4</v>
      </c>
      <c r="X15" s="20">
        <v>1</v>
      </c>
      <c r="Y15" s="20">
        <v>0</v>
      </c>
      <c r="Z15" s="20">
        <f>projekty[[#This Row],[Stĺpec24]]</f>
        <v>1</v>
      </c>
      <c r="AA15" s="20">
        <v>1119.74</v>
      </c>
      <c r="AB15" s="20">
        <v>0</v>
      </c>
      <c r="AC15" s="20">
        <f>projekty[[#This Row],[Stĺpec27]]</f>
        <v>1119.74</v>
      </c>
      <c r="AD15" s="20">
        <v>6.47</v>
      </c>
      <c r="AE15" s="20">
        <v>0</v>
      </c>
      <c r="AF15" s="20">
        <f>projekty[[#This Row],[Stĺpec30]]</f>
        <v>6.47</v>
      </c>
      <c r="AG15" s="20">
        <v>24.89</v>
      </c>
      <c r="AH15" s="20">
        <v>0</v>
      </c>
      <c r="AI15" s="20">
        <f>projekty[[#This Row],[Stĺpec33]]</f>
        <v>24.89</v>
      </c>
      <c r="AJ15" s="20">
        <v>18420</v>
      </c>
      <c r="AK15" s="20">
        <v>0</v>
      </c>
      <c r="AL15" s="20">
        <f>projekty[[#This Row],[Stĺpec36]]</f>
        <v>18420</v>
      </c>
      <c r="AM15" s="20">
        <v>178038.66</v>
      </c>
      <c r="AN15" s="20">
        <v>0</v>
      </c>
      <c r="AO15" s="20">
        <f>projekty[[#This Row],[Stĺpec39]]</f>
        <v>178038.66</v>
      </c>
      <c r="AP15" s="20">
        <v>485</v>
      </c>
      <c r="AQ15" s="20">
        <v>0</v>
      </c>
      <c r="AR15" s="20">
        <f>projekty[[#This Row],[Stĺpec42]]</f>
        <v>485</v>
      </c>
      <c r="AS15" s="20">
        <v>8</v>
      </c>
      <c r="AT15" s="20">
        <v>0</v>
      </c>
      <c r="AU15" s="20">
        <f>projekty[[#This Row],[Stĺpec45]]</f>
        <v>8</v>
      </c>
      <c r="AV15" s="20">
        <v>33</v>
      </c>
      <c r="AW15" s="20">
        <v>0</v>
      </c>
      <c r="AX15" s="20">
        <f>projekty[[#This Row],[Stĺpec48]]</f>
        <v>33</v>
      </c>
      <c r="AY15" s="20">
        <v>250821.76000000001</v>
      </c>
      <c r="AZ15" s="20">
        <v>0</v>
      </c>
      <c r="BA15" s="20">
        <f>projekty[[#This Row],[Stĺpec51]]</f>
        <v>250821.76000000001</v>
      </c>
      <c r="BB15" s="20">
        <v>0</v>
      </c>
      <c r="BC15" s="20">
        <v>0</v>
      </c>
      <c r="BD15" s="20">
        <f>projekty[[#This Row],[Stĺpec54]]</f>
        <v>0</v>
      </c>
      <c r="BE15" s="20">
        <v>0</v>
      </c>
      <c r="BF15" s="20">
        <v>0</v>
      </c>
      <c r="BG15" s="20">
        <f>projekty[[#This Row],[Stĺpec57]]</f>
        <v>0</v>
      </c>
      <c r="BH15" s="20">
        <v>0</v>
      </c>
      <c r="BI15" s="28">
        <v>0</v>
      </c>
      <c r="BJ15" s="20">
        <f>projekty[[#This Row],[Stĺpec60]]</f>
        <v>0</v>
      </c>
    </row>
    <row r="16" spans="1:62" ht="15" x14ac:dyDescent="0.25">
      <c r="A16" s="27" t="s">
        <v>748</v>
      </c>
      <c r="B16" s="14" t="s">
        <v>802</v>
      </c>
      <c r="C16" s="1" t="s">
        <v>871</v>
      </c>
      <c r="D16" s="18" t="s">
        <v>872</v>
      </c>
      <c r="E16" s="1" t="s">
        <v>1544</v>
      </c>
      <c r="F16" s="15">
        <v>42278</v>
      </c>
      <c r="G16" s="15">
        <v>42917</v>
      </c>
      <c r="H16" s="15"/>
      <c r="I16" s="279">
        <v>801199.27</v>
      </c>
      <c r="J16" s="15"/>
      <c r="K16" s="306">
        <f>projekty[[#This Row],[Stĺpec9]]</f>
        <v>801199.27</v>
      </c>
      <c r="L16" s="20">
        <v>0</v>
      </c>
      <c r="M16" s="20">
        <v>0</v>
      </c>
      <c r="N16" s="20">
        <f>projekty[[#This Row],[Stĺpec12]]</f>
        <v>0</v>
      </c>
      <c r="O16" s="20">
        <v>0</v>
      </c>
      <c r="P16" s="20">
        <v>0</v>
      </c>
      <c r="Q16" s="20">
        <f>projekty[[#This Row],[Stĺpec15]]</f>
        <v>0</v>
      </c>
      <c r="R16" s="20">
        <v>55.106000000000002</v>
      </c>
      <c r="S16" s="20">
        <v>0</v>
      </c>
      <c r="T16" s="20">
        <f>projekty[[#This Row],[Stĺpec18]]</f>
        <v>55.106000000000002</v>
      </c>
      <c r="U16" s="20">
        <v>3</v>
      </c>
      <c r="V16" s="20">
        <v>0</v>
      </c>
      <c r="W16" s="20">
        <f>projekty[[#This Row],[Stĺpec21]]</f>
        <v>3</v>
      </c>
      <c r="X16" s="20">
        <v>1</v>
      </c>
      <c r="Y16" s="20">
        <v>0</v>
      </c>
      <c r="Z16" s="20">
        <f>projekty[[#This Row],[Stĺpec24]]</f>
        <v>1</v>
      </c>
      <c r="AA16" s="20">
        <v>3848.28</v>
      </c>
      <c r="AB16" s="20">
        <v>0</v>
      </c>
      <c r="AC16" s="20">
        <f>projekty[[#This Row],[Stĺpec27]]</f>
        <v>3848.28</v>
      </c>
      <c r="AD16" s="20">
        <v>197.68</v>
      </c>
      <c r="AE16" s="20">
        <v>0</v>
      </c>
      <c r="AF16" s="20">
        <f>projekty[[#This Row],[Stĺpec30]]</f>
        <v>197.68</v>
      </c>
      <c r="AG16" s="20">
        <v>656.69</v>
      </c>
      <c r="AH16" s="20">
        <v>0</v>
      </c>
      <c r="AI16" s="20">
        <f>projekty[[#This Row],[Stĺpec33]]</f>
        <v>656.69</v>
      </c>
      <c r="AJ16" s="20">
        <v>459010</v>
      </c>
      <c r="AK16" s="20">
        <v>0</v>
      </c>
      <c r="AL16" s="20">
        <f>projekty[[#This Row],[Stĺpec36]]</f>
        <v>459010</v>
      </c>
      <c r="AM16" s="20">
        <v>459010</v>
      </c>
      <c r="AN16" s="20">
        <v>0</v>
      </c>
      <c r="AO16" s="20">
        <f>projekty[[#This Row],[Stĺpec39]]</f>
        <v>459010</v>
      </c>
      <c r="AP16" s="20">
        <v>246</v>
      </c>
      <c r="AQ16" s="20">
        <v>0</v>
      </c>
      <c r="AR16" s="20">
        <f>projekty[[#This Row],[Stĺpec42]]</f>
        <v>246</v>
      </c>
      <c r="AS16" s="20">
        <v>10</v>
      </c>
      <c r="AT16" s="20">
        <v>0</v>
      </c>
      <c r="AU16" s="20">
        <f>projekty[[#This Row],[Stĺpec45]]</f>
        <v>10</v>
      </c>
      <c r="AV16" s="20">
        <v>49</v>
      </c>
      <c r="AW16" s="20">
        <v>0</v>
      </c>
      <c r="AX16" s="20">
        <f>projekty[[#This Row],[Stĺpec48]]</f>
        <v>49</v>
      </c>
      <c r="AY16" s="20">
        <v>702220</v>
      </c>
      <c r="AZ16" s="20">
        <v>0</v>
      </c>
      <c r="BA16" s="20">
        <f>projekty[[#This Row],[Stĺpec51]]</f>
        <v>702220</v>
      </c>
      <c r="BB16" s="20">
        <v>0</v>
      </c>
      <c r="BC16" s="20">
        <v>0</v>
      </c>
      <c r="BD16" s="20">
        <f>projekty[[#This Row],[Stĺpec54]]</f>
        <v>0</v>
      </c>
      <c r="BE16" s="20">
        <v>0</v>
      </c>
      <c r="BF16" s="20">
        <v>0</v>
      </c>
      <c r="BG16" s="20">
        <f>projekty[[#This Row],[Stĺpec57]]</f>
        <v>0</v>
      </c>
      <c r="BH16" s="20">
        <v>0</v>
      </c>
      <c r="BI16" s="28">
        <v>0</v>
      </c>
      <c r="BJ16" s="20">
        <f>projekty[[#This Row],[Stĺpec60]]</f>
        <v>0</v>
      </c>
    </row>
    <row r="17" spans="1:62" ht="15" x14ac:dyDescent="0.25">
      <c r="A17" s="27" t="s">
        <v>752</v>
      </c>
      <c r="B17" s="14" t="s">
        <v>802</v>
      </c>
      <c r="C17" s="1" t="s">
        <v>879</v>
      </c>
      <c r="D17" s="18" t="s">
        <v>880</v>
      </c>
      <c r="E17" s="1" t="s">
        <v>1544</v>
      </c>
      <c r="F17" s="15">
        <v>42217</v>
      </c>
      <c r="G17" s="15">
        <v>42917</v>
      </c>
      <c r="H17" s="15"/>
      <c r="I17" s="279">
        <v>105962.83</v>
      </c>
      <c r="J17" s="15"/>
      <c r="K17" s="306">
        <f>projekty[[#This Row],[Stĺpec9]]</f>
        <v>105962.83</v>
      </c>
      <c r="L17" s="20">
        <v>0</v>
      </c>
      <c r="M17" s="20">
        <v>0</v>
      </c>
      <c r="N17" s="20">
        <f>projekty[[#This Row],[Stĺpec12]]</f>
        <v>0</v>
      </c>
      <c r="O17" s="20">
        <v>11.679</v>
      </c>
      <c r="P17" s="20">
        <v>0</v>
      </c>
      <c r="Q17" s="20">
        <f>projekty[[#This Row],[Stĺpec15]]</f>
        <v>11.679</v>
      </c>
      <c r="R17" s="20">
        <v>13.16</v>
      </c>
      <c r="S17" s="20">
        <v>0</v>
      </c>
      <c r="T17" s="20">
        <f>projekty[[#This Row],[Stĺpec18]]</f>
        <v>13.16</v>
      </c>
      <c r="U17" s="20">
        <v>5</v>
      </c>
      <c r="V17" s="20">
        <v>0</v>
      </c>
      <c r="W17" s="20">
        <f>projekty[[#This Row],[Stĺpec21]]</f>
        <v>5</v>
      </c>
      <c r="X17" s="20">
        <v>1</v>
      </c>
      <c r="Y17" s="20">
        <v>0</v>
      </c>
      <c r="Z17" s="20">
        <f>projekty[[#This Row],[Stĺpec24]]</f>
        <v>1</v>
      </c>
      <c r="AA17" s="20">
        <v>191.92</v>
      </c>
      <c r="AB17" s="20">
        <v>0</v>
      </c>
      <c r="AC17" s="20">
        <f>projekty[[#This Row],[Stĺpec27]]</f>
        <v>191.92</v>
      </c>
      <c r="AD17" s="20">
        <v>7.29</v>
      </c>
      <c r="AE17" s="20">
        <v>0</v>
      </c>
      <c r="AF17" s="20">
        <f>projekty[[#This Row],[Stĺpec30]]</f>
        <v>7.29</v>
      </c>
      <c r="AG17" s="20">
        <v>41.25</v>
      </c>
      <c r="AH17" s="20">
        <v>41.25</v>
      </c>
      <c r="AI17" s="20">
        <f>projekty[[#This Row],[Stĺpec33]]</f>
        <v>41.25</v>
      </c>
      <c r="AJ17" s="20">
        <v>33960</v>
      </c>
      <c r="AK17" s="20">
        <v>0</v>
      </c>
      <c r="AL17" s="20">
        <f>projekty[[#This Row],[Stĺpec36]]</f>
        <v>33960</v>
      </c>
      <c r="AM17" s="20">
        <v>42401</v>
      </c>
      <c r="AN17" s="20">
        <v>0</v>
      </c>
      <c r="AO17" s="20">
        <f>projekty[[#This Row],[Stĺpec39]]</f>
        <v>42401</v>
      </c>
      <c r="AP17" s="20">
        <v>0</v>
      </c>
      <c r="AQ17" s="20">
        <v>0</v>
      </c>
      <c r="AR17" s="20">
        <f>projekty[[#This Row],[Stĺpec42]]</f>
        <v>0</v>
      </c>
      <c r="AS17" s="20">
        <v>0</v>
      </c>
      <c r="AT17" s="20">
        <v>0</v>
      </c>
      <c r="AU17" s="20">
        <f>projekty[[#This Row],[Stĺpec45]]</f>
        <v>0</v>
      </c>
      <c r="AV17" s="20">
        <v>0</v>
      </c>
      <c r="AW17" s="20">
        <v>0</v>
      </c>
      <c r="AX17" s="20">
        <f>projekty[[#This Row],[Stĺpec48]]</f>
        <v>0</v>
      </c>
      <c r="AY17" s="20">
        <v>64784.5</v>
      </c>
      <c r="AZ17" s="20">
        <v>0</v>
      </c>
      <c r="BA17" s="20">
        <f>projekty[[#This Row],[Stĺpec51]]</f>
        <v>64784.5</v>
      </c>
      <c r="BB17" s="20">
        <v>0</v>
      </c>
      <c r="BC17" s="20">
        <v>0</v>
      </c>
      <c r="BD17" s="20">
        <f>projekty[[#This Row],[Stĺpec54]]</f>
        <v>0</v>
      </c>
      <c r="BE17" s="20">
        <v>11.679</v>
      </c>
      <c r="BF17" s="20">
        <v>0</v>
      </c>
      <c r="BG17" s="20">
        <f>projekty[[#This Row],[Stĺpec57]]</f>
        <v>11.679</v>
      </c>
      <c r="BH17" s="20">
        <v>8.9</v>
      </c>
      <c r="BI17" s="28">
        <v>0</v>
      </c>
      <c r="BJ17" s="20">
        <f>projekty[[#This Row],[Stĺpec60]]</f>
        <v>8.9</v>
      </c>
    </row>
    <row r="18" spans="1:62" ht="15" x14ac:dyDescent="0.25">
      <c r="A18" s="27" t="s">
        <v>747</v>
      </c>
      <c r="B18" s="14" t="s">
        <v>802</v>
      </c>
      <c r="C18" s="1" t="s">
        <v>869</v>
      </c>
      <c r="D18" s="18" t="s">
        <v>870</v>
      </c>
      <c r="E18" s="1" t="s">
        <v>1544</v>
      </c>
      <c r="F18" s="15">
        <v>42614</v>
      </c>
      <c r="G18" s="15">
        <v>42917</v>
      </c>
      <c r="H18" s="15"/>
      <c r="I18" s="279">
        <v>264787.59000000003</v>
      </c>
      <c r="J18" s="15"/>
      <c r="K18" s="306">
        <f>projekty[[#This Row],[Stĺpec9]]</f>
        <v>264787.59000000003</v>
      </c>
      <c r="L18" s="20">
        <v>0</v>
      </c>
      <c r="M18" s="20">
        <v>0</v>
      </c>
      <c r="N18" s="20">
        <f>projekty[[#This Row],[Stĺpec12]]</f>
        <v>0</v>
      </c>
      <c r="O18" s="20">
        <v>0</v>
      </c>
      <c r="P18" s="20">
        <v>0</v>
      </c>
      <c r="Q18" s="20">
        <f>projekty[[#This Row],[Stĺpec15]]</f>
        <v>0</v>
      </c>
      <c r="R18" s="20">
        <v>60.4</v>
      </c>
      <c r="S18" s="20">
        <v>0</v>
      </c>
      <c r="T18" s="20">
        <f>projekty[[#This Row],[Stĺpec18]]</f>
        <v>60.4</v>
      </c>
      <c r="U18" s="20">
        <v>3</v>
      </c>
      <c r="V18" s="20">
        <v>0</v>
      </c>
      <c r="W18" s="20">
        <f>projekty[[#This Row],[Stĺpec21]]</f>
        <v>3</v>
      </c>
      <c r="X18" s="20">
        <v>1</v>
      </c>
      <c r="Y18" s="20">
        <v>0</v>
      </c>
      <c r="Z18" s="20">
        <f>projekty[[#This Row],[Stĺpec24]]</f>
        <v>1</v>
      </c>
      <c r="AA18" s="20">
        <v>1699</v>
      </c>
      <c r="AB18" s="20">
        <v>0</v>
      </c>
      <c r="AC18" s="20">
        <f>projekty[[#This Row],[Stĺpec27]]</f>
        <v>1699</v>
      </c>
      <c r="AD18" s="20">
        <v>62.953499999999998</v>
      </c>
      <c r="AE18" s="20">
        <v>0</v>
      </c>
      <c r="AF18" s="20">
        <f>projekty[[#This Row],[Stĺpec30]]</f>
        <v>62.953499999999998</v>
      </c>
      <c r="AG18" s="20">
        <v>189.619</v>
      </c>
      <c r="AH18" s="20">
        <v>0</v>
      </c>
      <c r="AI18" s="20">
        <f>projekty[[#This Row],[Stĺpec33]]</f>
        <v>189.619</v>
      </c>
      <c r="AJ18" s="20">
        <v>126665.492</v>
      </c>
      <c r="AK18" s="20">
        <v>0</v>
      </c>
      <c r="AL18" s="20">
        <f>projekty[[#This Row],[Stĺpec36]]</f>
        <v>126665.492</v>
      </c>
      <c r="AM18" s="20">
        <v>247544.3</v>
      </c>
      <c r="AN18" s="20">
        <v>0</v>
      </c>
      <c r="AO18" s="20">
        <f>projekty[[#This Row],[Stĺpec39]]</f>
        <v>247544.3</v>
      </c>
      <c r="AP18" s="20">
        <v>136</v>
      </c>
      <c r="AQ18" s="20">
        <v>0</v>
      </c>
      <c r="AR18" s="20">
        <f>projekty[[#This Row],[Stĺpec42]]</f>
        <v>136</v>
      </c>
      <c r="AS18" s="20">
        <v>31</v>
      </c>
      <c r="AT18" s="20">
        <v>0</v>
      </c>
      <c r="AU18" s="20">
        <f>projekty[[#This Row],[Stĺpec45]]</f>
        <v>31</v>
      </c>
      <c r="AV18" s="20">
        <v>716</v>
      </c>
      <c r="AW18" s="20">
        <v>0</v>
      </c>
      <c r="AX18" s="20">
        <f>projekty[[#This Row],[Stĺpec48]]</f>
        <v>716</v>
      </c>
      <c r="AY18" s="20">
        <v>128614.3</v>
      </c>
      <c r="AZ18" s="20">
        <v>0</v>
      </c>
      <c r="BA18" s="20">
        <f>projekty[[#This Row],[Stĺpec51]]</f>
        <v>128614.3</v>
      </c>
      <c r="BB18" s="20">
        <v>0</v>
      </c>
      <c r="BC18" s="20">
        <v>0</v>
      </c>
      <c r="BD18" s="20">
        <f>projekty[[#This Row],[Stĺpec54]]</f>
        <v>0</v>
      </c>
      <c r="BE18" s="20">
        <v>0</v>
      </c>
      <c r="BF18" s="20">
        <v>0</v>
      </c>
      <c r="BG18" s="20">
        <f>projekty[[#This Row],[Stĺpec57]]</f>
        <v>0</v>
      </c>
      <c r="BH18" s="20">
        <v>0</v>
      </c>
      <c r="BI18" s="28">
        <v>0</v>
      </c>
      <c r="BJ18" s="20">
        <f>projekty[[#This Row],[Stĺpec60]]</f>
        <v>0</v>
      </c>
    </row>
    <row r="19" spans="1:62" ht="15" x14ac:dyDescent="0.25">
      <c r="A19" s="27" t="s">
        <v>758</v>
      </c>
      <c r="B19" s="14" t="s">
        <v>802</v>
      </c>
      <c r="C19" s="1" t="s">
        <v>891</v>
      </c>
      <c r="D19" s="18" t="s">
        <v>892</v>
      </c>
      <c r="E19" s="1" t="s">
        <v>1544</v>
      </c>
      <c r="F19" s="15">
        <v>42217</v>
      </c>
      <c r="G19" s="15">
        <v>42917</v>
      </c>
      <c r="H19" s="15"/>
      <c r="I19" s="279">
        <v>213950.06</v>
      </c>
      <c r="J19" s="15"/>
      <c r="K19" s="306">
        <f>projekty[[#This Row],[Stĺpec9]]</f>
        <v>213950.06</v>
      </c>
      <c r="L19" s="20">
        <v>0</v>
      </c>
      <c r="M19" s="20">
        <v>0</v>
      </c>
      <c r="N19" s="20">
        <f>projekty[[#This Row],[Stĺpec12]]</f>
        <v>0</v>
      </c>
      <c r="O19" s="20">
        <v>0</v>
      </c>
      <c r="P19" s="20">
        <v>0</v>
      </c>
      <c r="Q19" s="20">
        <f>projekty[[#This Row],[Stĺpec15]]</f>
        <v>0</v>
      </c>
      <c r="R19" s="20">
        <v>25.3</v>
      </c>
      <c r="S19" s="20">
        <v>0</v>
      </c>
      <c r="T19" s="20">
        <f>projekty[[#This Row],[Stĺpec18]]</f>
        <v>25.3</v>
      </c>
      <c r="U19" s="20">
        <v>2</v>
      </c>
      <c r="V19" s="20">
        <v>0</v>
      </c>
      <c r="W19" s="20">
        <f>projekty[[#This Row],[Stĺpec21]]</f>
        <v>2</v>
      </c>
      <c r="X19" s="20">
        <v>1</v>
      </c>
      <c r="Y19" s="20">
        <v>0</v>
      </c>
      <c r="Z19" s="20">
        <f>projekty[[#This Row],[Stĺpec24]]</f>
        <v>1</v>
      </c>
      <c r="AA19" s="20">
        <v>981</v>
      </c>
      <c r="AB19" s="20">
        <v>0</v>
      </c>
      <c r="AC19" s="20">
        <f>projekty[[#This Row],[Stĺpec27]]</f>
        <v>981</v>
      </c>
      <c r="AD19" s="20">
        <v>23.489000000000001</v>
      </c>
      <c r="AE19" s="20">
        <v>0</v>
      </c>
      <c r="AF19" s="20">
        <f>projekty[[#This Row],[Stĺpec30]]</f>
        <v>23.489000000000001</v>
      </c>
      <c r="AG19" s="20">
        <v>123.34</v>
      </c>
      <c r="AH19" s="20">
        <v>0</v>
      </c>
      <c r="AI19" s="20">
        <f>projekty[[#This Row],[Stĺpec33]]</f>
        <v>123.34</v>
      </c>
      <c r="AJ19" s="20">
        <v>113081</v>
      </c>
      <c r="AK19" s="20">
        <v>0</v>
      </c>
      <c r="AL19" s="20">
        <f>projekty[[#This Row],[Stĺpec36]]</f>
        <v>113081</v>
      </c>
      <c r="AM19" s="20">
        <v>113081</v>
      </c>
      <c r="AN19" s="20">
        <v>0</v>
      </c>
      <c r="AO19" s="20">
        <f>projekty[[#This Row],[Stĺpec39]]</f>
        <v>113081</v>
      </c>
      <c r="AP19" s="20">
        <v>32</v>
      </c>
      <c r="AQ19" s="20">
        <v>0</v>
      </c>
      <c r="AR19" s="20">
        <f>projekty[[#This Row],[Stĺpec42]]</f>
        <v>32</v>
      </c>
      <c r="AS19" s="20">
        <v>1</v>
      </c>
      <c r="AT19" s="20">
        <v>0</v>
      </c>
      <c r="AU19" s="20">
        <f>projekty[[#This Row],[Stĺpec45]]</f>
        <v>1</v>
      </c>
      <c r="AV19" s="20">
        <v>5</v>
      </c>
      <c r="AW19" s="20">
        <v>0</v>
      </c>
      <c r="AX19" s="20">
        <f>projekty[[#This Row],[Stĺpec48]]</f>
        <v>5</v>
      </c>
      <c r="AY19" s="20">
        <v>111698.7</v>
      </c>
      <c r="AZ19" s="20">
        <v>0</v>
      </c>
      <c r="BA19" s="20">
        <f>projekty[[#This Row],[Stĺpec51]]</f>
        <v>111698.7</v>
      </c>
      <c r="BB19" s="20">
        <v>0</v>
      </c>
      <c r="BC19" s="20">
        <v>0</v>
      </c>
      <c r="BD19" s="20">
        <f>projekty[[#This Row],[Stĺpec54]]</f>
        <v>0</v>
      </c>
      <c r="BE19" s="20">
        <v>0</v>
      </c>
      <c r="BF19" s="20">
        <v>0</v>
      </c>
      <c r="BG19" s="20">
        <f>projekty[[#This Row],[Stĺpec57]]</f>
        <v>0</v>
      </c>
      <c r="BH19" s="20">
        <v>0</v>
      </c>
      <c r="BI19" s="28">
        <v>0</v>
      </c>
      <c r="BJ19" s="20">
        <f>projekty[[#This Row],[Stĺpec60]]</f>
        <v>0</v>
      </c>
    </row>
    <row r="20" spans="1:62" ht="15" x14ac:dyDescent="0.25">
      <c r="A20" s="27" t="s">
        <v>781</v>
      </c>
      <c r="B20" s="14" t="s">
        <v>802</v>
      </c>
      <c r="C20" s="1" t="s">
        <v>935</v>
      </c>
      <c r="D20" s="18" t="s">
        <v>936</v>
      </c>
      <c r="E20" s="1" t="s">
        <v>1544</v>
      </c>
      <c r="F20" s="15">
        <v>42217</v>
      </c>
      <c r="G20" s="15">
        <v>42917</v>
      </c>
      <c r="H20" s="15"/>
      <c r="I20" s="279">
        <v>205753.86</v>
      </c>
      <c r="J20" s="15"/>
      <c r="K20" s="306">
        <f>projekty[[#This Row],[Stĺpec9]]</f>
        <v>205753.86</v>
      </c>
      <c r="L20" s="20">
        <v>0</v>
      </c>
      <c r="M20" s="20">
        <v>0</v>
      </c>
      <c r="N20" s="20">
        <f>projekty[[#This Row],[Stĺpec12]]</f>
        <v>0</v>
      </c>
      <c r="O20" s="20">
        <v>0</v>
      </c>
      <c r="P20" s="20">
        <v>0</v>
      </c>
      <c r="Q20" s="20">
        <f>projekty[[#This Row],[Stĺpec15]]</f>
        <v>0</v>
      </c>
      <c r="R20" s="20">
        <v>7.4999999999999997E-3</v>
      </c>
      <c r="S20" s="20">
        <v>0</v>
      </c>
      <c r="T20" s="20">
        <f>projekty[[#This Row],[Stĺpec18]]</f>
        <v>7.4999999999999997E-3</v>
      </c>
      <c r="U20" s="20">
        <v>1</v>
      </c>
      <c r="V20" s="20">
        <v>0</v>
      </c>
      <c r="W20" s="20">
        <f>projekty[[#This Row],[Stĺpec21]]</f>
        <v>1</v>
      </c>
      <c r="X20" s="20">
        <v>1</v>
      </c>
      <c r="Y20" s="20">
        <v>0</v>
      </c>
      <c r="Z20" s="20">
        <f>projekty[[#This Row],[Stĺpec24]]</f>
        <v>1</v>
      </c>
      <c r="AA20" s="20">
        <v>814</v>
      </c>
      <c r="AB20" s="20">
        <v>0</v>
      </c>
      <c r="AC20" s="20">
        <f>projekty[[#This Row],[Stĺpec27]]</f>
        <v>814</v>
      </c>
      <c r="AD20" s="20">
        <v>74.073999999999998</v>
      </c>
      <c r="AE20" s="20">
        <v>0</v>
      </c>
      <c r="AF20" s="20">
        <f>projekty[[#This Row],[Stĺpec30]]</f>
        <v>74.073999999999998</v>
      </c>
      <c r="AG20" s="20">
        <v>184.733</v>
      </c>
      <c r="AH20" s="20">
        <v>0</v>
      </c>
      <c r="AI20" s="20">
        <f>projekty[[#This Row],[Stĺpec33]]</f>
        <v>184.733</v>
      </c>
      <c r="AJ20" s="20">
        <v>110658.89</v>
      </c>
      <c r="AK20" s="20">
        <v>0</v>
      </c>
      <c r="AL20" s="20">
        <f>projekty[[#This Row],[Stĺpec36]]</f>
        <v>110658.89</v>
      </c>
      <c r="AM20" s="20">
        <v>0</v>
      </c>
      <c r="AN20" s="20">
        <v>0</v>
      </c>
      <c r="AO20" s="20">
        <f>projekty[[#This Row],[Stĺpec39]]</f>
        <v>0</v>
      </c>
      <c r="AP20" s="20">
        <v>18.600000000000001</v>
      </c>
      <c r="AQ20" s="20">
        <v>0</v>
      </c>
      <c r="AR20" s="20">
        <f>projekty[[#This Row],[Stĺpec42]]</f>
        <v>18.600000000000001</v>
      </c>
      <c r="AS20" s="20">
        <v>1</v>
      </c>
      <c r="AT20" s="20">
        <v>0</v>
      </c>
      <c r="AU20" s="20">
        <f>projekty[[#This Row],[Stĺpec45]]</f>
        <v>1</v>
      </c>
      <c r="AV20" s="20">
        <v>0.1</v>
      </c>
      <c r="AW20" s="20">
        <v>0</v>
      </c>
      <c r="AX20" s="20">
        <f>projekty[[#This Row],[Stĺpec48]]</f>
        <v>0.1</v>
      </c>
      <c r="AY20" s="20">
        <v>148335.96</v>
      </c>
      <c r="AZ20" s="20">
        <v>0</v>
      </c>
      <c r="BA20" s="20">
        <f>projekty[[#This Row],[Stĺpec51]]</f>
        <v>148335.96</v>
      </c>
      <c r="BB20" s="20">
        <v>0</v>
      </c>
      <c r="BC20" s="20">
        <v>0</v>
      </c>
      <c r="BD20" s="20">
        <f>projekty[[#This Row],[Stĺpec54]]</f>
        <v>0</v>
      </c>
      <c r="BE20" s="20">
        <v>0</v>
      </c>
      <c r="BF20" s="20">
        <v>0</v>
      </c>
      <c r="BG20" s="20">
        <f>projekty[[#This Row],[Stĺpec57]]</f>
        <v>0</v>
      </c>
      <c r="BH20" s="20">
        <v>0</v>
      </c>
      <c r="BI20" s="28">
        <v>0</v>
      </c>
      <c r="BJ20" s="20">
        <f>projekty[[#This Row],[Stĺpec60]]</f>
        <v>0</v>
      </c>
    </row>
    <row r="21" spans="1:62" ht="15" x14ac:dyDescent="0.25">
      <c r="A21" s="27" t="s">
        <v>762</v>
      </c>
      <c r="B21" s="14" t="s">
        <v>802</v>
      </c>
      <c r="C21" s="24" t="s">
        <v>899</v>
      </c>
      <c r="D21" s="18" t="s">
        <v>900</v>
      </c>
      <c r="E21" s="1" t="s">
        <v>1544</v>
      </c>
      <c r="F21" s="15">
        <v>42614</v>
      </c>
      <c r="G21" s="15">
        <v>42948</v>
      </c>
      <c r="H21" s="15"/>
      <c r="I21" s="279">
        <v>644597.6</v>
      </c>
      <c r="J21" s="15"/>
      <c r="K21" s="306">
        <f>projekty[[#This Row],[Stĺpec9]]</f>
        <v>644597.6</v>
      </c>
      <c r="L21" s="20">
        <v>9.9</v>
      </c>
      <c r="M21" s="20">
        <v>0</v>
      </c>
      <c r="N21" s="20">
        <f>projekty[[#This Row],[Stĺpec12]]</f>
        <v>9.9</v>
      </c>
      <c r="O21" s="20">
        <v>0</v>
      </c>
      <c r="P21" s="20">
        <v>0</v>
      </c>
      <c r="Q21" s="20">
        <f>projekty[[#This Row],[Stĺpec15]]</f>
        <v>0</v>
      </c>
      <c r="R21" s="20">
        <v>71.184399999999997</v>
      </c>
      <c r="S21" s="20">
        <v>0</v>
      </c>
      <c r="T21" s="20">
        <f>projekty[[#This Row],[Stĺpec18]]</f>
        <v>71.184399999999997</v>
      </c>
      <c r="U21" s="20">
        <v>6</v>
      </c>
      <c r="V21" s="20">
        <v>0</v>
      </c>
      <c r="W21" s="20">
        <f>projekty[[#This Row],[Stĺpec21]]</f>
        <v>6</v>
      </c>
      <c r="X21" s="20">
        <v>1</v>
      </c>
      <c r="Y21" s="20">
        <v>0</v>
      </c>
      <c r="Z21" s="20">
        <f>projekty[[#This Row],[Stĺpec24]]</f>
        <v>1</v>
      </c>
      <c r="AA21" s="20">
        <v>1607.3</v>
      </c>
      <c r="AB21" s="20">
        <v>0</v>
      </c>
      <c r="AC21" s="20">
        <f>projekty[[#This Row],[Stĺpec27]]</f>
        <v>1607.3</v>
      </c>
      <c r="AD21" s="20">
        <v>86.46</v>
      </c>
      <c r="AE21" s="20">
        <v>0</v>
      </c>
      <c r="AF21" s="20">
        <f>projekty[[#This Row],[Stĺpec30]]</f>
        <v>86.46</v>
      </c>
      <c r="AG21" s="20">
        <v>348.89</v>
      </c>
      <c r="AH21" s="20">
        <v>0</v>
      </c>
      <c r="AI21" s="20">
        <f>projekty[[#This Row],[Stĺpec33]]</f>
        <v>348.89</v>
      </c>
      <c r="AJ21" s="20">
        <v>262429.71999999997</v>
      </c>
      <c r="AK21" s="20">
        <v>0</v>
      </c>
      <c r="AL21" s="20">
        <f>projekty[[#This Row],[Stĺpec36]]</f>
        <v>262429.71999999997</v>
      </c>
      <c r="AM21" s="20">
        <v>311025.13</v>
      </c>
      <c r="AN21" s="20">
        <v>0</v>
      </c>
      <c r="AO21" s="20">
        <f>projekty[[#This Row],[Stĺpec39]]</f>
        <v>311025.13</v>
      </c>
      <c r="AP21" s="20">
        <v>46.1</v>
      </c>
      <c r="AQ21" s="20">
        <v>0</v>
      </c>
      <c r="AR21" s="20">
        <f>projekty[[#This Row],[Stĺpec42]]</f>
        <v>46.1</v>
      </c>
      <c r="AS21" s="20">
        <v>4.4000000000000004</v>
      </c>
      <c r="AT21" s="20">
        <v>0</v>
      </c>
      <c r="AU21" s="20">
        <f>projekty[[#This Row],[Stĺpec45]]</f>
        <v>4.4000000000000004</v>
      </c>
      <c r="AV21" s="20">
        <v>5.0999999999999996</v>
      </c>
      <c r="AW21" s="20">
        <v>0</v>
      </c>
      <c r="AX21" s="20">
        <f>projekty[[#This Row],[Stĺpec48]]</f>
        <v>5.0999999999999996</v>
      </c>
      <c r="AY21" s="20">
        <v>569375.03</v>
      </c>
      <c r="AZ21" s="20">
        <v>0</v>
      </c>
      <c r="BA21" s="20">
        <f>projekty[[#This Row],[Stĺpec51]]</f>
        <v>569375.03</v>
      </c>
      <c r="BB21" s="20">
        <v>9.9000000000000008E-3</v>
      </c>
      <c r="BC21" s="20">
        <v>0</v>
      </c>
      <c r="BD21" s="20">
        <f>projekty[[#This Row],[Stĺpec54]]</f>
        <v>9.9000000000000008E-3</v>
      </c>
      <c r="BE21" s="20">
        <v>9.9000000000000008E-3</v>
      </c>
      <c r="BF21" s="20">
        <v>0</v>
      </c>
      <c r="BG21" s="20">
        <f>projekty[[#This Row],[Stĺpec57]]</f>
        <v>9.9000000000000008E-3</v>
      </c>
      <c r="BH21" s="20">
        <v>0</v>
      </c>
      <c r="BI21" s="28">
        <v>0</v>
      </c>
      <c r="BJ21" s="20">
        <f>projekty[[#This Row],[Stĺpec60]]</f>
        <v>0</v>
      </c>
    </row>
    <row r="22" spans="1:62" ht="15" x14ac:dyDescent="0.25">
      <c r="A22" s="27" t="s">
        <v>738</v>
      </c>
      <c r="B22" s="14" t="s">
        <v>802</v>
      </c>
      <c r="C22" s="1" t="s">
        <v>851</v>
      </c>
      <c r="D22" s="18" t="s">
        <v>852</v>
      </c>
      <c r="E22" s="1" t="s">
        <v>1544</v>
      </c>
      <c r="F22" s="15">
        <v>42614</v>
      </c>
      <c r="G22" s="15">
        <v>42948</v>
      </c>
      <c r="H22" s="15"/>
      <c r="I22" s="279">
        <v>322988.15999999997</v>
      </c>
      <c r="J22" s="15"/>
      <c r="K22" s="306">
        <f>projekty[[#This Row],[Stĺpec9]]</f>
        <v>322988.15999999997</v>
      </c>
      <c r="L22" s="20">
        <v>0</v>
      </c>
      <c r="M22" s="20">
        <v>0</v>
      </c>
      <c r="N22" s="20">
        <f>projekty[[#This Row],[Stĺpec12]]</f>
        <v>0</v>
      </c>
      <c r="O22" s="20">
        <v>0</v>
      </c>
      <c r="P22" s="20">
        <v>0</v>
      </c>
      <c r="Q22" s="20">
        <f>projekty[[#This Row],[Stĺpec15]]</f>
        <v>0</v>
      </c>
      <c r="R22" s="20">
        <v>23.33</v>
      </c>
      <c r="S22" s="20">
        <v>0</v>
      </c>
      <c r="T22" s="20">
        <f>projekty[[#This Row],[Stĺpec18]]</f>
        <v>23.33</v>
      </c>
      <c r="U22" s="20">
        <v>5</v>
      </c>
      <c r="V22" s="20">
        <v>0</v>
      </c>
      <c r="W22" s="20">
        <f>projekty[[#This Row],[Stĺpec21]]</f>
        <v>5</v>
      </c>
      <c r="X22" s="20">
        <v>1</v>
      </c>
      <c r="Y22" s="20">
        <v>0</v>
      </c>
      <c r="Z22" s="20">
        <f>projekty[[#This Row],[Stĺpec24]]</f>
        <v>1</v>
      </c>
      <c r="AA22" s="20">
        <v>792.41</v>
      </c>
      <c r="AB22" s="20">
        <v>0</v>
      </c>
      <c r="AC22" s="20">
        <f>projekty[[#This Row],[Stĺpec27]]</f>
        <v>792.41</v>
      </c>
      <c r="AD22" s="20">
        <v>43.65</v>
      </c>
      <c r="AE22" s="20">
        <v>0</v>
      </c>
      <c r="AF22" s="20">
        <f>projekty[[#This Row],[Stĺpec30]]</f>
        <v>43.65</v>
      </c>
      <c r="AG22" s="20">
        <v>128.72</v>
      </c>
      <c r="AH22" s="20">
        <v>0</v>
      </c>
      <c r="AI22" s="20">
        <f>projekty[[#This Row],[Stĺpec33]]</f>
        <v>128.72</v>
      </c>
      <c r="AJ22" s="20">
        <v>85070</v>
      </c>
      <c r="AK22" s="20">
        <v>0</v>
      </c>
      <c r="AL22" s="20">
        <f>projekty[[#This Row],[Stĺpec36]]</f>
        <v>85070</v>
      </c>
      <c r="AM22" s="20">
        <v>104621.89</v>
      </c>
      <c r="AN22" s="20">
        <v>0</v>
      </c>
      <c r="AO22" s="20">
        <f>projekty[[#This Row],[Stĺpec39]]</f>
        <v>104621.89</v>
      </c>
      <c r="AP22" s="20">
        <v>12580</v>
      </c>
      <c r="AQ22" s="20">
        <v>0</v>
      </c>
      <c r="AR22" s="20">
        <f>projekty[[#This Row],[Stĺpec42]]</f>
        <v>12580</v>
      </c>
      <c r="AS22" s="20">
        <v>0</v>
      </c>
      <c r="AT22" s="20">
        <v>0</v>
      </c>
      <c r="AU22" s="20">
        <f>projekty[[#This Row],[Stĺpec45]]</f>
        <v>0</v>
      </c>
      <c r="AV22" s="20">
        <v>0</v>
      </c>
      <c r="AW22" s="20">
        <v>0</v>
      </c>
      <c r="AX22" s="20">
        <f>projekty[[#This Row],[Stĺpec48]]</f>
        <v>0</v>
      </c>
      <c r="AY22" s="20">
        <v>123076.72</v>
      </c>
      <c r="AZ22" s="20">
        <v>0</v>
      </c>
      <c r="BA22" s="20">
        <f>projekty[[#This Row],[Stĺpec51]]</f>
        <v>123076.72</v>
      </c>
      <c r="BB22" s="20">
        <v>0</v>
      </c>
      <c r="BC22" s="20">
        <v>0</v>
      </c>
      <c r="BD22" s="20">
        <f>projekty[[#This Row],[Stĺpec54]]</f>
        <v>0</v>
      </c>
      <c r="BE22" s="20">
        <v>0</v>
      </c>
      <c r="BF22" s="20">
        <v>0</v>
      </c>
      <c r="BG22" s="20">
        <f>projekty[[#This Row],[Stĺpec57]]</f>
        <v>0</v>
      </c>
      <c r="BH22" s="20">
        <v>0</v>
      </c>
      <c r="BI22" s="28">
        <v>0</v>
      </c>
      <c r="BJ22" s="20">
        <f>projekty[[#This Row],[Stĺpec60]]</f>
        <v>0</v>
      </c>
    </row>
    <row r="23" spans="1:62" ht="15" x14ac:dyDescent="0.25">
      <c r="A23" s="27" t="s">
        <v>739</v>
      </c>
      <c r="B23" s="14" t="s">
        <v>802</v>
      </c>
      <c r="C23" s="1" t="s">
        <v>853</v>
      </c>
      <c r="D23" s="18" t="s">
        <v>854</v>
      </c>
      <c r="E23" s="1" t="s">
        <v>1544</v>
      </c>
      <c r="F23" s="15">
        <v>42614</v>
      </c>
      <c r="G23" s="15">
        <v>42948</v>
      </c>
      <c r="H23" s="15"/>
      <c r="I23" s="279">
        <v>844887.68</v>
      </c>
      <c r="J23" s="15"/>
      <c r="K23" s="306">
        <f>projekty[[#This Row],[Stĺpec9]]</f>
        <v>844887.68</v>
      </c>
      <c r="L23" s="20">
        <v>9.9</v>
      </c>
      <c r="M23" s="20">
        <v>0</v>
      </c>
      <c r="N23" s="20">
        <f>projekty[[#This Row],[Stĺpec12]]</f>
        <v>9.9</v>
      </c>
      <c r="O23" s="20">
        <v>0</v>
      </c>
      <c r="P23" s="20">
        <v>0</v>
      </c>
      <c r="Q23" s="20">
        <f>projekty[[#This Row],[Stĺpec15]]</f>
        <v>0</v>
      </c>
      <c r="R23" s="20">
        <v>57.103000000000002</v>
      </c>
      <c r="S23" s="20">
        <v>0</v>
      </c>
      <c r="T23" s="20">
        <f>projekty[[#This Row],[Stĺpec18]]</f>
        <v>57.103000000000002</v>
      </c>
      <c r="U23" s="20">
        <v>7</v>
      </c>
      <c r="V23" s="20">
        <v>0</v>
      </c>
      <c r="W23" s="20">
        <f>projekty[[#This Row],[Stĺpec21]]</f>
        <v>7</v>
      </c>
      <c r="X23" s="20">
        <v>1</v>
      </c>
      <c r="Y23" s="20">
        <v>0</v>
      </c>
      <c r="Z23" s="20">
        <f>projekty[[#This Row],[Stĺpec24]]</f>
        <v>1</v>
      </c>
      <c r="AA23" s="20">
        <v>6402.99</v>
      </c>
      <c r="AB23" s="20">
        <v>0</v>
      </c>
      <c r="AC23" s="20">
        <f>projekty[[#This Row],[Stĺpec27]]</f>
        <v>6402.99</v>
      </c>
      <c r="AD23" s="20">
        <v>204.79220000000001</v>
      </c>
      <c r="AE23" s="20">
        <v>0</v>
      </c>
      <c r="AF23" s="20">
        <f>projekty[[#This Row],[Stĺpec30]]</f>
        <v>204.79220000000001</v>
      </c>
      <c r="AG23" s="20">
        <v>431.3</v>
      </c>
      <c r="AH23" s="20">
        <v>0</v>
      </c>
      <c r="AI23" s="20">
        <f>projekty[[#This Row],[Stĺpec33]]</f>
        <v>431.3</v>
      </c>
      <c r="AJ23" s="20">
        <v>226512.51</v>
      </c>
      <c r="AK23" s="20">
        <v>0</v>
      </c>
      <c r="AL23" s="20">
        <f>projekty[[#This Row],[Stĺpec36]]</f>
        <v>226512.51</v>
      </c>
      <c r="AM23" s="20">
        <v>356254.71999999997</v>
      </c>
      <c r="AN23" s="20">
        <v>0</v>
      </c>
      <c r="AO23" s="20">
        <f>projekty[[#This Row],[Stĺpec39]]</f>
        <v>356254.71999999997</v>
      </c>
      <c r="AP23" s="20">
        <v>69.2</v>
      </c>
      <c r="AQ23" s="20">
        <v>0</v>
      </c>
      <c r="AR23" s="20">
        <f>projekty[[#This Row],[Stĺpec42]]</f>
        <v>69.2</v>
      </c>
      <c r="AS23" s="20">
        <v>20</v>
      </c>
      <c r="AT23" s="20">
        <v>0</v>
      </c>
      <c r="AU23" s="20">
        <f>projekty[[#This Row],[Stĺpec45]]</f>
        <v>20</v>
      </c>
      <c r="AV23" s="20">
        <v>40</v>
      </c>
      <c r="AW23" s="20">
        <v>0</v>
      </c>
      <c r="AX23" s="20">
        <f>projekty[[#This Row],[Stĺpec48]]</f>
        <v>40</v>
      </c>
      <c r="AY23" s="20">
        <v>590913.06999999995</v>
      </c>
      <c r="AZ23" s="20">
        <v>0</v>
      </c>
      <c r="BA23" s="20">
        <f>projekty[[#This Row],[Stĺpec51]]</f>
        <v>590913.06999999995</v>
      </c>
      <c r="BB23" s="20">
        <v>9.9000000000000008E-3</v>
      </c>
      <c r="BC23" s="20">
        <v>0</v>
      </c>
      <c r="BD23" s="20">
        <f>projekty[[#This Row],[Stĺpec54]]</f>
        <v>9.9000000000000008E-3</v>
      </c>
      <c r="BE23" s="20">
        <v>9.9000000000000008E-3</v>
      </c>
      <c r="BF23" s="20">
        <v>0</v>
      </c>
      <c r="BG23" s="20">
        <f>projekty[[#This Row],[Stĺpec57]]</f>
        <v>9.9000000000000008E-3</v>
      </c>
      <c r="BH23" s="20">
        <v>0</v>
      </c>
      <c r="BI23" s="28">
        <v>0</v>
      </c>
      <c r="BJ23" s="20">
        <f>projekty[[#This Row],[Stĺpec60]]</f>
        <v>0</v>
      </c>
    </row>
    <row r="24" spans="1:62" ht="15" x14ac:dyDescent="0.25">
      <c r="A24" s="27" t="s">
        <v>796</v>
      </c>
      <c r="B24" s="14" t="s">
        <v>802</v>
      </c>
      <c r="C24" s="1" t="s">
        <v>965</v>
      </c>
      <c r="D24" s="18" t="s">
        <v>966</v>
      </c>
      <c r="E24" s="1" t="s">
        <v>1544</v>
      </c>
      <c r="F24" s="15">
        <v>42614</v>
      </c>
      <c r="G24" s="15">
        <v>42948</v>
      </c>
      <c r="H24" s="15"/>
      <c r="I24" s="279">
        <v>851912.79</v>
      </c>
      <c r="J24" s="15"/>
      <c r="K24" s="306">
        <f>projekty[[#This Row],[Stĺpec9]]</f>
        <v>851912.79</v>
      </c>
      <c r="L24" s="20">
        <v>10.34</v>
      </c>
      <c r="M24" s="20">
        <v>0</v>
      </c>
      <c r="N24" s="20">
        <f>projekty[[#This Row],[Stĺpec12]]</f>
        <v>10.34</v>
      </c>
      <c r="O24" s="20">
        <v>20.399999999999999</v>
      </c>
      <c r="P24" s="20">
        <v>0</v>
      </c>
      <c r="Q24" s="20">
        <f>projekty[[#This Row],[Stĺpec15]]</f>
        <v>20.399999999999999</v>
      </c>
      <c r="R24" s="20">
        <v>89.65</v>
      </c>
      <c r="S24" s="20">
        <v>0</v>
      </c>
      <c r="T24" s="20">
        <f>projekty[[#This Row],[Stĺpec18]]</f>
        <v>89.65</v>
      </c>
      <c r="U24" s="20">
        <v>5</v>
      </c>
      <c r="V24" s="20">
        <v>0</v>
      </c>
      <c r="W24" s="20">
        <f>projekty[[#This Row],[Stĺpec21]]</f>
        <v>5</v>
      </c>
      <c r="X24" s="20">
        <v>5</v>
      </c>
      <c r="Y24" s="20">
        <v>0</v>
      </c>
      <c r="Z24" s="20">
        <f>projekty[[#This Row],[Stĺpec24]]</f>
        <v>5</v>
      </c>
      <c r="AA24" s="20">
        <v>8876.5400000000009</v>
      </c>
      <c r="AB24" s="20">
        <v>0</v>
      </c>
      <c r="AC24" s="20">
        <f>projekty[[#This Row],[Stĺpec27]]</f>
        <v>8876.5400000000009</v>
      </c>
      <c r="AD24" s="20">
        <v>271.89999999999998</v>
      </c>
      <c r="AE24" s="20">
        <v>0</v>
      </c>
      <c r="AF24" s="20">
        <f>projekty[[#This Row],[Stĺpec30]]</f>
        <v>271.89999999999998</v>
      </c>
      <c r="AG24" s="20">
        <v>627.70000000000005</v>
      </c>
      <c r="AH24" s="20">
        <v>0</v>
      </c>
      <c r="AI24" s="20">
        <f>projekty[[#This Row],[Stĺpec33]]</f>
        <v>627.70000000000005</v>
      </c>
      <c r="AJ24" s="20">
        <v>296.322</v>
      </c>
      <c r="AK24" s="20">
        <v>0</v>
      </c>
      <c r="AL24" s="20">
        <f>projekty[[#This Row],[Stĺpec36]]</f>
        <v>296.322</v>
      </c>
      <c r="AM24" s="20">
        <v>526954</v>
      </c>
      <c r="AN24" s="20">
        <v>0</v>
      </c>
      <c r="AO24" s="20">
        <f>projekty[[#This Row],[Stĺpec39]]</f>
        <v>526954</v>
      </c>
      <c r="AP24" s="20">
        <v>121.2</v>
      </c>
      <c r="AQ24" s="20">
        <v>0</v>
      </c>
      <c r="AR24" s="20">
        <f>projekty[[#This Row],[Stĺpec42]]</f>
        <v>121.2</v>
      </c>
      <c r="AS24" s="20">
        <v>20</v>
      </c>
      <c r="AT24" s="20">
        <v>0</v>
      </c>
      <c r="AU24" s="20">
        <f>projekty[[#This Row],[Stĺpec45]]</f>
        <v>20</v>
      </c>
      <c r="AV24" s="20">
        <v>396.6</v>
      </c>
      <c r="AW24" s="20">
        <v>0</v>
      </c>
      <c r="AX24" s="20">
        <f>projekty[[#This Row],[Stĺpec48]]</f>
        <v>396.6</v>
      </c>
      <c r="AY24" s="20">
        <v>820511</v>
      </c>
      <c r="AZ24" s="20">
        <v>0</v>
      </c>
      <c r="BA24" s="20">
        <f>projekty[[#This Row],[Stĺpec51]]</f>
        <v>820511</v>
      </c>
      <c r="BB24" s="20">
        <v>0.01</v>
      </c>
      <c r="BC24" s="20">
        <v>0</v>
      </c>
      <c r="BD24" s="20">
        <f>projekty[[#This Row],[Stĺpec54]]</f>
        <v>0.01</v>
      </c>
      <c r="BE24" s="20">
        <v>0.01</v>
      </c>
      <c r="BF24" s="20">
        <v>0</v>
      </c>
      <c r="BG24" s="20">
        <f>projekty[[#This Row],[Stĺpec57]]</f>
        <v>0.01</v>
      </c>
      <c r="BH24" s="20">
        <v>0</v>
      </c>
      <c r="BI24" s="28">
        <v>0</v>
      </c>
      <c r="BJ24" s="20">
        <f>projekty[[#This Row],[Stĺpec60]]</f>
        <v>0</v>
      </c>
    </row>
    <row r="25" spans="1:62" ht="15" x14ac:dyDescent="0.25">
      <c r="A25" s="27" t="s">
        <v>755</v>
      </c>
      <c r="B25" s="14" t="s">
        <v>802</v>
      </c>
      <c r="C25" s="24" t="s">
        <v>885</v>
      </c>
      <c r="D25" s="18" t="s">
        <v>886</v>
      </c>
      <c r="E25" s="1" t="s">
        <v>1544</v>
      </c>
      <c r="F25" s="15">
        <v>42614</v>
      </c>
      <c r="G25" s="15">
        <v>42948</v>
      </c>
      <c r="H25" s="15"/>
      <c r="I25" s="279">
        <v>573639.03</v>
      </c>
      <c r="J25" s="15"/>
      <c r="K25" s="306">
        <f>projekty[[#This Row],[Stĺpec9]]</f>
        <v>573639.03</v>
      </c>
      <c r="L25" s="20">
        <v>6.39</v>
      </c>
      <c r="M25" s="20">
        <v>0</v>
      </c>
      <c r="N25" s="20">
        <f>projekty[[#This Row],[Stĺpec12]]</f>
        <v>6.39</v>
      </c>
      <c r="O25" s="20">
        <v>0</v>
      </c>
      <c r="P25" s="20">
        <v>0</v>
      </c>
      <c r="Q25" s="20">
        <f>projekty[[#This Row],[Stĺpec15]]</f>
        <v>0</v>
      </c>
      <c r="R25" s="20">
        <v>33.909999999999997</v>
      </c>
      <c r="S25" s="20">
        <v>0</v>
      </c>
      <c r="T25" s="20">
        <f>projekty[[#This Row],[Stĺpec18]]</f>
        <v>33.909999999999997</v>
      </c>
      <c r="U25" s="20">
        <v>4</v>
      </c>
      <c r="V25" s="20">
        <v>0</v>
      </c>
      <c r="W25" s="20">
        <f>projekty[[#This Row],[Stĺpec21]]</f>
        <v>4</v>
      </c>
      <c r="X25" s="20">
        <v>1</v>
      </c>
      <c r="Y25" s="20">
        <v>0</v>
      </c>
      <c r="Z25" s="20">
        <f>projekty[[#This Row],[Stĺpec24]]</f>
        <v>1</v>
      </c>
      <c r="AA25" s="20">
        <v>1581.8</v>
      </c>
      <c r="AB25" s="20">
        <v>0</v>
      </c>
      <c r="AC25" s="20">
        <f>projekty[[#This Row],[Stĺpec27]]</f>
        <v>1581.8</v>
      </c>
      <c r="AD25" s="20">
        <v>80.069999999999993</v>
      </c>
      <c r="AE25" s="20">
        <v>0</v>
      </c>
      <c r="AF25" s="20">
        <f>projekty[[#This Row],[Stĺpec30]]</f>
        <v>80.069999999999993</v>
      </c>
      <c r="AG25" s="20">
        <v>202.99</v>
      </c>
      <c r="AH25" s="20">
        <v>0</v>
      </c>
      <c r="AI25" s="20">
        <f>projekty[[#This Row],[Stĺpec33]]</f>
        <v>202.99</v>
      </c>
      <c r="AJ25" s="20">
        <v>122917</v>
      </c>
      <c r="AK25" s="20">
        <v>0</v>
      </c>
      <c r="AL25" s="20">
        <f>projekty[[#This Row],[Stĺpec36]]</f>
        <v>122917</v>
      </c>
      <c r="AM25" s="20">
        <v>165532</v>
      </c>
      <c r="AN25" s="20">
        <v>0</v>
      </c>
      <c r="AO25" s="20">
        <f>projekty[[#This Row],[Stĺpec39]]</f>
        <v>165532</v>
      </c>
      <c r="AP25" s="20">
        <v>17.2</v>
      </c>
      <c r="AQ25" s="20">
        <v>0</v>
      </c>
      <c r="AR25" s="20">
        <f>projekty[[#This Row],[Stĺpec42]]</f>
        <v>17.2</v>
      </c>
      <c r="AS25" s="20">
        <v>9</v>
      </c>
      <c r="AT25" s="20">
        <v>0</v>
      </c>
      <c r="AU25" s="20">
        <f>projekty[[#This Row],[Stĺpec45]]</f>
        <v>9</v>
      </c>
      <c r="AV25" s="20">
        <v>1</v>
      </c>
      <c r="AW25" s="20">
        <v>0</v>
      </c>
      <c r="AX25" s="20">
        <f>projekty[[#This Row],[Stĺpec48]]</f>
        <v>1</v>
      </c>
      <c r="AY25" s="20">
        <v>118397</v>
      </c>
      <c r="AZ25" s="20">
        <v>0</v>
      </c>
      <c r="BA25" s="20">
        <f>projekty[[#This Row],[Stĺpec51]]</f>
        <v>118397</v>
      </c>
      <c r="BB25" s="20">
        <v>0.01</v>
      </c>
      <c r="BC25" s="20">
        <v>0</v>
      </c>
      <c r="BD25" s="20">
        <f>projekty[[#This Row],[Stĺpec54]]</f>
        <v>0.01</v>
      </c>
      <c r="BE25" s="20">
        <v>0.01</v>
      </c>
      <c r="BF25" s="20">
        <v>0</v>
      </c>
      <c r="BG25" s="20">
        <f>projekty[[#This Row],[Stĺpec57]]</f>
        <v>0.01</v>
      </c>
      <c r="BH25" s="20">
        <v>0</v>
      </c>
      <c r="BI25" s="28">
        <v>0</v>
      </c>
      <c r="BJ25" s="20">
        <f>projekty[[#This Row],[Stĺpec60]]</f>
        <v>0</v>
      </c>
    </row>
    <row r="26" spans="1:62" ht="15" x14ac:dyDescent="0.25">
      <c r="A26" s="27" t="s">
        <v>729</v>
      </c>
      <c r="B26" s="14" t="s">
        <v>802</v>
      </c>
      <c r="C26" s="24" t="s">
        <v>833</v>
      </c>
      <c r="D26" s="18" t="s">
        <v>834</v>
      </c>
      <c r="E26" s="1" t="s">
        <v>1544</v>
      </c>
      <c r="F26" s="15">
        <v>42614</v>
      </c>
      <c r="G26" s="15">
        <v>42948</v>
      </c>
      <c r="H26" s="15"/>
      <c r="I26" s="279">
        <v>792589.35</v>
      </c>
      <c r="J26" s="15"/>
      <c r="K26" s="306">
        <f>projekty[[#This Row],[Stĺpec9]]</f>
        <v>792589.35</v>
      </c>
      <c r="L26" s="20">
        <v>9.9</v>
      </c>
      <c r="M26" s="20">
        <v>0</v>
      </c>
      <c r="N26" s="20">
        <f>projekty[[#This Row],[Stĺpec12]]</f>
        <v>9.9</v>
      </c>
      <c r="O26" s="20">
        <v>1.7</v>
      </c>
      <c r="P26" s="20">
        <v>0</v>
      </c>
      <c r="Q26" s="20">
        <f>projekty[[#This Row],[Stĺpec15]]</f>
        <v>1.7</v>
      </c>
      <c r="R26" s="20">
        <v>46.771500000000003</v>
      </c>
      <c r="S26" s="20">
        <v>0</v>
      </c>
      <c r="T26" s="20">
        <f>projekty[[#This Row],[Stĺpec18]]</f>
        <v>46.771500000000003</v>
      </c>
      <c r="U26" s="20">
        <v>9</v>
      </c>
      <c r="V26" s="20">
        <v>0</v>
      </c>
      <c r="W26" s="20">
        <f>projekty[[#This Row],[Stĺpec21]]</f>
        <v>9</v>
      </c>
      <c r="X26" s="20">
        <v>2</v>
      </c>
      <c r="Y26" s="20">
        <v>0</v>
      </c>
      <c r="Z26" s="20">
        <f>projekty[[#This Row],[Stĺpec24]]</f>
        <v>2</v>
      </c>
      <c r="AA26" s="20">
        <v>1232.3900000000001</v>
      </c>
      <c r="AB26" s="20">
        <v>0</v>
      </c>
      <c r="AC26" s="20">
        <f>projekty[[#This Row],[Stĺpec27]]</f>
        <v>1232.3900000000001</v>
      </c>
      <c r="AD26" s="20">
        <v>77.34</v>
      </c>
      <c r="AE26" s="20">
        <v>0</v>
      </c>
      <c r="AF26" s="20">
        <f>projekty[[#This Row],[Stĺpec30]]</f>
        <v>77.34</v>
      </c>
      <c r="AG26" s="20">
        <v>250.12</v>
      </c>
      <c r="AH26" s="20">
        <v>0</v>
      </c>
      <c r="AI26" s="20">
        <f>projekty[[#This Row],[Stĺpec33]]</f>
        <v>250.12</v>
      </c>
      <c r="AJ26" s="20">
        <v>172785.35</v>
      </c>
      <c r="AK26" s="20">
        <v>0</v>
      </c>
      <c r="AL26" s="20">
        <f>projekty[[#This Row],[Stĺpec36]]</f>
        <v>172785.35</v>
      </c>
      <c r="AM26" s="20">
        <v>147037.64000000001</v>
      </c>
      <c r="AN26" s="20">
        <v>0</v>
      </c>
      <c r="AO26" s="20">
        <f>projekty[[#This Row],[Stĺpec39]]</f>
        <v>147037.64000000001</v>
      </c>
      <c r="AP26" s="20">
        <v>34</v>
      </c>
      <c r="AQ26" s="20">
        <v>0</v>
      </c>
      <c r="AR26" s="20">
        <f>projekty[[#This Row],[Stĺpec42]]</f>
        <v>34</v>
      </c>
      <c r="AS26" s="20">
        <v>5.3</v>
      </c>
      <c r="AT26" s="20">
        <v>0</v>
      </c>
      <c r="AU26" s="20">
        <f>projekty[[#This Row],[Stĺpec45]]</f>
        <v>5.3</v>
      </c>
      <c r="AV26" s="20">
        <v>8.8000000000000007</v>
      </c>
      <c r="AW26" s="20">
        <v>0</v>
      </c>
      <c r="AX26" s="20">
        <f>projekty[[#This Row],[Stĺpec48]]</f>
        <v>8.8000000000000007</v>
      </c>
      <c r="AY26" s="20">
        <v>228369.74</v>
      </c>
      <c r="AZ26" s="20">
        <v>0</v>
      </c>
      <c r="BA26" s="20">
        <f>projekty[[#This Row],[Stĺpec51]]</f>
        <v>228369.74</v>
      </c>
      <c r="BB26" s="20">
        <v>9.9000000000000008E-3</v>
      </c>
      <c r="BC26" s="20">
        <v>0</v>
      </c>
      <c r="BD26" s="20">
        <f>projekty[[#This Row],[Stĺpec54]]</f>
        <v>9.9000000000000008E-3</v>
      </c>
      <c r="BE26" s="20">
        <v>9.9000000000000008E-3</v>
      </c>
      <c r="BF26" s="20">
        <v>0</v>
      </c>
      <c r="BG26" s="20">
        <f>projekty[[#This Row],[Stĺpec57]]</f>
        <v>9.9000000000000008E-3</v>
      </c>
      <c r="BH26" s="20">
        <v>1.6999999999999999E-3</v>
      </c>
      <c r="BI26" s="28">
        <v>0</v>
      </c>
      <c r="BJ26" s="20">
        <f>projekty[[#This Row],[Stĺpec60]]</f>
        <v>1.6999999999999999E-3</v>
      </c>
    </row>
    <row r="27" spans="1:62" ht="15" x14ac:dyDescent="0.25">
      <c r="A27" s="27" t="s">
        <v>779</v>
      </c>
      <c r="B27" s="14" t="s">
        <v>802</v>
      </c>
      <c r="C27" s="1" t="s">
        <v>931</v>
      </c>
      <c r="D27" s="18" t="s">
        <v>932</v>
      </c>
      <c r="E27" s="1" t="s">
        <v>1544</v>
      </c>
      <c r="F27" s="15">
        <v>42614</v>
      </c>
      <c r="G27" s="15">
        <v>42948</v>
      </c>
      <c r="H27" s="15"/>
      <c r="I27" s="279">
        <v>661594.93999999994</v>
      </c>
      <c r="J27" s="15"/>
      <c r="K27" s="306">
        <f>projekty[[#This Row],[Stĺpec9]]</f>
        <v>661594.93999999994</v>
      </c>
      <c r="L27" s="20">
        <v>9.64</v>
      </c>
      <c r="M27" s="20">
        <v>0</v>
      </c>
      <c r="N27" s="20">
        <f>projekty[[#This Row],[Stĺpec12]]</f>
        <v>9.64</v>
      </c>
      <c r="O27" s="20">
        <v>23.15</v>
      </c>
      <c r="P27" s="20">
        <v>0</v>
      </c>
      <c r="Q27" s="20">
        <f>projekty[[#This Row],[Stĺpec15]]</f>
        <v>23.15</v>
      </c>
      <c r="R27" s="20">
        <v>69.799000000000007</v>
      </c>
      <c r="S27" s="20">
        <v>0</v>
      </c>
      <c r="T27" s="20">
        <f>projekty[[#This Row],[Stĺpec18]]</f>
        <v>69.799000000000007</v>
      </c>
      <c r="U27" s="20">
        <v>5</v>
      </c>
      <c r="V27" s="20">
        <v>0</v>
      </c>
      <c r="W27" s="20">
        <f>projekty[[#This Row],[Stĺpec21]]</f>
        <v>5</v>
      </c>
      <c r="X27" s="20">
        <v>2</v>
      </c>
      <c r="Y27" s="20">
        <v>0</v>
      </c>
      <c r="Z27" s="20">
        <f>projekty[[#This Row],[Stĺpec24]]</f>
        <v>2</v>
      </c>
      <c r="AA27" s="20">
        <v>3995.43</v>
      </c>
      <c r="AB27" s="20">
        <v>0</v>
      </c>
      <c r="AC27" s="20">
        <f>projekty[[#This Row],[Stĺpec27]]</f>
        <v>3995.43</v>
      </c>
      <c r="AD27" s="20">
        <v>193.02</v>
      </c>
      <c r="AE27" s="20">
        <v>0</v>
      </c>
      <c r="AF27" s="20">
        <f>projekty[[#This Row],[Stĺpec30]]</f>
        <v>193.02</v>
      </c>
      <c r="AG27" s="20">
        <v>483.15</v>
      </c>
      <c r="AH27" s="20">
        <v>0</v>
      </c>
      <c r="AI27" s="20">
        <f>projekty[[#This Row],[Stĺpec33]]</f>
        <v>483.15</v>
      </c>
      <c r="AJ27" s="20">
        <v>290146</v>
      </c>
      <c r="AK27" s="20">
        <v>0</v>
      </c>
      <c r="AL27" s="20">
        <f>projekty[[#This Row],[Stĺpec36]]</f>
        <v>290146</v>
      </c>
      <c r="AM27" s="20">
        <v>307826</v>
      </c>
      <c r="AN27" s="20">
        <v>0</v>
      </c>
      <c r="AO27" s="20">
        <f>projekty[[#This Row],[Stĺpec39]]</f>
        <v>307826</v>
      </c>
      <c r="AP27" s="20">
        <v>57</v>
      </c>
      <c r="AQ27" s="20">
        <v>0</v>
      </c>
      <c r="AR27" s="20">
        <f>projekty[[#This Row],[Stĺpec42]]</f>
        <v>57</v>
      </c>
      <c r="AS27" s="20">
        <v>3</v>
      </c>
      <c r="AT27" s="20">
        <v>0</v>
      </c>
      <c r="AU27" s="20">
        <f>projekty[[#This Row],[Stĺpec45]]</f>
        <v>3</v>
      </c>
      <c r="AV27" s="20">
        <v>1</v>
      </c>
      <c r="AW27" s="20">
        <v>0</v>
      </c>
      <c r="AX27" s="20">
        <f>projekty[[#This Row],[Stĺpec48]]</f>
        <v>1</v>
      </c>
      <c r="AY27" s="20">
        <v>607719</v>
      </c>
      <c r="AZ27" s="20">
        <v>0</v>
      </c>
      <c r="BA27" s="20">
        <f>projekty[[#This Row],[Stĺpec51]]</f>
        <v>607719</v>
      </c>
      <c r="BB27" s="20">
        <v>0.01</v>
      </c>
      <c r="BC27" s="20">
        <v>0</v>
      </c>
      <c r="BD27" s="20">
        <f>projekty[[#This Row],[Stĺpec54]]</f>
        <v>0.01</v>
      </c>
      <c r="BE27" s="20">
        <v>0.01</v>
      </c>
      <c r="BF27" s="20">
        <v>0</v>
      </c>
      <c r="BG27" s="20">
        <f>projekty[[#This Row],[Stĺpec57]]</f>
        <v>0.01</v>
      </c>
      <c r="BH27" s="20">
        <v>0</v>
      </c>
      <c r="BI27" s="28">
        <v>0</v>
      </c>
      <c r="BJ27" s="20">
        <f>projekty[[#This Row],[Stĺpec60]]</f>
        <v>0</v>
      </c>
    </row>
    <row r="28" spans="1:62" ht="15" x14ac:dyDescent="0.25">
      <c r="A28" s="27" t="s">
        <v>767</v>
      </c>
      <c r="B28" s="14" t="s">
        <v>802</v>
      </c>
      <c r="C28" s="24" t="s">
        <v>909</v>
      </c>
      <c r="D28" s="18" t="s">
        <v>910</v>
      </c>
      <c r="E28" s="1" t="s">
        <v>1544</v>
      </c>
      <c r="F28" s="15">
        <v>42614</v>
      </c>
      <c r="G28" s="15">
        <v>42948</v>
      </c>
      <c r="H28" s="15"/>
      <c r="I28" s="279">
        <v>233418.66</v>
      </c>
      <c r="J28" s="15"/>
      <c r="K28" s="306">
        <f>projekty[[#This Row],[Stĺpec9]]</f>
        <v>233418.66</v>
      </c>
      <c r="L28" s="20">
        <v>9.6300000000000008</v>
      </c>
      <c r="M28" s="20">
        <v>0</v>
      </c>
      <c r="N28" s="20">
        <f>projekty[[#This Row],[Stĺpec12]]</f>
        <v>9.6300000000000008</v>
      </c>
      <c r="O28" s="20">
        <v>0.93</v>
      </c>
      <c r="P28" s="20">
        <v>0</v>
      </c>
      <c r="Q28" s="20">
        <f>projekty[[#This Row],[Stĺpec15]]</f>
        <v>0.93</v>
      </c>
      <c r="R28" s="20">
        <v>27.3</v>
      </c>
      <c r="S28" s="20">
        <v>0</v>
      </c>
      <c r="T28" s="20">
        <f>projekty[[#This Row],[Stĺpec18]]</f>
        <v>27.3</v>
      </c>
      <c r="U28" s="20">
        <v>5</v>
      </c>
      <c r="V28" s="20">
        <v>0</v>
      </c>
      <c r="W28" s="20">
        <f>projekty[[#This Row],[Stĺpec21]]</f>
        <v>5</v>
      </c>
      <c r="X28" s="20">
        <v>1</v>
      </c>
      <c r="Y28" s="20">
        <v>0</v>
      </c>
      <c r="Z28" s="20">
        <f>projekty[[#This Row],[Stĺpec24]]</f>
        <v>1</v>
      </c>
      <c r="AA28" s="20">
        <v>925.76</v>
      </c>
      <c r="AB28" s="20">
        <v>0</v>
      </c>
      <c r="AC28" s="20">
        <f>projekty[[#This Row],[Stĺpec27]]</f>
        <v>925.76</v>
      </c>
      <c r="AD28" s="20">
        <v>87.62</v>
      </c>
      <c r="AE28" s="20">
        <v>0</v>
      </c>
      <c r="AF28" s="20">
        <f>projekty[[#This Row],[Stĺpec30]]</f>
        <v>87.62</v>
      </c>
      <c r="AG28" s="20">
        <v>192.97</v>
      </c>
      <c r="AH28" s="20">
        <v>0</v>
      </c>
      <c r="AI28" s="20">
        <f>projekty[[#This Row],[Stĺpec33]]</f>
        <v>192.97</v>
      </c>
      <c r="AJ28" s="20">
        <v>0</v>
      </c>
      <c r="AK28" s="20">
        <v>0</v>
      </c>
      <c r="AL28" s="20">
        <f>projekty[[#This Row],[Stĺpec36]]</f>
        <v>0</v>
      </c>
      <c r="AM28" s="20">
        <v>182633</v>
      </c>
      <c r="AN28" s="20">
        <v>0</v>
      </c>
      <c r="AO28" s="20">
        <f>projekty[[#This Row],[Stĺpec39]]</f>
        <v>182633</v>
      </c>
      <c r="AP28" s="20">
        <v>29</v>
      </c>
      <c r="AQ28" s="20">
        <v>0</v>
      </c>
      <c r="AR28" s="20">
        <f>projekty[[#This Row],[Stĺpec42]]</f>
        <v>29</v>
      </c>
      <c r="AS28" s="20">
        <v>2.7</v>
      </c>
      <c r="AT28" s="20">
        <v>0</v>
      </c>
      <c r="AU28" s="20">
        <f>projekty[[#This Row],[Stĺpec45]]</f>
        <v>2.7</v>
      </c>
      <c r="AV28" s="20">
        <v>8.3000000000000007</v>
      </c>
      <c r="AW28" s="20">
        <v>0</v>
      </c>
      <c r="AX28" s="20">
        <f>projekty[[#This Row],[Stĺpec48]]</f>
        <v>8.3000000000000007</v>
      </c>
      <c r="AY28" s="20">
        <v>355392</v>
      </c>
      <c r="AZ28" s="20">
        <v>0</v>
      </c>
      <c r="BA28" s="20">
        <f>projekty[[#This Row],[Stĺpec51]]</f>
        <v>355392</v>
      </c>
      <c r="BB28" s="20">
        <v>0.01</v>
      </c>
      <c r="BC28" s="20">
        <v>0</v>
      </c>
      <c r="BD28" s="20">
        <f>projekty[[#This Row],[Stĺpec54]]</f>
        <v>0.01</v>
      </c>
      <c r="BE28" s="20">
        <v>1.2E-2</v>
      </c>
      <c r="BF28" s="20">
        <v>0</v>
      </c>
      <c r="BG28" s="20">
        <f>projekty[[#This Row],[Stĺpec57]]</f>
        <v>1.2E-2</v>
      </c>
      <c r="BH28" s="20">
        <v>2E-3</v>
      </c>
      <c r="BI28" s="28">
        <v>0</v>
      </c>
      <c r="BJ28" s="20">
        <f>projekty[[#This Row],[Stĺpec60]]</f>
        <v>2E-3</v>
      </c>
    </row>
    <row r="29" spans="1:62" ht="15" x14ac:dyDescent="0.25">
      <c r="A29" s="27" t="s">
        <v>795</v>
      </c>
      <c r="B29" s="14" t="s">
        <v>802</v>
      </c>
      <c r="C29" s="1" t="s">
        <v>963</v>
      </c>
      <c r="D29" s="18" t="s">
        <v>964</v>
      </c>
      <c r="E29" s="1" t="s">
        <v>1544</v>
      </c>
      <c r="F29" s="15">
        <v>42370</v>
      </c>
      <c r="G29" s="15">
        <v>42948</v>
      </c>
      <c r="H29" s="15"/>
      <c r="I29" s="279">
        <v>337949.47</v>
      </c>
      <c r="J29" s="15"/>
      <c r="K29" s="306">
        <f>projekty[[#This Row],[Stĺpec9]]</f>
        <v>337949.47</v>
      </c>
      <c r="L29" s="20">
        <v>0</v>
      </c>
      <c r="M29" s="20">
        <v>0</v>
      </c>
      <c r="N29" s="20">
        <f>projekty[[#This Row],[Stĺpec12]]</f>
        <v>0</v>
      </c>
      <c r="O29" s="20">
        <v>0</v>
      </c>
      <c r="P29" s="20">
        <v>0</v>
      </c>
      <c r="Q29" s="20">
        <f>projekty[[#This Row],[Stĺpec15]]</f>
        <v>0</v>
      </c>
      <c r="R29" s="20">
        <v>22.68</v>
      </c>
      <c r="S29" s="20">
        <v>0</v>
      </c>
      <c r="T29" s="20">
        <f>projekty[[#This Row],[Stĺpec18]]</f>
        <v>22.68</v>
      </c>
      <c r="U29" s="20">
        <v>3</v>
      </c>
      <c r="V29" s="20">
        <v>0</v>
      </c>
      <c r="W29" s="20">
        <f>projekty[[#This Row],[Stĺpec21]]</f>
        <v>3</v>
      </c>
      <c r="X29" s="20">
        <v>1</v>
      </c>
      <c r="Y29" s="20">
        <v>0</v>
      </c>
      <c r="Z29" s="20">
        <f>projekty[[#This Row],[Stĺpec24]]</f>
        <v>1</v>
      </c>
      <c r="AA29" s="20">
        <v>103</v>
      </c>
      <c r="AB29" s="20">
        <v>0</v>
      </c>
      <c r="AC29" s="20">
        <f>projekty[[#This Row],[Stĺpec27]]</f>
        <v>103</v>
      </c>
      <c r="AD29" s="20">
        <v>16.119</v>
      </c>
      <c r="AE29" s="20">
        <v>0</v>
      </c>
      <c r="AF29" s="20">
        <f>projekty[[#This Row],[Stĺpec30]]</f>
        <v>16.119</v>
      </c>
      <c r="AG29" s="20">
        <v>116.81399999999999</v>
      </c>
      <c r="AH29" s="20">
        <v>0</v>
      </c>
      <c r="AI29" s="20">
        <f>projekty[[#This Row],[Stĺpec33]]</f>
        <v>116.81399999999999</v>
      </c>
      <c r="AJ29" s="20">
        <v>100695</v>
      </c>
      <c r="AK29" s="20">
        <v>0</v>
      </c>
      <c r="AL29" s="20">
        <f>projekty[[#This Row],[Stĺpec36]]</f>
        <v>100695</v>
      </c>
      <c r="AM29" s="20">
        <v>135034</v>
      </c>
      <c r="AN29" s="20">
        <v>0</v>
      </c>
      <c r="AO29" s="20">
        <f>projekty[[#This Row],[Stĺpec39]]</f>
        <v>135034</v>
      </c>
      <c r="AP29" s="20">
        <v>28</v>
      </c>
      <c r="AQ29" s="20">
        <v>0</v>
      </c>
      <c r="AR29" s="20">
        <f>projekty[[#This Row],[Stĺpec42]]</f>
        <v>28</v>
      </c>
      <c r="AS29" s="20">
        <v>2</v>
      </c>
      <c r="AT29" s="20">
        <v>0</v>
      </c>
      <c r="AU29" s="20">
        <f>projekty[[#This Row],[Stĺpec45]]</f>
        <v>2</v>
      </c>
      <c r="AV29" s="20">
        <v>6</v>
      </c>
      <c r="AW29" s="20">
        <v>0</v>
      </c>
      <c r="AX29" s="20">
        <f>projekty[[#This Row],[Stĺpec48]]</f>
        <v>6</v>
      </c>
      <c r="AY29" s="20">
        <v>93705</v>
      </c>
      <c r="AZ29" s="20">
        <v>0</v>
      </c>
      <c r="BA29" s="20">
        <f>projekty[[#This Row],[Stĺpec51]]</f>
        <v>93705</v>
      </c>
      <c r="BB29" s="20">
        <v>0</v>
      </c>
      <c r="BC29" s="20">
        <v>0</v>
      </c>
      <c r="BD29" s="20">
        <f>projekty[[#This Row],[Stĺpec54]]</f>
        <v>0</v>
      </c>
      <c r="BE29" s="20">
        <v>0</v>
      </c>
      <c r="BF29" s="20">
        <v>0</v>
      </c>
      <c r="BG29" s="20">
        <f>projekty[[#This Row],[Stĺpec57]]</f>
        <v>0</v>
      </c>
      <c r="BH29" s="20">
        <v>0</v>
      </c>
      <c r="BI29" s="28">
        <v>0</v>
      </c>
      <c r="BJ29" s="20">
        <f>projekty[[#This Row],[Stĺpec60]]</f>
        <v>0</v>
      </c>
    </row>
    <row r="30" spans="1:62" ht="15" x14ac:dyDescent="0.25">
      <c r="A30" s="27" t="s">
        <v>743</v>
      </c>
      <c r="B30" s="14" t="s">
        <v>802</v>
      </c>
      <c r="C30" s="1" t="s">
        <v>861</v>
      </c>
      <c r="D30" s="18" t="s">
        <v>862</v>
      </c>
      <c r="E30" s="1" t="s">
        <v>1544</v>
      </c>
      <c r="F30" s="15">
        <v>42675</v>
      </c>
      <c r="G30" s="15">
        <v>42979</v>
      </c>
      <c r="H30" s="15"/>
      <c r="I30" s="279">
        <v>434708.64</v>
      </c>
      <c r="J30" s="15"/>
      <c r="K30" s="306">
        <f>projekty[[#This Row],[Stĺpec9]]</f>
        <v>434708.64</v>
      </c>
      <c r="L30" s="20">
        <v>0</v>
      </c>
      <c r="M30" s="20">
        <v>0</v>
      </c>
      <c r="N30" s="20">
        <f>projekty[[#This Row],[Stĺpec12]]</f>
        <v>0</v>
      </c>
      <c r="O30" s="20">
        <v>0</v>
      </c>
      <c r="P30" s="20">
        <v>0</v>
      </c>
      <c r="Q30" s="20">
        <f>projekty[[#This Row],[Stĺpec15]]</f>
        <v>0</v>
      </c>
      <c r="R30" s="20">
        <v>65.471000000000004</v>
      </c>
      <c r="S30" s="20">
        <v>0</v>
      </c>
      <c r="T30" s="20">
        <f>projekty[[#This Row],[Stĺpec18]]</f>
        <v>65.471000000000004</v>
      </c>
      <c r="U30" s="20">
        <v>3</v>
      </c>
      <c r="V30" s="20">
        <v>0</v>
      </c>
      <c r="W30" s="20">
        <f>projekty[[#This Row],[Stĺpec21]]</f>
        <v>3</v>
      </c>
      <c r="X30" s="20">
        <v>1</v>
      </c>
      <c r="Y30" s="20">
        <v>0</v>
      </c>
      <c r="Z30" s="20">
        <f>projekty[[#This Row],[Stĺpec24]]</f>
        <v>1</v>
      </c>
      <c r="AA30" s="20">
        <v>1884.1</v>
      </c>
      <c r="AB30" s="20">
        <v>0</v>
      </c>
      <c r="AC30" s="20">
        <f>projekty[[#This Row],[Stĺpec27]]</f>
        <v>1884.1</v>
      </c>
      <c r="AD30" s="20">
        <v>114.33199999999999</v>
      </c>
      <c r="AE30" s="20">
        <v>0</v>
      </c>
      <c r="AF30" s="20">
        <f>projekty[[#This Row],[Stĺpec30]]</f>
        <v>114.33199999999999</v>
      </c>
      <c r="AG30" s="20">
        <v>301.56700000000001</v>
      </c>
      <c r="AH30" s="20">
        <v>0</v>
      </c>
      <c r="AI30" s="20">
        <f>projekty[[#This Row],[Stĺpec33]]</f>
        <v>301.56700000000001</v>
      </c>
      <c r="AJ30" s="20">
        <v>187235</v>
      </c>
      <c r="AK30" s="20">
        <v>0</v>
      </c>
      <c r="AL30" s="20">
        <f>projekty[[#This Row],[Stĺpec36]]</f>
        <v>187235</v>
      </c>
      <c r="AM30" s="20">
        <v>145566</v>
      </c>
      <c r="AN30" s="20">
        <v>0</v>
      </c>
      <c r="AO30" s="20">
        <f>projekty[[#This Row],[Stĺpec39]]</f>
        <v>145566</v>
      </c>
      <c r="AP30" s="20">
        <v>43.22</v>
      </c>
      <c r="AQ30" s="20">
        <v>0</v>
      </c>
      <c r="AR30" s="20">
        <f>projekty[[#This Row],[Stĺpec42]]</f>
        <v>43.22</v>
      </c>
      <c r="AS30" s="20">
        <v>11.7</v>
      </c>
      <c r="AT30" s="20">
        <v>0</v>
      </c>
      <c r="AU30" s="20">
        <f>projekty[[#This Row],[Stĺpec45]]</f>
        <v>11.7</v>
      </c>
      <c r="AV30" s="20">
        <v>41.19</v>
      </c>
      <c r="AW30" s="20">
        <v>0</v>
      </c>
      <c r="AX30" s="20">
        <f>projekty[[#This Row],[Stĺpec48]]</f>
        <v>41.19</v>
      </c>
      <c r="AY30" s="20">
        <v>308598</v>
      </c>
      <c r="AZ30" s="20">
        <v>0</v>
      </c>
      <c r="BA30" s="20">
        <f>projekty[[#This Row],[Stĺpec51]]</f>
        <v>308598</v>
      </c>
      <c r="BB30" s="20">
        <v>0</v>
      </c>
      <c r="BC30" s="20">
        <v>0</v>
      </c>
      <c r="BD30" s="20">
        <f>projekty[[#This Row],[Stĺpec54]]</f>
        <v>0</v>
      </c>
      <c r="BE30" s="20">
        <v>0</v>
      </c>
      <c r="BF30" s="20">
        <v>0</v>
      </c>
      <c r="BG30" s="20">
        <f>projekty[[#This Row],[Stĺpec57]]</f>
        <v>0</v>
      </c>
      <c r="BH30" s="20">
        <v>0</v>
      </c>
      <c r="BI30" s="28">
        <v>0</v>
      </c>
      <c r="BJ30" s="20">
        <f>projekty[[#This Row],[Stĺpec60]]</f>
        <v>0</v>
      </c>
    </row>
    <row r="31" spans="1:62" ht="15" x14ac:dyDescent="0.25">
      <c r="A31" s="27" t="s">
        <v>789</v>
      </c>
      <c r="B31" s="14" t="s">
        <v>802</v>
      </c>
      <c r="C31" s="1" t="s">
        <v>951</v>
      </c>
      <c r="D31" s="18" t="s">
        <v>952</v>
      </c>
      <c r="E31" s="1" t="s">
        <v>1544</v>
      </c>
      <c r="F31" s="15">
        <v>42339</v>
      </c>
      <c r="G31" s="15">
        <v>42979</v>
      </c>
      <c r="H31" s="15"/>
      <c r="I31" s="279">
        <v>303549.59999999998</v>
      </c>
      <c r="J31" s="15"/>
      <c r="K31" s="306">
        <f>projekty[[#This Row],[Stĺpec9]]</f>
        <v>303549.59999999998</v>
      </c>
      <c r="L31" s="20">
        <v>0</v>
      </c>
      <c r="M31" s="20">
        <v>0</v>
      </c>
      <c r="N31" s="20">
        <f>projekty[[#This Row],[Stĺpec12]]</f>
        <v>0</v>
      </c>
      <c r="O31" s="20">
        <v>3.1989999999999998</v>
      </c>
      <c r="P31" s="20">
        <v>0</v>
      </c>
      <c r="Q31" s="20">
        <f>projekty[[#This Row],[Stĺpec15]]</f>
        <v>3.1989999999999998</v>
      </c>
      <c r="R31" s="20">
        <v>12</v>
      </c>
      <c r="S31" s="20">
        <v>0</v>
      </c>
      <c r="T31" s="20">
        <f>projekty[[#This Row],[Stĺpec18]]</f>
        <v>12</v>
      </c>
      <c r="U31" s="20">
        <v>4</v>
      </c>
      <c r="V31" s="20">
        <v>0</v>
      </c>
      <c r="W31" s="20">
        <f>projekty[[#This Row],[Stĺpec21]]</f>
        <v>4</v>
      </c>
      <c r="X31" s="20">
        <v>1</v>
      </c>
      <c r="Y31" s="20">
        <v>0</v>
      </c>
      <c r="Z31" s="20">
        <f>projekty[[#This Row],[Stĺpec24]]</f>
        <v>1</v>
      </c>
      <c r="AA31" s="20">
        <v>859.29</v>
      </c>
      <c r="AB31" s="20">
        <v>0</v>
      </c>
      <c r="AC31" s="20">
        <f>projekty[[#This Row],[Stĺpec27]]</f>
        <v>859.29</v>
      </c>
      <c r="AD31" s="20">
        <v>54.45</v>
      </c>
      <c r="AE31" s="20">
        <v>0</v>
      </c>
      <c r="AF31" s="20">
        <f>projekty[[#This Row],[Stĺpec30]]</f>
        <v>54.45</v>
      </c>
      <c r="AG31" s="20">
        <v>187.79300000000001</v>
      </c>
      <c r="AH31" s="20">
        <v>0</v>
      </c>
      <c r="AI31" s="20">
        <f>projekty[[#This Row],[Stĺpec33]]</f>
        <v>187.79300000000001</v>
      </c>
      <c r="AJ31" s="20">
        <v>127519.67999999999</v>
      </c>
      <c r="AK31" s="20">
        <v>0</v>
      </c>
      <c r="AL31" s="20">
        <f>projekty[[#This Row],[Stĺpec36]]</f>
        <v>127519.67999999999</v>
      </c>
      <c r="AM31" s="20">
        <v>144833.32999999999</v>
      </c>
      <c r="AN31" s="20">
        <v>0</v>
      </c>
      <c r="AO31" s="20">
        <f>projekty[[#This Row],[Stĺpec39]]</f>
        <v>144833.32999999999</v>
      </c>
      <c r="AP31" s="20">
        <v>18.600000000000001</v>
      </c>
      <c r="AQ31" s="20">
        <v>0</v>
      </c>
      <c r="AR31" s="20">
        <f>projekty[[#This Row],[Stĺpec42]]</f>
        <v>18.600000000000001</v>
      </c>
      <c r="AS31" s="20">
        <v>0.8</v>
      </c>
      <c r="AT31" s="20">
        <v>0</v>
      </c>
      <c r="AU31" s="20">
        <f>projekty[[#This Row],[Stĺpec45]]</f>
        <v>0.8</v>
      </c>
      <c r="AV31" s="20">
        <v>0.1</v>
      </c>
      <c r="AW31" s="20">
        <v>0</v>
      </c>
      <c r="AX31" s="20">
        <f>projekty[[#This Row],[Stĺpec48]]</f>
        <v>0.1</v>
      </c>
      <c r="AY31" s="20">
        <v>289683.84000000003</v>
      </c>
      <c r="AZ31" s="20">
        <v>0</v>
      </c>
      <c r="BA31" s="20">
        <f>projekty[[#This Row],[Stĺpec51]]</f>
        <v>289683.84000000003</v>
      </c>
      <c r="BB31" s="20">
        <v>0</v>
      </c>
      <c r="BC31" s="20">
        <v>0</v>
      </c>
      <c r="BD31" s="20">
        <f>projekty[[#This Row],[Stĺpec54]]</f>
        <v>0</v>
      </c>
      <c r="BE31" s="20">
        <v>6.4999999999999997E-3</v>
      </c>
      <c r="BF31" s="20">
        <v>0</v>
      </c>
      <c r="BG31" s="20">
        <f>projekty[[#This Row],[Stĺpec57]]</f>
        <v>6.4999999999999997E-3</v>
      </c>
      <c r="BH31" s="20">
        <v>0</v>
      </c>
      <c r="BI31" s="28">
        <v>0</v>
      </c>
      <c r="BJ31" s="20">
        <f>projekty[[#This Row],[Stĺpec60]]</f>
        <v>0</v>
      </c>
    </row>
    <row r="32" spans="1:62" ht="15" x14ac:dyDescent="0.25">
      <c r="A32" s="27" t="s">
        <v>771</v>
      </c>
      <c r="B32" s="14" t="s">
        <v>802</v>
      </c>
      <c r="C32" s="24" t="s">
        <v>917</v>
      </c>
      <c r="D32" s="18" t="s">
        <v>918</v>
      </c>
      <c r="E32" s="1" t="s">
        <v>1544</v>
      </c>
      <c r="F32" s="15">
        <v>42795</v>
      </c>
      <c r="G32" s="15">
        <v>42979</v>
      </c>
      <c r="H32" s="15"/>
      <c r="I32" s="279">
        <v>136910.63</v>
      </c>
      <c r="J32" s="15"/>
      <c r="K32" s="306">
        <f>projekty[[#This Row],[Stĺpec9]]</f>
        <v>136910.63</v>
      </c>
      <c r="L32" s="20">
        <v>0</v>
      </c>
      <c r="M32" s="20">
        <v>0</v>
      </c>
      <c r="N32" s="20">
        <f>projekty[[#This Row],[Stĺpec12]]</f>
        <v>0</v>
      </c>
      <c r="O32" s="20">
        <v>0</v>
      </c>
      <c r="P32" s="20">
        <v>0</v>
      </c>
      <c r="Q32" s="20">
        <f>projekty[[#This Row],[Stĺpec15]]</f>
        <v>0</v>
      </c>
      <c r="R32" s="20">
        <v>0.96</v>
      </c>
      <c r="S32" s="20">
        <v>0</v>
      </c>
      <c r="T32" s="20">
        <f>projekty[[#This Row],[Stĺpec18]]</f>
        <v>0.96</v>
      </c>
      <c r="U32" s="20">
        <v>8</v>
      </c>
      <c r="V32" s="20">
        <v>0</v>
      </c>
      <c r="W32" s="20">
        <f>projekty[[#This Row],[Stĺpec21]]</f>
        <v>8</v>
      </c>
      <c r="X32" s="20">
        <v>1</v>
      </c>
      <c r="Y32" s="20">
        <v>0</v>
      </c>
      <c r="Z32" s="20">
        <f>projekty[[#This Row],[Stĺpec24]]</f>
        <v>1</v>
      </c>
      <c r="AA32" s="20">
        <v>232</v>
      </c>
      <c r="AB32" s="20">
        <v>0</v>
      </c>
      <c r="AC32" s="20">
        <f>projekty[[#This Row],[Stĺpec27]]</f>
        <v>232</v>
      </c>
      <c r="AD32" s="20">
        <v>15.310600000000001</v>
      </c>
      <c r="AE32" s="20">
        <v>0</v>
      </c>
      <c r="AF32" s="20">
        <f>projekty[[#This Row],[Stĺpec30]]</f>
        <v>15.310600000000001</v>
      </c>
      <c r="AG32" s="20">
        <v>79.145700000000005</v>
      </c>
      <c r="AH32" s="20">
        <v>0</v>
      </c>
      <c r="AI32" s="20">
        <f>projekty[[#This Row],[Stĺpec33]]</f>
        <v>79.145700000000005</v>
      </c>
      <c r="AJ32" s="20">
        <v>63835.1</v>
      </c>
      <c r="AK32" s="20">
        <v>0</v>
      </c>
      <c r="AL32" s="20">
        <f>projekty[[#This Row],[Stĺpec36]]</f>
        <v>63835.1</v>
      </c>
      <c r="AM32" s="20">
        <v>24932</v>
      </c>
      <c r="AN32" s="20">
        <v>0</v>
      </c>
      <c r="AO32" s="20">
        <f>projekty[[#This Row],[Stĺpec39]]</f>
        <v>24932</v>
      </c>
      <c r="AP32" s="20">
        <v>8</v>
      </c>
      <c r="AQ32" s="20">
        <v>0</v>
      </c>
      <c r="AR32" s="20">
        <f>projekty[[#This Row],[Stĺpec42]]</f>
        <v>8</v>
      </c>
      <c r="AS32" s="20">
        <v>1</v>
      </c>
      <c r="AT32" s="20">
        <v>0</v>
      </c>
      <c r="AU32" s="20">
        <f>projekty[[#This Row],[Stĺpec45]]</f>
        <v>1</v>
      </c>
      <c r="AV32" s="20">
        <v>3</v>
      </c>
      <c r="AW32" s="20">
        <v>0</v>
      </c>
      <c r="AX32" s="20">
        <f>projekty[[#This Row],[Stĺpec48]]</f>
        <v>3</v>
      </c>
      <c r="AY32" s="20">
        <v>0</v>
      </c>
      <c r="AZ32" s="20">
        <v>0</v>
      </c>
      <c r="BA32" s="20">
        <f>projekty[[#This Row],[Stĺpec51]]</f>
        <v>0</v>
      </c>
      <c r="BB32" s="20">
        <v>0</v>
      </c>
      <c r="BC32" s="20">
        <v>0</v>
      </c>
      <c r="BD32" s="20">
        <f>projekty[[#This Row],[Stĺpec54]]</f>
        <v>0</v>
      </c>
      <c r="BE32" s="20">
        <v>0</v>
      </c>
      <c r="BF32" s="20">
        <v>0</v>
      </c>
      <c r="BG32" s="20">
        <f>projekty[[#This Row],[Stĺpec57]]</f>
        <v>0</v>
      </c>
      <c r="BH32" s="20">
        <v>0</v>
      </c>
      <c r="BI32" s="28">
        <v>0</v>
      </c>
      <c r="BJ32" s="20">
        <f>projekty[[#This Row],[Stĺpec60]]</f>
        <v>0</v>
      </c>
    </row>
    <row r="33" spans="1:62" ht="15" x14ac:dyDescent="0.25">
      <c r="A33" s="27" t="s">
        <v>737</v>
      </c>
      <c r="B33" s="14" t="s">
        <v>802</v>
      </c>
      <c r="C33" s="1" t="s">
        <v>849</v>
      </c>
      <c r="D33" s="18" t="s">
        <v>850</v>
      </c>
      <c r="E33" s="1" t="s">
        <v>1544</v>
      </c>
      <c r="F33" s="15">
        <v>42826</v>
      </c>
      <c r="G33" s="15">
        <v>42979</v>
      </c>
      <c r="H33" s="15"/>
      <c r="I33" s="279">
        <v>476124.57</v>
      </c>
      <c r="J33" s="15"/>
      <c r="K33" s="306">
        <f>projekty[[#This Row],[Stĺpec9]]</f>
        <v>476124.57</v>
      </c>
      <c r="L33" s="20">
        <v>6.7</v>
      </c>
      <c r="M33" s="20">
        <v>0</v>
      </c>
      <c r="N33" s="20">
        <f>projekty[[#This Row],[Stĺpec12]]</f>
        <v>6.7</v>
      </c>
      <c r="O33" s="20">
        <v>18.356999999999999</v>
      </c>
      <c r="P33" s="20">
        <v>0</v>
      </c>
      <c r="Q33" s="20">
        <f>projekty[[#This Row],[Stĺpec15]]</f>
        <v>18.356999999999999</v>
      </c>
      <c r="R33" s="20">
        <v>33.85</v>
      </c>
      <c r="S33" s="20">
        <v>0</v>
      </c>
      <c r="T33" s="20">
        <f>projekty[[#This Row],[Stĺpec18]]</f>
        <v>33.85</v>
      </c>
      <c r="U33" s="20">
        <v>8</v>
      </c>
      <c r="V33" s="20">
        <v>0</v>
      </c>
      <c r="W33" s="20">
        <f>projekty[[#This Row],[Stĺpec21]]</f>
        <v>8</v>
      </c>
      <c r="X33" s="20">
        <v>1</v>
      </c>
      <c r="Y33" s="20">
        <v>0</v>
      </c>
      <c r="Z33" s="20">
        <f>projekty[[#This Row],[Stĺpec24]]</f>
        <v>1</v>
      </c>
      <c r="AA33" s="20">
        <v>2350</v>
      </c>
      <c r="AB33" s="20">
        <v>0</v>
      </c>
      <c r="AC33" s="20">
        <f>projekty[[#This Row],[Stĺpec27]]</f>
        <v>2350</v>
      </c>
      <c r="AD33" s="20">
        <v>7.6999999999999999E-2</v>
      </c>
      <c r="AE33" s="20">
        <v>0</v>
      </c>
      <c r="AF33" s="20">
        <f>projekty[[#This Row],[Stĺpec30]]</f>
        <v>7.6999999999999999E-2</v>
      </c>
      <c r="AG33" s="20">
        <v>0.22</v>
      </c>
      <c r="AH33" s="20">
        <v>0</v>
      </c>
      <c r="AI33" s="20">
        <f>projekty[[#This Row],[Stĺpec33]]</f>
        <v>0.22</v>
      </c>
      <c r="AJ33" s="20">
        <v>147570.20000000001</v>
      </c>
      <c r="AK33" s="20">
        <v>0</v>
      </c>
      <c r="AL33" s="20">
        <f>projekty[[#This Row],[Stĺpec36]]</f>
        <v>147570.20000000001</v>
      </c>
      <c r="AM33" s="20">
        <v>159344</v>
      </c>
      <c r="AN33" s="20">
        <v>0</v>
      </c>
      <c r="AO33" s="20">
        <f>projekty[[#This Row],[Stĺpec39]]</f>
        <v>159344</v>
      </c>
      <c r="AP33" s="20">
        <v>42</v>
      </c>
      <c r="AQ33" s="20">
        <v>0</v>
      </c>
      <c r="AR33" s="20">
        <f>projekty[[#This Row],[Stĺpec42]]</f>
        <v>42</v>
      </c>
      <c r="AS33" s="20">
        <v>1</v>
      </c>
      <c r="AT33" s="20">
        <v>0</v>
      </c>
      <c r="AU33" s="20">
        <f>projekty[[#This Row],[Stĺpec45]]</f>
        <v>1</v>
      </c>
      <c r="AV33" s="20">
        <v>4</v>
      </c>
      <c r="AW33" s="20">
        <v>0</v>
      </c>
      <c r="AX33" s="20">
        <f>projekty[[#This Row],[Stĺpec48]]</f>
        <v>4</v>
      </c>
      <c r="AY33" s="20">
        <v>302</v>
      </c>
      <c r="AZ33" s="20">
        <v>0</v>
      </c>
      <c r="BA33" s="20">
        <f>projekty[[#This Row],[Stĺpec51]]</f>
        <v>302</v>
      </c>
      <c r="BB33" s="20">
        <v>0</v>
      </c>
      <c r="BC33" s="20">
        <v>0</v>
      </c>
      <c r="BD33" s="20">
        <f>projekty[[#This Row],[Stĺpec54]]</f>
        <v>0</v>
      </c>
      <c r="BE33" s="20">
        <v>0</v>
      </c>
      <c r="BF33" s="20">
        <v>0</v>
      </c>
      <c r="BG33" s="20">
        <f>projekty[[#This Row],[Stĺpec57]]</f>
        <v>0</v>
      </c>
      <c r="BH33" s="20">
        <v>0</v>
      </c>
      <c r="BI33" s="28">
        <v>0</v>
      </c>
      <c r="BJ33" s="20">
        <f>projekty[[#This Row],[Stĺpec60]]</f>
        <v>0</v>
      </c>
    </row>
    <row r="34" spans="1:62" ht="15" x14ac:dyDescent="0.25">
      <c r="A34" s="27" t="s">
        <v>746</v>
      </c>
      <c r="B34" s="14" t="s">
        <v>802</v>
      </c>
      <c r="C34" s="1" t="s">
        <v>867</v>
      </c>
      <c r="D34" s="18" t="s">
        <v>868</v>
      </c>
      <c r="E34" s="1" t="s">
        <v>1544</v>
      </c>
      <c r="F34" s="15">
        <v>42309</v>
      </c>
      <c r="G34" s="15">
        <v>43009</v>
      </c>
      <c r="H34" s="15"/>
      <c r="I34" s="279">
        <v>591599.74</v>
      </c>
      <c r="J34" s="15"/>
      <c r="K34" s="306">
        <f>projekty[[#This Row],[Stĺpec9]]</f>
        <v>591599.74</v>
      </c>
      <c r="L34" s="20">
        <v>0</v>
      </c>
      <c r="M34" s="20">
        <v>0</v>
      </c>
      <c r="N34" s="20">
        <f>projekty[[#This Row],[Stĺpec12]]</f>
        <v>0</v>
      </c>
      <c r="O34" s="20">
        <v>0</v>
      </c>
      <c r="P34" s="20">
        <v>0</v>
      </c>
      <c r="Q34" s="20">
        <f>projekty[[#This Row],[Stĺpec15]]</f>
        <v>0</v>
      </c>
      <c r="R34" s="20">
        <v>0.189</v>
      </c>
      <c r="S34" s="20">
        <v>0</v>
      </c>
      <c r="T34" s="20">
        <f>projekty[[#This Row],[Stĺpec18]]</f>
        <v>0.189</v>
      </c>
      <c r="U34" s="20">
        <v>3</v>
      </c>
      <c r="V34" s="20">
        <v>0</v>
      </c>
      <c r="W34" s="20">
        <f>projekty[[#This Row],[Stĺpec21]]</f>
        <v>3</v>
      </c>
      <c r="X34" s="20">
        <v>1</v>
      </c>
      <c r="Y34" s="20">
        <v>0</v>
      </c>
      <c r="Z34" s="20">
        <f>projekty[[#This Row],[Stĺpec24]]</f>
        <v>1</v>
      </c>
      <c r="AA34" s="20">
        <v>2173.64</v>
      </c>
      <c r="AB34" s="20">
        <v>0</v>
      </c>
      <c r="AC34" s="20">
        <f>projekty[[#This Row],[Stĺpec27]]</f>
        <v>2173.64</v>
      </c>
      <c r="AD34" s="20">
        <v>75.061199999999999</v>
      </c>
      <c r="AE34" s="20">
        <v>0</v>
      </c>
      <c r="AF34" s="20">
        <f>projekty[[#This Row],[Stĺpec30]]</f>
        <v>75.061199999999999</v>
      </c>
      <c r="AG34" s="20">
        <v>314.06400000000002</v>
      </c>
      <c r="AH34" s="20">
        <v>0</v>
      </c>
      <c r="AI34" s="20">
        <f>projekty[[#This Row],[Stĺpec33]]</f>
        <v>314.06400000000002</v>
      </c>
      <c r="AJ34" s="20">
        <v>239002.704</v>
      </c>
      <c r="AK34" s="20">
        <v>0</v>
      </c>
      <c r="AL34" s="20">
        <f>projekty[[#This Row],[Stĺpec36]]</f>
        <v>239002.704</v>
      </c>
      <c r="AM34" s="20">
        <v>369755.52</v>
      </c>
      <c r="AN34" s="20">
        <v>0</v>
      </c>
      <c r="AO34" s="20">
        <f>projekty[[#This Row],[Stĺpec39]]</f>
        <v>369755.52</v>
      </c>
      <c r="AP34" s="20">
        <v>1054</v>
      </c>
      <c r="AQ34" s="20">
        <v>0</v>
      </c>
      <c r="AR34" s="20">
        <f>projekty[[#This Row],[Stĺpec42]]</f>
        <v>1054</v>
      </c>
      <c r="AS34" s="20">
        <v>9</v>
      </c>
      <c r="AT34" s="20">
        <v>0</v>
      </c>
      <c r="AU34" s="20">
        <f>projekty[[#This Row],[Stĺpec45]]</f>
        <v>9</v>
      </c>
      <c r="AV34" s="20">
        <v>21</v>
      </c>
      <c r="AW34" s="20">
        <v>0</v>
      </c>
      <c r="AX34" s="20">
        <f>projekty[[#This Row],[Stĺpec48]]</f>
        <v>21</v>
      </c>
      <c r="AY34" s="20">
        <v>541236.36</v>
      </c>
      <c r="AZ34" s="20">
        <v>0</v>
      </c>
      <c r="BA34" s="20">
        <f>projekty[[#This Row],[Stĺpec51]]</f>
        <v>541236.36</v>
      </c>
      <c r="BB34" s="20">
        <v>0</v>
      </c>
      <c r="BC34" s="20">
        <v>0</v>
      </c>
      <c r="BD34" s="20">
        <f>projekty[[#This Row],[Stĺpec54]]</f>
        <v>0</v>
      </c>
      <c r="BE34" s="20">
        <v>0</v>
      </c>
      <c r="BF34" s="20">
        <v>0</v>
      </c>
      <c r="BG34" s="20">
        <f>projekty[[#This Row],[Stĺpec57]]</f>
        <v>0</v>
      </c>
      <c r="BH34" s="20">
        <v>0</v>
      </c>
      <c r="BI34" s="28">
        <v>0</v>
      </c>
      <c r="BJ34" s="20">
        <f>projekty[[#This Row],[Stĺpec60]]</f>
        <v>0</v>
      </c>
    </row>
    <row r="35" spans="1:62" ht="15" x14ac:dyDescent="0.25">
      <c r="A35" s="27" t="s">
        <v>790</v>
      </c>
      <c r="B35" s="14" t="s">
        <v>802</v>
      </c>
      <c r="C35" s="1" t="s">
        <v>953</v>
      </c>
      <c r="D35" s="18" t="s">
        <v>954</v>
      </c>
      <c r="E35" s="1" t="s">
        <v>1544</v>
      </c>
      <c r="F35" s="15">
        <v>42309</v>
      </c>
      <c r="G35" s="15">
        <v>43009</v>
      </c>
      <c r="H35" s="15"/>
      <c r="I35" s="279">
        <v>131331.48000000001</v>
      </c>
      <c r="J35" s="15"/>
      <c r="K35" s="306">
        <f>projekty[[#This Row],[Stĺpec9]]</f>
        <v>131331.48000000001</v>
      </c>
      <c r="L35" s="20">
        <v>0</v>
      </c>
      <c r="M35" s="20">
        <v>0</v>
      </c>
      <c r="N35" s="20">
        <f>projekty[[#This Row],[Stĺpec12]]</f>
        <v>0</v>
      </c>
      <c r="O35" s="20">
        <v>0</v>
      </c>
      <c r="P35" s="20">
        <v>0</v>
      </c>
      <c r="Q35" s="20">
        <f>projekty[[#This Row],[Stĺpec15]]</f>
        <v>0</v>
      </c>
      <c r="R35" s="20">
        <v>7.6890000000000001</v>
      </c>
      <c r="S35" s="20">
        <v>0</v>
      </c>
      <c r="T35" s="20">
        <f>projekty[[#This Row],[Stĺpec18]]</f>
        <v>7.6890000000000001</v>
      </c>
      <c r="U35" s="20">
        <v>6</v>
      </c>
      <c r="V35" s="20">
        <v>0</v>
      </c>
      <c r="W35" s="20">
        <f>projekty[[#This Row],[Stĺpec21]]</f>
        <v>6</v>
      </c>
      <c r="X35" s="20">
        <v>1</v>
      </c>
      <c r="Y35" s="20">
        <v>0</v>
      </c>
      <c r="Z35" s="20">
        <f>projekty[[#This Row],[Stĺpec24]]</f>
        <v>1</v>
      </c>
      <c r="AA35" s="20">
        <v>296.8</v>
      </c>
      <c r="AB35" s="20">
        <v>0</v>
      </c>
      <c r="AC35" s="20">
        <f>projekty[[#This Row],[Stĺpec27]]</f>
        <v>296.8</v>
      </c>
      <c r="AD35" s="20">
        <v>7.3040000000000003</v>
      </c>
      <c r="AE35" s="20">
        <v>0</v>
      </c>
      <c r="AF35" s="20">
        <f>projekty[[#This Row],[Stĺpec30]]</f>
        <v>7.3040000000000003</v>
      </c>
      <c r="AG35" s="20">
        <v>33.68</v>
      </c>
      <c r="AH35" s="20">
        <v>0</v>
      </c>
      <c r="AI35" s="20">
        <f>projekty[[#This Row],[Stĺpec33]]</f>
        <v>33.68</v>
      </c>
      <c r="AJ35" s="20">
        <v>26376</v>
      </c>
      <c r="AK35" s="20">
        <v>0</v>
      </c>
      <c r="AL35" s="20">
        <f>projekty[[#This Row],[Stĺpec36]]</f>
        <v>26376</v>
      </c>
      <c r="AM35" s="20">
        <v>17433.599999999999</v>
      </c>
      <c r="AN35" s="20">
        <v>0</v>
      </c>
      <c r="AO35" s="20">
        <f>projekty[[#This Row],[Stĺpec39]]</f>
        <v>17433.599999999999</v>
      </c>
      <c r="AP35" s="20">
        <v>14</v>
      </c>
      <c r="AQ35" s="20">
        <v>0</v>
      </c>
      <c r="AR35" s="20">
        <f>projekty[[#This Row],[Stĺpec42]]</f>
        <v>14</v>
      </c>
      <c r="AS35" s="20">
        <v>0.4</v>
      </c>
      <c r="AT35" s="20">
        <v>0</v>
      </c>
      <c r="AU35" s="20">
        <f>projekty[[#This Row],[Stĺpec45]]</f>
        <v>0.4</v>
      </c>
      <c r="AV35" s="20">
        <v>2</v>
      </c>
      <c r="AW35" s="20">
        <v>0</v>
      </c>
      <c r="AX35" s="20">
        <f>projekty[[#This Row],[Stĺpec48]]</f>
        <v>2</v>
      </c>
      <c r="AY35" s="20">
        <v>43660</v>
      </c>
      <c r="AZ35" s="20">
        <v>0</v>
      </c>
      <c r="BA35" s="20">
        <f>projekty[[#This Row],[Stĺpec51]]</f>
        <v>43660</v>
      </c>
      <c r="BB35" s="20">
        <v>0</v>
      </c>
      <c r="BC35" s="20">
        <v>0</v>
      </c>
      <c r="BD35" s="20">
        <f>projekty[[#This Row],[Stĺpec54]]</f>
        <v>0</v>
      </c>
      <c r="BE35" s="20">
        <v>0</v>
      </c>
      <c r="BF35" s="20">
        <v>0</v>
      </c>
      <c r="BG35" s="20">
        <f>projekty[[#This Row],[Stĺpec57]]</f>
        <v>0</v>
      </c>
      <c r="BH35" s="20">
        <v>0</v>
      </c>
      <c r="BI35" s="28">
        <v>0</v>
      </c>
      <c r="BJ35" s="20">
        <f>projekty[[#This Row],[Stĺpec60]]</f>
        <v>0</v>
      </c>
    </row>
    <row r="36" spans="1:62" ht="15" x14ac:dyDescent="0.25">
      <c r="A36" s="27" t="s">
        <v>764</v>
      </c>
      <c r="B36" s="14" t="s">
        <v>802</v>
      </c>
      <c r="C36" s="24" t="s">
        <v>903</v>
      </c>
      <c r="D36" s="18" t="s">
        <v>904</v>
      </c>
      <c r="E36" s="1" t="s">
        <v>1544</v>
      </c>
      <c r="F36" s="15">
        <v>42675</v>
      </c>
      <c r="G36" s="15">
        <v>43009</v>
      </c>
      <c r="H36" s="15"/>
      <c r="I36" s="279">
        <v>821512.45</v>
      </c>
      <c r="J36" s="15"/>
      <c r="K36" s="306">
        <f>projekty[[#This Row],[Stĺpec9]]</f>
        <v>821512.45</v>
      </c>
      <c r="L36" s="20">
        <v>0</v>
      </c>
      <c r="M36" s="20">
        <v>0</v>
      </c>
      <c r="N36" s="20">
        <f>projekty[[#This Row],[Stĺpec12]]</f>
        <v>0</v>
      </c>
      <c r="O36" s="20">
        <v>0</v>
      </c>
      <c r="P36" s="20">
        <v>0</v>
      </c>
      <c r="Q36" s="20">
        <f>projekty[[#This Row],[Stĺpec15]]</f>
        <v>0</v>
      </c>
      <c r="R36" s="20">
        <v>43.4</v>
      </c>
      <c r="S36" s="20">
        <v>0</v>
      </c>
      <c r="T36" s="20">
        <f>projekty[[#This Row],[Stĺpec18]]</f>
        <v>43.4</v>
      </c>
      <c r="U36" s="20">
        <v>4</v>
      </c>
      <c r="V36" s="20">
        <v>0</v>
      </c>
      <c r="W36" s="20">
        <f>projekty[[#This Row],[Stĺpec21]]</f>
        <v>4</v>
      </c>
      <c r="X36" s="20">
        <v>1</v>
      </c>
      <c r="Y36" s="20">
        <v>0</v>
      </c>
      <c r="Z36" s="20">
        <f>projekty[[#This Row],[Stĺpec24]]</f>
        <v>1</v>
      </c>
      <c r="AA36" s="20">
        <v>2723.8</v>
      </c>
      <c r="AB36" s="20">
        <v>0</v>
      </c>
      <c r="AC36" s="20">
        <f>projekty[[#This Row],[Stĺpec27]]</f>
        <v>2723.8</v>
      </c>
      <c r="AD36" s="20">
        <v>180325</v>
      </c>
      <c r="AE36" s="20">
        <v>0</v>
      </c>
      <c r="AF36" s="20">
        <f>projekty[[#This Row],[Stĺpec30]]</f>
        <v>180325</v>
      </c>
      <c r="AG36" s="20">
        <v>344772</v>
      </c>
      <c r="AH36" s="20">
        <v>0</v>
      </c>
      <c r="AI36" s="20">
        <f>projekty[[#This Row],[Stĺpec33]]</f>
        <v>344772</v>
      </c>
      <c r="AJ36" s="20">
        <v>164447</v>
      </c>
      <c r="AK36" s="20">
        <v>0</v>
      </c>
      <c r="AL36" s="20">
        <f>projekty[[#This Row],[Stĺpec36]]</f>
        <v>164447</v>
      </c>
      <c r="AM36" s="20">
        <v>164447</v>
      </c>
      <c r="AN36" s="20">
        <v>0</v>
      </c>
      <c r="AO36" s="20">
        <f>projekty[[#This Row],[Stĺpec39]]</f>
        <v>164447</v>
      </c>
      <c r="AP36" s="20">
        <v>52</v>
      </c>
      <c r="AQ36" s="20">
        <v>0</v>
      </c>
      <c r="AR36" s="20">
        <f>projekty[[#This Row],[Stĺpec42]]</f>
        <v>52</v>
      </c>
      <c r="AS36" s="20">
        <v>2</v>
      </c>
      <c r="AT36" s="20">
        <v>0</v>
      </c>
      <c r="AU36" s="20">
        <f>projekty[[#This Row],[Stĺpec45]]</f>
        <v>2</v>
      </c>
      <c r="AV36" s="20">
        <v>7</v>
      </c>
      <c r="AW36" s="20">
        <v>0</v>
      </c>
      <c r="AX36" s="20">
        <f>projekty[[#This Row],[Stĺpec48]]</f>
        <v>7</v>
      </c>
      <c r="AY36" s="20">
        <v>164447</v>
      </c>
      <c r="AZ36" s="20">
        <v>0</v>
      </c>
      <c r="BA36" s="20">
        <f>projekty[[#This Row],[Stĺpec51]]</f>
        <v>164447</v>
      </c>
      <c r="BB36" s="20">
        <v>0</v>
      </c>
      <c r="BC36" s="20">
        <v>0</v>
      </c>
      <c r="BD36" s="20">
        <f>projekty[[#This Row],[Stĺpec54]]</f>
        <v>0</v>
      </c>
      <c r="BE36" s="20">
        <v>0</v>
      </c>
      <c r="BF36" s="20">
        <v>0</v>
      </c>
      <c r="BG36" s="20">
        <f>projekty[[#This Row],[Stĺpec57]]</f>
        <v>0</v>
      </c>
      <c r="BH36" s="20">
        <v>0</v>
      </c>
      <c r="BI36" s="28">
        <v>0</v>
      </c>
      <c r="BJ36" s="20">
        <f>projekty[[#This Row],[Stĺpec60]]</f>
        <v>0</v>
      </c>
    </row>
    <row r="37" spans="1:62" ht="15" x14ac:dyDescent="0.25">
      <c r="A37" s="27" t="s">
        <v>787</v>
      </c>
      <c r="B37" s="14" t="s">
        <v>802</v>
      </c>
      <c r="C37" s="1" t="s">
        <v>947</v>
      </c>
      <c r="D37" s="18" t="s">
        <v>948</v>
      </c>
      <c r="E37" s="1" t="s">
        <v>1544</v>
      </c>
      <c r="F37" s="15">
        <v>42309</v>
      </c>
      <c r="G37" s="15">
        <v>43009</v>
      </c>
      <c r="H37" s="15"/>
      <c r="I37" s="279">
        <v>220212.85</v>
      </c>
      <c r="J37" s="15"/>
      <c r="K37" s="306">
        <f>projekty[[#This Row],[Stĺpec9]]</f>
        <v>220212.85</v>
      </c>
      <c r="L37" s="20">
        <v>0</v>
      </c>
      <c r="M37" s="20">
        <v>0</v>
      </c>
      <c r="N37" s="20">
        <f>projekty[[#This Row],[Stĺpec12]]</f>
        <v>0</v>
      </c>
      <c r="O37" s="20">
        <v>0</v>
      </c>
      <c r="P37" s="20">
        <v>0</v>
      </c>
      <c r="Q37" s="20">
        <f>projekty[[#This Row],[Stĺpec15]]</f>
        <v>0</v>
      </c>
      <c r="R37" s="20">
        <v>49.113999999999997</v>
      </c>
      <c r="S37" s="20">
        <v>0</v>
      </c>
      <c r="T37" s="20">
        <f>projekty[[#This Row],[Stĺpec18]]</f>
        <v>49.113999999999997</v>
      </c>
      <c r="U37" s="20">
        <v>4</v>
      </c>
      <c r="V37" s="20">
        <v>1</v>
      </c>
      <c r="W37" s="20">
        <f>projekty[[#This Row],[Stĺpec21]]</f>
        <v>4</v>
      </c>
      <c r="X37" s="20">
        <v>1</v>
      </c>
      <c r="Y37" s="20">
        <v>0</v>
      </c>
      <c r="Z37" s="20">
        <f>projekty[[#This Row],[Stĺpec24]]</f>
        <v>1</v>
      </c>
      <c r="AA37" s="20">
        <v>1547.98</v>
      </c>
      <c r="AB37" s="20">
        <v>0</v>
      </c>
      <c r="AC37" s="20">
        <f>projekty[[#This Row],[Stĺpec27]]</f>
        <v>1547.98</v>
      </c>
      <c r="AD37" s="20">
        <v>93.76</v>
      </c>
      <c r="AE37" s="20">
        <v>0</v>
      </c>
      <c r="AF37" s="20">
        <f>projekty[[#This Row],[Stĺpec30]]</f>
        <v>93.76</v>
      </c>
      <c r="AG37" s="20">
        <v>202.5</v>
      </c>
      <c r="AH37" s="20">
        <v>202.5</v>
      </c>
      <c r="AI37" s="20">
        <f>projekty[[#This Row],[Stĺpec33]]</f>
        <v>202.5</v>
      </c>
      <c r="AJ37" s="20">
        <v>71697</v>
      </c>
      <c r="AK37" s="20">
        <v>0</v>
      </c>
      <c r="AL37" s="20">
        <f>projekty[[#This Row],[Stĺpec36]]</f>
        <v>71697</v>
      </c>
      <c r="AM37" s="20">
        <v>108788</v>
      </c>
      <c r="AN37" s="20">
        <v>0</v>
      </c>
      <c r="AO37" s="20">
        <f>projekty[[#This Row],[Stĺpec39]]</f>
        <v>108788</v>
      </c>
      <c r="AP37" s="20">
        <v>0</v>
      </c>
      <c r="AQ37" s="20">
        <v>0</v>
      </c>
      <c r="AR37" s="20">
        <f>projekty[[#This Row],[Stĺpec42]]</f>
        <v>0</v>
      </c>
      <c r="AS37" s="20">
        <v>0</v>
      </c>
      <c r="AT37" s="20">
        <v>0</v>
      </c>
      <c r="AU37" s="20">
        <f>projekty[[#This Row],[Stĺpec45]]</f>
        <v>0</v>
      </c>
      <c r="AV37" s="20">
        <v>0</v>
      </c>
      <c r="AW37" s="20">
        <v>0</v>
      </c>
      <c r="AX37" s="20">
        <f>projekty[[#This Row],[Stĺpec48]]</f>
        <v>0</v>
      </c>
      <c r="AY37" s="20">
        <v>139372.576</v>
      </c>
      <c r="AZ37" s="20">
        <v>0</v>
      </c>
      <c r="BA37" s="20">
        <f>projekty[[#This Row],[Stĺpec51]]</f>
        <v>139372.576</v>
      </c>
      <c r="BB37" s="20">
        <v>0</v>
      </c>
      <c r="BC37" s="20">
        <v>0</v>
      </c>
      <c r="BD37" s="20">
        <f>projekty[[#This Row],[Stĺpec54]]</f>
        <v>0</v>
      </c>
      <c r="BE37" s="20">
        <v>0</v>
      </c>
      <c r="BF37" s="20">
        <v>0</v>
      </c>
      <c r="BG37" s="20">
        <f>projekty[[#This Row],[Stĺpec57]]</f>
        <v>0</v>
      </c>
      <c r="BH37" s="20">
        <v>0</v>
      </c>
      <c r="BI37" s="28">
        <v>0</v>
      </c>
      <c r="BJ37" s="20">
        <f>projekty[[#This Row],[Stĺpec60]]</f>
        <v>0</v>
      </c>
    </row>
    <row r="38" spans="1:62" ht="15" x14ac:dyDescent="0.25">
      <c r="A38" s="27" t="s">
        <v>742</v>
      </c>
      <c r="B38" s="14" t="s">
        <v>802</v>
      </c>
      <c r="C38" s="1" t="s">
        <v>859</v>
      </c>
      <c r="D38" s="18" t="s">
        <v>860</v>
      </c>
      <c r="E38" s="1" t="s">
        <v>1544</v>
      </c>
      <c r="F38" s="15">
        <v>42309</v>
      </c>
      <c r="G38" s="15">
        <v>43009</v>
      </c>
      <c r="H38" s="15"/>
      <c r="I38" s="279">
        <v>251708.91</v>
      </c>
      <c r="J38" s="15"/>
      <c r="K38" s="306">
        <f>projekty[[#This Row],[Stĺpec9]]</f>
        <v>251708.91</v>
      </c>
      <c r="L38" s="20">
        <v>0</v>
      </c>
      <c r="M38" s="20">
        <v>0</v>
      </c>
      <c r="N38" s="20">
        <f>projekty[[#This Row],[Stĺpec12]]</f>
        <v>0</v>
      </c>
      <c r="O38" s="20">
        <v>0</v>
      </c>
      <c r="P38" s="20">
        <v>0</v>
      </c>
      <c r="Q38" s="20">
        <f>projekty[[#This Row],[Stĺpec15]]</f>
        <v>0</v>
      </c>
      <c r="R38" s="20">
        <v>21.968</v>
      </c>
      <c r="S38" s="20">
        <v>0</v>
      </c>
      <c r="T38" s="20">
        <f>projekty[[#This Row],[Stĺpec18]]</f>
        <v>21.968</v>
      </c>
      <c r="U38" s="20">
        <v>3</v>
      </c>
      <c r="V38" s="20">
        <v>0</v>
      </c>
      <c r="W38" s="20">
        <f>projekty[[#This Row],[Stĺpec21]]</f>
        <v>3</v>
      </c>
      <c r="X38" s="20">
        <v>1</v>
      </c>
      <c r="Y38" s="20">
        <v>0</v>
      </c>
      <c r="Z38" s="20">
        <f>projekty[[#This Row],[Stĺpec24]]</f>
        <v>1</v>
      </c>
      <c r="AA38" s="20">
        <v>1326.53</v>
      </c>
      <c r="AB38" s="20">
        <v>0</v>
      </c>
      <c r="AC38" s="20">
        <f>projekty[[#This Row],[Stĺpec27]]</f>
        <v>1326.53</v>
      </c>
      <c r="AD38" s="20">
        <v>55.29</v>
      </c>
      <c r="AE38" s="20">
        <v>0</v>
      </c>
      <c r="AF38" s="20">
        <f>projekty[[#This Row],[Stĺpec30]]</f>
        <v>55.29</v>
      </c>
      <c r="AG38" s="20">
        <v>133.49</v>
      </c>
      <c r="AH38" s="20">
        <v>0</v>
      </c>
      <c r="AI38" s="20">
        <f>projekty[[#This Row],[Stĺpec33]]</f>
        <v>133.49</v>
      </c>
      <c r="AJ38" s="20">
        <v>78199.600000000006</v>
      </c>
      <c r="AK38" s="20">
        <v>0</v>
      </c>
      <c r="AL38" s="20">
        <f>projekty[[#This Row],[Stĺpec36]]</f>
        <v>78199.600000000006</v>
      </c>
      <c r="AM38" s="20">
        <v>78199.600000000006</v>
      </c>
      <c r="AN38" s="20">
        <v>0</v>
      </c>
      <c r="AO38" s="20">
        <f>projekty[[#This Row],[Stĺpec39]]</f>
        <v>78199.600000000006</v>
      </c>
      <c r="AP38" s="20">
        <v>47</v>
      </c>
      <c r="AQ38" s="20">
        <v>0</v>
      </c>
      <c r="AR38" s="20">
        <f>projekty[[#This Row],[Stĺpec42]]</f>
        <v>47</v>
      </c>
      <c r="AS38" s="20">
        <v>3</v>
      </c>
      <c r="AT38" s="20">
        <v>0</v>
      </c>
      <c r="AU38" s="20">
        <f>projekty[[#This Row],[Stĺpec45]]</f>
        <v>3</v>
      </c>
      <c r="AV38" s="20">
        <v>17</v>
      </c>
      <c r="AW38" s="20">
        <v>0</v>
      </c>
      <c r="AX38" s="20">
        <f>projekty[[#This Row],[Stĺpec48]]</f>
        <v>17</v>
      </c>
      <c r="AY38" s="20">
        <v>386885</v>
      </c>
      <c r="AZ38" s="20">
        <v>0</v>
      </c>
      <c r="BA38" s="20">
        <f>projekty[[#This Row],[Stĺpec51]]</f>
        <v>386885</v>
      </c>
      <c r="BB38" s="20">
        <v>0</v>
      </c>
      <c r="BC38" s="20">
        <v>0</v>
      </c>
      <c r="BD38" s="20">
        <f>projekty[[#This Row],[Stĺpec54]]</f>
        <v>0</v>
      </c>
      <c r="BE38" s="20">
        <v>0</v>
      </c>
      <c r="BF38" s="20">
        <v>0</v>
      </c>
      <c r="BG38" s="20">
        <f>projekty[[#This Row],[Stĺpec57]]</f>
        <v>0</v>
      </c>
      <c r="BH38" s="20">
        <v>0</v>
      </c>
      <c r="BI38" s="28">
        <v>0</v>
      </c>
      <c r="BJ38" s="20">
        <f>projekty[[#This Row],[Stĺpec60]]</f>
        <v>0</v>
      </c>
    </row>
    <row r="39" spans="1:62" ht="15" x14ac:dyDescent="0.25">
      <c r="A39" s="27" t="s">
        <v>801</v>
      </c>
      <c r="B39" s="14" t="s">
        <v>802</v>
      </c>
      <c r="C39" s="1" t="s">
        <v>974</v>
      </c>
      <c r="D39" s="18" t="s">
        <v>975</v>
      </c>
      <c r="E39" s="1" t="s">
        <v>1544</v>
      </c>
      <c r="F39" s="15">
        <v>42339</v>
      </c>
      <c r="G39" s="15">
        <v>43009</v>
      </c>
      <c r="H39" s="15"/>
      <c r="I39" s="279">
        <v>580792.84</v>
      </c>
      <c r="J39" s="15"/>
      <c r="K39" s="306">
        <f>projekty[[#This Row],[Stĺpec9]]</f>
        <v>580792.84</v>
      </c>
      <c r="L39" s="20">
        <v>0</v>
      </c>
      <c r="M39" s="20">
        <v>0</v>
      </c>
      <c r="N39" s="20">
        <f>projekty[[#This Row],[Stĺpec12]]</f>
        <v>0</v>
      </c>
      <c r="O39" s="20">
        <v>0</v>
      </c>
      <c r="P39" s="20">
        <v>0</v>
      </c>
      <c r="Q39" s="20">
        <f>projekty[[#This Row],[Stĺpec15]]</f>
        <v>0</v>
      </c>
      <c r="R39" s="20">
        <v>105.08</v>
      </c>
      <c r="S39" s="20">
        <v>0</v>
      </c>
      <c r="T39" s="20">
        <f>projekty[[#This Row],[Stĺpec18]]</f>
        <v>105.08</v>
      </c>
      <c r="U39" s="20">
        <v>3</v>
      </c>
      <c r="V39" s="20">
        <v>0</v>
      </c>
      <c r="W39" s="20">
        <f>projekty[[#This Row],[Stĺpec21]]</f>
        <v>3</v>
      </c>
      <c r="X39" s="20">
        <v>1</v>
      </c>
      <c r="Y39" s="20">
        <v>0</v>
      </c>
      <c r="Z39" s="20">
        <f>projekty[[#This Row],[Stĺpec24]]</f>
        <v>1</v>
      </c>
      <c r="AA39" s="20">
        <v>3750</v>
      </c>
      <c r="AB39" s="20">
        <v>0</v>
      </c>
      <c r="AC39" s="20">
        <f>projekty[[#This Row],[Stĺpec27]]</f>
        <v>3750</v>
      </c>
      <c r="AD39" s="20">
        <v>214.36799999999999</v>
      </c>
      <c r="AE39" s="20">
        <v>0</v>
      </c>
      <c r="AF39" s="20">
        <f>projekty[[#This Row],[Stĺpec30]]</f>
        <v>214.36799999999999</v>
      </c>
      <c r="AG39" s="20">
        <v>593.11800000000005</v>
      </c>
      <c r="AH39" s="20">
        <v>0</v>
      </c>
      <c r="AI39" s="20">
        <f>projekty[[#This Row],[Stĺpec33]]</f>
        <v>593.11800000000005</v>
      </c>
      <c r="AJ39" s="20">
        <v>378750</v>
      </c>
      <c r="AK39" s="20">
        <v>0</v>
      </c>
      <c r="AL39" s="20">
        <f>projekty[[#This Row],[Stĺpec36]]</f>
        <v>378750</v>
      </c>
      <c r="AM39" s="20">
        <v>378750</v>
      </c>
      <c r="AN39" s="20">
        <v>0</v>
      </c>
      <c r="AO39" s="20">
        <f>projekty[[#This Row],[Stĺpec39]]</f>
        <v>378750</v>
      </c>
      <c r="AP39" s="20">
        <v>104.6</v>
      </c>
      <c r="AQ39" s="20">
        <v>0</v>
      </c>
      <c r="AR39" s="20">
        <f>projekty[[#This Row],[Stĺpec42]]</f>
        <v>104.6</v>
      </c>
      <c r="AS39" s="20">
        <v>8.1</v>
      </c>
      <c r="AT39" s="20">
        <v>0</v>
      </c>
      <c r="AU39" s="20">
        <f>projekty[[#This Row],[Stĺpec45]]</f>
        <v>8.1</v>
      </c>
      <c r="AV39" s="20">
        <v>33.5</v>
      </c>
      <c r="AW39" s="20">
        <v>0</v>
      </c>
      <c r="AX39" s="20">
        <f>projekty[[#This Row],[Stĺpec48]]</f>
        <v>33.5</v>
      </c>
      <c r="AY39" s="20">
        <v>543750</v>
      </c>
      <c r="AZ39" s="20">
        <v>0</v>
      </c>
      <c r="BA39" s="20">
        <f>projekty[[#This Row],[Stĺpec51]]</f>
        <v>543750</v>
      </c>
      <c r="BB39" s="20">
        <v>0</v>
      </c>
      <c r="BC39" s="20">
        <v>0</v>
      </c>
      <c r="BD39" s="20">
        <f>projekty[[#This Row],[Stĺpec54]]</f>
        <v>0</v>
      </c>
      <c r="BE39" s="20">
        <v>0</v>
      </c>
      <c r="BF39" s="20">
        <v>0</v>
      </c>
      <c r="BG39" s="20">
        <f>projekty[[#This Row],[Stĺpec57]]</f>
        <v>0</v>
      </c>
      <c r="BH39" s="20">
        <v>0</v>
      </c>
      <c r="BI39" s="28">
        <v>0</v>
      </c>
      <c r="BJ39" s="20">
        <f>projekty[[#This Row],[Stĺpec60]]</f>
        <v>0</v>
      </c>
    </row>
    <row r="40" spans="1:62" ht="15" x14ac:dyDescent="0.25">
      <c r="A40" s="27" t="s">
        <v>719</v>
      </c>
      <c r="B40" s="14" t="s">
        <v>802</v>
      </c>
      <c r="C40" s="1" t="s">
        <v>813</v>
      </c>
      <c r="D40" s="18" t="s">
        <v>814</v>
      </c>
      <c r="E40" s="1" t="s">
        <v>1544</v>
      </c>
      <c r="F40" s="15">
        <v>42309</v>
      </c>
      <c r="G40" s="15">
        <v>43009</v>
      </c>
      <c r="H40" s="15"/>
      <c r="I40" s="279">
        <v>165703.21</v>
      </c>
      <c r="J40" s="15"/>
      <c r="K40" s="306">
        <f>projekty[[#This Row],[Stĺpec9]]</f>
        <v>165703.21</v>
      </c>
      <c r="L40" s="19">
        <v>0</v>
      </c>
      <c r="M40" s="19">
        <v>0</v>
      </c>
      <c r="N40" s="19">
        <f>projekty[[#This Row],[Stĺpec12]]</f>
        <v>0</v>
      </c>
      <c r="O40" s="19">
        <v>0</v>
      </c>
      <c r="P40" s="19">
        <v>0</v>
      </c>
      <c r="Q40" s="19">
        <f>projekty[[#This Row],[Stĺpec15]]</f>
        <v>0</v>
      </c>
      <c r="R40" s="19">
        <v>2.8000000000000001E-2</v>
      </c>
      <c r="S40" s="19">
        <v>0</v>
      </c>
      <c r="T40" s="19">
        <f>projekty[[#This Row],[Stĺpec18]]</f>
        <v>2.8000000000000001E-2</v>
      </c>
      <c r="U40" s="19">
        <v>4</v>
      </c>
      <c r="V40" s="19">
        <v>0</v>
      </c>
      <c r="W40" s="19">
        <f>projekty[[#This Row],[Stĺpec21]]</f>
        <v>4</v>
      </c>
      <c r="X40" s="19">
        <v>1</v>
      </c>
      <c r="Y40" s="19">
        <v>0</v>
      </c>
      <c r="Z40" s="19">
        <f>projekty[[#This Row],[Stĺpec24]]</f>
        <v>1</v>
      </c>
      <c r="AA40" s="19">
        <v>246.4</v>
      </c>
      <c r="AB40" s="19">
        <v>0</v>
      </c>
      <c r="AC40" s="19">
        <f>projekty[[#This Row],[Stĺpec27]]</f>
        <v>246.4</v>
      </c>
      <c r="AD40" s="19">
        <v>9.1969999999999992</v>
      </c>
      <c r="AE40" s="19">
        <v>0</v>
      </c>
      <c r="AF40" s="19">
        <f>projekty[[#This Row],[Stĺpec30]]</f>
        <v>9.1969999999999992</v>
      </c>
      <c r="AG40" s="19">
        <v>49.088000000000001</v>
      </c>
      <c r="AH40" s="19">
        <v>0</v>
      </c>
      <c r="AI40" s="19">
        <f>projekty[[#This Row],[Stĺpec33]]</f>
        <v>49.088000000000001</v>
      </c>
      <c r="AJ40" s="19">
        <v>27.92</v>
      </c>
      <c r="AK40" s="19">
        <v>0</v>
      </c>
      <c r="AL40" s="19">
        <f>projekty[[#This Row],[Stĺpec36]]</f>
        <v>27.92</v>
      </c>
      <c r="AM40" s="20">
        <v>71430</v>
      </c>
      <c r="AN40" s="20">
        <v>0</v>
      </c>
      <c r="AO40" s="20">
        <f>projekty[[#This Row],[Stĺpec39]]</f>
        <v>71430</v>
      </c>
      <c r="AP40" s="20">
        <v>0.16189999999999999</v>
      </c>
      <c r="AQ40" s="20">
        <v>0</v>
      </c>
      <c r="AR40" s="20">
        <f>projekty[[#This Row],[Stĺpec42]]</f>
        <v>0.16189999999999999</v>
      </c>
      <c r="AS40" s="20">
        <v>8.0000000000000004E-4</v>
      </c>
      <c r="AT40" s="20">
        <v>0</v>
      </c>
      <c r="AU40" s="20">
        <f>projekty[[#This Row],[Stĺpec45]]</f>
        <v>8.0000000000000004E-4</v>
      </c>
      <c r="AV40" s="20">
        <v>1E-3</v>
      </c>
      <c r="AW40" s="20">
        <v>0</v>
      </c>
      <c r="AX40" s="20">
        <f>projekty[[#This Row],[Stĺpec48]]</f>
        <v>1E-3</v>
      </c>
      <c r="AY40" s="20">
        <v>71622.399999999994</v>
      </c>
      <c r="AZ40" s="20">
        <v>0</v>
      </c>
      <c r="BA40" s="20">
        <f>projekty[[#This Row],[Stĺpec51]]</f>
        <v>71622.399999999994</v>
      </c>
      <c r="BB40" s="20">
        <v>0</v>
      </c>
      <c r="BC40" s="20">
        <v>0</v>
      </c>
      <c r="BD40" s="20">
        <f>projekty[[#This Row],[Stĺpec54]]</f>
        <v>0</v>
      </c>
      <c r="BE40" s="20">
        <v>0</v>
      </c>
      <c r="BF40" s="20">
        <v>0</v>
      </c>
      <c r="BG40" s="20">
        <f>projekty[[#This Row],[Stĺpec57]]</f>
        <v>0</v>
      </c>
      <c r="BH40" s="20">
        <v>0</v>
      </c>
      <c r="BI40" s="28">
        <v>0</v>
      </c>
      <c r="BJ40" s="20">
        <f>projekty[[#This Row],[Stĺpec60]]</f>
        <v>0</v>
      </c>
    </row>
    <row r="41" spans="1:62" ht="15" x14ac:dyDescent="0.25">
      <c r="A41" s="27" t="s">
        <v>760</v>
      </c>
      <c r="B41" s="14" t="s">
        <v>802</v>
      </c>
      <c r="C41" s="1" t="s">
        <v>895</v>
      </c>
      <c r="D41" s="18" t="s">
        <v>896</v>
      </c>
      <c r="E41" s="1" t="s">
        <v>1544</v>
      </c>
      <c r="F41" s="15">
        <v>42339</v>
      </c>
      <c r="G41" s="15">
        <v>43009</v>
      </c>
      <c r="H41" s="15"/>
      <c r="I41" s="279">
        <v>552159.5</v>
      </c>
      <c r="J41" s="15"/>
      <c r="K41" s="306">
        <f>projekty[[#This Row],[Stĺpec9]]</f>
        <v>552159.5</v>
      </c>
      <c r="L41" s="20">
        <v>0</v>
      </c>
      <c r="M41" s="20">
        <v>0</v>
      </c>
      <c r="N41" s="20">
        <f>projekty[[#This Row],[Stĺpec12]]</f>
        <v>0</v>
      </c>
      <c r="O41" s="20">
        <v>42.6</v>
      </c>
      <c r="P41" s="20">
        <v>0</v>
      </c>
      <c r="Q41" s="20">
        <f>projekty[[#This Row],[Stĺpec15]]</f>
        <v>42.6</v>
      </c>
      <c r="R41" s="20">
        <v>14.81</v>
      </c>
      <c r="S41" s="20">
        <v>0</v>
      </c>
      <c r="T41" s="20">
        <f>projekty[[#This Row],[Stĺpec18]]</f>
        <v>14.81</v>
      </c>
      <c r="U41" s="20">
        <v>2</v>
      </c>
      <c r="V41" s="20">
        <v>0</v>
      </c>
      <c r="W41" s="20">
        <f>projekty[[#This Row],[Stĺpec21]]</f>
        <v>2</v>
      </c>
      <c r="X41" s="20">
        <v>1</v>
      </c>
      <c r="Y41" s="20">
        <v>0</v>
      </c>
      <c r="Z41" s="20">
        <f>projekty[[#This Row],[Stĺpec24]]</f>
        <v>1</v>
      </c>
      <c r="AA41" s="20">
        <v>1111.44</v>
      </c>
      <c r="AB41" s="20">
        <v>0</v>
      </c>
      <c r="AC41" s="20">
        <f>projekty[[#This Row],[Stĺpec27]]</f>
        <v>1111.44</v>
      </c>
      <c r="AD41" s="20">
        <v>76.8</v>
      </c>
      <c r="AE41" s="20">
        <v>0</v>
      </c>
      <c r="AF41" s="20">
        <f>projekty[[#This Row],[Stĺpec30]]</f>
        <v>76.8</v>
      </c>
      <c r="AG41" s="20">
        <v>192.19</v>
      </c>
      <c r="AH41" s="20">
        <v>0</v>
      </c>
      <c r="AI41" s="20">
        <f>projekty[[#This Row],[Stĺpec33]]</f>
        <v>192.19</v>
      </c>
      <c r="AJ41" s="20">
        <v>115390</v>
      </c>
      <c r="AK41" s="20">
        <v>0</v>
      </c>
      <c r="AL41" s="20">
        <f>projekty[[#This Row],[Stĺpec36]]</f>
        <v>115390</v>
      </c>
      <c r="AM41" s="20">
        <v>115390</v>
      </c>
      <c r="AN41" s="20">
        <v>0</v>
      </c>
      <c r="AO41" s="20">
        <f>projekty[[#This Row],[Stĺpec39]]</f>
        <v>115390</v>
      </c>
      <c r="AP41" s="20">
        <v>134</v>
      </c>
      <c r="AQ41" s="20">
        <v>0</v>
      </c>
      <c r="AR41" s="20">
        <f>projekty[[#This Row],[Stĺpec42]]</f>
        <v>134</v>
      </c>
      <c r="AS41" s="20">
        <v>716</v>
      </c>
      <c r="AT41" s="20">
        <v>0</v>
      </c>
      <c r="AU41" s="20">
        <f>projekty[[#This Row],[Stĺpec45]]</f>
        <v>716</v>
      </c>
      <c r="AV41" s="20">
        <v>220</v>
      </c>
      <c r="AW41" s="20">
        <v>0</v>
      </c>
      <c r="AX41" s="20">
        <f>projekty[[#This Row],[Stĺpec48]]</f>
        <v>220</v>
      </c>
      <c r="AY41" s="20">
        <v>115390</v>
      </c>
      <c r="AZ41" s="20">
        <v>0</v>
      </c>
      <c r="BA41" s="20">
        <f>projekty[[#This Row],[Stĺpec51]]</f>
        <v>115390</v>
      </c>
      <c r="BB41" s="20">
        <v>0</v>
      </c>
      <c r="BC41" s="20">
        <v>0</v>
      </c>
      <c r="BD41" s="20">
        <f>projekty[[#This Row],[Stĺpec54]]</f>
        <v>0</v>
      </c>
      <c r="BE41" s="20">
        <v>8.6400000000000005E-2</v>
      </c>
      <c r="BF41" s="20">
        <v>0</v>
      </c>
      <c r="BG41" s="20">
        <f>projekty[[#This Row],[Stĺpec57]]</f>
        <v>8.6400000000000005E-2</v>
      </c>
      <c r="BH41" s="20">
        <v>8.6400000000000005E-2</v>
      </c>
      <c r="BI41" s="28">
        <v>0</v>
      </c>
      <c r="BJ41" s="20">
        <f>projekty[[#This Row],[Stĺpec60]]</f>
        <v>8.6400000000000005E-2</v>
      </c>
    </row>
    <row r="42" spans="1:62" ht="15" x14ac:dyDescent="0.25">
      <c r="A42" s="27" t="s">
        <v>775</v>
      </c>
      <c r="B42" s="14" t="s">
        <v>802</v>
      </c>
      <c r="C42" s="1" t="s">
        <v>925</v>
      </c>
      <c r="D42" s="18" t="s">
        <v>926</v>
      </c>
      <c r="E42" s="1" t="s">
        <v>1544</v>
      </c>
      <c r="F42" s="15">
        <v>42339</v>
      </c>
      <c r="G42" s="15">
        <v>43040</v>
      </c>
      <c r="H42" s="15"/>
      <c r="I42" s="279">
        <v>327830.92</v>
      </c>
      <c r="J42" s="15"/>
      <c r="K42" s="306">
        <f>projekty[[#This Row],[Stĺpec9]]</f>
        <v>327830.92</v>
      </c>
      <c r="L42" s="20">
        <v>0</v>
      </c>
      <c r="M42" s="20">
        <v>0</v>
      </c>
      <c r="N42" s="20">
        <f>projekty[[#This Row],[Stĺpec12]]</f>
        <v>0</v>
      </c>
      <c r="O42" s="20">
        <v>39.11</v>
      </c>
      <c r="P42" s="20">
        <v>0</v>
      </c>
      <c r="Q42" s="20">
        <f>projekty[[#This Row],[Stĺpec15]]</f>
        <v>39.11</v>
      </c>
      <c r="R42" s="20">
        <v>4.24</v>
      </c>
      <c r="S42" s="20">
        <v>0</v>
      </c>
      <c r="T42" s="20">
        <f>projekty[[#This Row],[Stĺpec18]]</f>
        <v>4.24</v>
      </c>
      <c r="U42" s="20">
        <v>2</v>
      </c>
      <c r="V42" s="20">
        <v>0</v>
      </c>
      <c r="W42" s="20">
        <f>projekty[[#This Row],[Stĺpec21]]</f>
        <v>2</v>
      </c>
      <c r="X42" s="20">
        <v>1</v>
      </c>
      <c r="Y42" s="20">
        <v>0</v>
      </c>
      <c r="Z42" s="20">
        <f>projekty[[#This Row],[Stĺpec24]]</f>
        <v>1</v>
      </c>
      <c r="AA42" s="20">
        <v>1076.73</v>
      </c>
      <c r="AB42" s="20">
        <v>0</v>
      </c>
      <c r="AC42" s="20">
        <f>projekty[[#This Row],[Stĺpec27]]</f>
        <v>1076.73</v>
      </c>
      <c r="AD42" s="20">
        <v>18.709</v>
      </c>
      <c r="AE42" s="20">
        <v>0</v>
      </c>
      <c r="AF42" s="20">
        <f>projekty[[#This Row],[Stĺpec30]]</f>
        <v>18.709</v>
      </c>
      <c r="AG42" s="20">
        <v>29.806000000000001</v>
      </c>
      <c r="AH42" s="20">
        <v>0</v>
      </c>
      <c r="AI42" s="20">
        <f>projekty[[#This Row],[Stĺpec33]]</f>
        <v>29.806000000000001</v>
      </c>
      <c r="AJ42" s="20">
        <v>11097</v>
      </c>
      <c r="AK42" s="20">
        <v>0</v>
      </c>
      <c r="AL42" s="20">
        <f>projekty[[#This Row],[Stĺpec36]]</f>
        <v>11097</v>
      </c>
      <c r="AM42" s="20">
        <v>60404.28</v>
      </c>
      <c r="AN42" s="20">
        <v>0</v>
      </c>
      <c r="AO42" s="20">
        <f>projekty[[#This Row],[Stĺpec39]]</f>
        <v>60404.28</v>
      </c>
      <c r="AP42" s="20">
        <v>10.85</v>
      </c>
      <c r="AQ42" s="20">
        <v>0</v>
      </c>
      <c r="AR42" s="20">
        <f>projekty[[#This Row],[Stĺpec42]]</f>
        <v>10.85</v>
      </c>
      <c r="AS42" s="20">
        <v>1.9750000000000001</v>
      </c>
      <c r="AT42" s="20">
        <v>0</v>
      </c>
      <c r="AU42" s="20">
        <f>projekty[[#This Row],[Stĺpec45]]</f>
        <v>1.9750000000000001</v>
      </c>
      <c r="AV42" s="20">
        <v>9.8759999999999994</v>
      </c>
      <c r="AW42" s="20">
        <v>0</v>
      </c>
      <c r="AX42" s="20">
        <f>projekty[[#This Row],[Stĺpec48]]</f>
        <v>9.8759999999999994</v>
      </c>
      <c r="AY42" s="20">
        <v>11097</v>
      </c>
      <c r="AZ42" s="20">
        <v>0</v>
      </c>
      <c r="BA42" s="20">
        <f>projekty[[#This Row],[Stĺpec51]]</f>
        <v>11097</v>
      </c>
      <c r="BB42" s="20">
        <v>0</v>
      </c>
      <c r="BC42" s="20">
        <v>0</v>
      </c>
      <c r="BD42" s="20">
        <f>projekty[[#This Row],[Stĺpec54]]</f>
        <v>0</v>
      </c>
      <c r="BE42" s="20">
        <v>45.3</v>
      </c>
      <c r="BF42" s="20">
        <v>0</v>
      </c>
      <c r="BG42" s="20">
        <f>projekty[[#This Row],[Stĺpec57]]</f>
        <v>45.3</v>
      </c>
      <c r="BH42" s="20">
        <v>45.3</v>
      </c>
      <c r="BI42" s="28">
        <v>0</v>
      </c>
      <c r="BJ42" s="20">
        <f>projekty[[#This Row],[Stĺpec60]]</f>
        <v>45.3</v>
      </c>
    </row>
    <row r="43" spans="1:62" ht="15" x14ac:dyDescent="0.25">
      <c r="A43" s="27" t="s">
        <v>763</v>
      </c>
      <c r="B43" s="14" t="s">
        <v>802</v>
      </c>
      <c r="C43" s="24" t="s">
        <v>901</v>
      </c>
      <c r="D43" s="18" t="s">
        <v>902</v>
      </c>
      <c r="E43" s="1" t="s">
        <v>1544</v>
      </c>
      <c r="F43" s="15">
        <v>42736</v>
      </c>
      <c r="G43" s="15">
        <v>43070</v>
      </c>
      <c r="H43" s="15"/>
      <c r="I43" s="279">
        <v>527922.43999999994</v>
      </c>
      <c r="J43" s="15"/>
      <c r="K43" s="306">
        <f>projekty[[#This Row],[Stĺpec9]]</f>
        <v>527922.43999999994</v>
      </c>
      <c r="L43" s="20">
        <v>2.2000000000000002</v>
      </c>
      <c r="M43" s="20">
        <v>0</v>
      </c>
      <c r="N43" s="20">
        <f>projekty[[#This Row],[Stĺpec12]]</f>
        <v>2.2000000000000002</v>
      </c>
      <c r="O43" s="20">
        <v>0</v>
      </c>
      <c r="P43" s="20">
        <v>0</v>
      </c>
      <c r="Q43" s="20">
        <f>projekty[[#This Row],[Stĺpec15]]</f>
        <v>0</v>
      </c>
      <c r="R43" s="20">
        <v>55.0687</v>
      </c>
      <c r="S43" s="20">
        <v>0</v>
      </c>
      <c r="T43" s="20">
        <f>projekty[[#This Row],[Stĺpec18]]</f>
        <v>55.0687</v>
      </c>
      <c r="U43" s="20">
        <v>6</v>
      </c>
      <c r="V43" s="20">
        <v>0</v>
      </c>
      <c r="W43" s="20">
        <f>projekty[[#This Row],[Stĺpec21]]</f>
        <v>6</v>
      </c>
      <c r="X43" s="20">
        <v>1</v>
      </c>
      <c r="Y43" s="20">
        <v>0</v>
      </c>
      <c r="Z43" s="20">
        <f>projekty[[#This Row],[Stĺpec24]]</f>
        <v>1</v>
      </c>
      <c r="AA43" s="20">
        <v>2410.44</v>
      </c>
      <c r="AB43" s="20">
        <v>0</v>
      </c>
      <c r="AC43" s="20">
        <f>projekty[[#This Row],[Stĺpec27]]</f>
        <v>2410.44</v>
      </c>
      <c r="AD43" s="20">
        <v>88.36</v>
      </c>
      <c r="AE43" s="20">
        <v>0</v>
      </c>
      <c r="AF43" s="20">
        <f>projekty[[#This Row],[Stĺpec30]]</f>
        <v>88.36</v>
      </c>
      <c r="AG43" s="20">
        <v>228.38</v>
      </c>
      <c r="AH43" s="20">
        <v>0</v>
      </c>
      <c r="AI43" s="20">
        <f>projekty[[#This Row],[Stĺpec33]]</f>
        <v>228.38</v>
      </c>
      <c r="AJ43" s="20">
        <v>140027.26</v>
      </c>
      <c r="AK43" s="20">
        <v>0</v>
      </c>
      <c r="AL43" s="20">
        <f>projekty[[#This Row],[Stĺpec36]]</f>
        <v>140027.26</v>
      </c>
      <c r="AM43" s="20">
        <v>220841.05</v>
      </c>
      <c r="AN43" s="20">
        <v>0</v>
      </c>
      <c r="AO43" s="20">
        <f>projekty[[#This Row],[Stĺpec39]]</f>
        <v>220841.05</v>
      </c>
      <c r="AP43" s="20">
        <v>35.5</v>
      </c>
      <c r="AQ43" s="20">
        <v>0</v>
      </c>
      <c r="AR43" s="20">
        <f>projekty[[#This Row],[Stĺpec42]]</f>
        <v>35.5</v>
      </c>
      <c r="AS43" s="20">
        <v>3.6</v>
      </c>
      <c r="AT43" s="20">
        <v>0</v>
      </c>
      <c r="AU43" s="20">
        <f>projekty[[#This Row],[Stĺpec45]]</f>
        <v>3.6</v>
      </c>
      <c r="AV43" s="20">
        <v>4.5</v>
      </c>
      <c r="AW43" s="20">
        <v>0</v>
      </c>
      <c r="AX43" s="20">
        <f>projekty[[#This Row],[Stĺpec48]]</f>
        <v>4.5</v>
      </c>
      <c r="AY43" s="20">
        <v>372702.23</v>
      </c>
      <c r="AZ43" s="20">
        <v>0</v>
      </c>
      <c r="BA43" s="20">
        <f>projekty[[#This Row],[Stĺpec51]]</f>
        <v>372702.23</v>
      </c>
      <c r="BB43" s="20">
        <v>4.5999999999999999E-3</v>
      </c>
      <c r="BC43" s="20">
        <v>0</v>
      </c>
      <c r="BD43" s="20">
        <f>projekty[[#This Row],[Stĺpec54]]</f>
        <v>4.5999999999999999E-3</v>
      </c>
      <c r="BE43" s="20">
        <v>4.5999999999999999E-3</v>
      </c>
      <c r="BF43" s="20">
        <v>0</v>
      </c>
      <c r="BG43" s="20">
        <f>projekty[[#This Row],[Stĺpec57]]</f>
        <v>4.5999999999999999E-3</v>
      </c>
      <c r="BH43" s="20">
        <v>0</v>
      </c>
      <c r="BI43" s="28">
        <v>0</v>
      </c>
      <c r="BJ43" s="20">
        <f>projekty[[#This Row],[Stĺpec60]]</f>
        <v>0</v>
      </c>
    </row>
    <row r="44" spans="1:62" ht="15" x14ac:dyDescent="0.25">
      <c r="A44" s="27" t="s">
        <v>798</v>
      </c>
      <c r="B44" s="14" t="s">
        <v>802</v>
      </c>
      <c r="C44" s="1" t="s">
        <v>969</v>
      </c>
      <c r="D44" s="18" t="s">
        <v>970</v>
      </c>
      <c r="E44" s="1" t="s">
        <v>1544</v>
      </c>
      <c r="F44" s="15">
        <v>42826</v>
      </c>
      <c r="G44" s="15">
        <v>43070</v>
      </c>
      <c r="H44" s="15"/>
      <c r="I44" s="279">
        <v>266519.46000000002</v>
      </c>
      <c r="J44" s="15"/>
      <c r="K44" s="306">
        <f>projekty[[#This Row],[Stĺpec9]]</f>
        <v>266519.46000000002</v>
      </c>
      <c r="L44" s="20">
        <v>0</v>
      </c>
      <c r="M44" s="20">
        <v>0</v>
      </c>
      <c r="N44" s="20">
        <f>projekty[[#This Row],[Stĺpec12]]</f>
        <v>0</v>
      </c>
      <c r="O44" s="20">
        <v>19.931000000000001</v>
      </c>
      <c r="P44" s="20">
        <v>0</v>
      </c>
      <c r="Q44" s="20">
        <f>projekty[[#This Row],[Stĺpec15]]</f>
        <v>19.931000000000001</v>
      </c>
      <c r="R44" s="20">
        <v>0.53100000000000003</v>
      </c>
      <c r="S44" s="20">
        <v>0</v>
      </c>
      <c r="T44" s="20">
        <f>projekty[[#This Row],[Stĺpec18]]</f>
        <v>0.53100000000000003</v>
      </c>
      <c r="U44" s="20">
        <v>2</v>
      </c>
      <c r="V44" s="20">
        <v>0</v>
      </c>
      <c r="W44" s="20">
        <f>projekty[[#This Row],[Stĺpec21]]</f>
        <v>2</v>
      </c>
      <c r="X44" s="20">
        <v>1</v>
      </c>
      <c r="Y44" s="20">
        <v>0</v>
      </c>
      <c r="Z44" s="20">
        <f>projekty[[#This Row],[Stĺpec24]]</f>
        <v>1</v>
      </c>
      <c r="AA44" s="20">
        <v>877.43499999999995</v>
      </c>
      <c r="AB44" s="20">
        <v>0</v>
      </c>
      <c r="AC44" s="20">
        <f>projekty[[#This Row],[Stĺpec27]]</f>
        <v>877.43499999999995</v>
      </c>
      <c r="AD44" s="20">
        <v>20.771000000000001</v>
      </c>
      <c r="AE44" s="20">
        <v>0</v>
      </c>
      <c r="AF44" s="20">
        <f>projekty[[#This Row],[Stĺpec30]]</f>
        <v>20.771000000000001</v>
      </c>
      <c r="AG44" s="20">
        <v>66.850999999999999</v>
      </c>
      <c r="AH44" s="20">
        <v>0</v>
      </c>
      <c r="AI44" s="20">
        <f>projekty[[#This Row],[Stĺpec33]]</f>
        <v>66.850999999999999</v>
      </c>
      <c r="AJ44" s="20">
        <v>42402</v>
      </c>
      <c r="AK44" s="20">
        <v>0</v>
      </c>
      <c r="AL44" s="20">
        <f>projekty[[#This Row],[Stĺpec36]]</f>
        <v>42402</v>
      </c>
      <c r="AM44" s="20">
        <v>42402</v>
      </c>
      <c r="AN44" s="20">
        <v>0</v>
      </c>
      <c r="AO44" s="20">
        <f>projekty[[#This Row],[Stĺpec39]]</f>
        <v>42402</v>
      </c>
      <c r="AP44" s="20">
        <v>121</v>
      </c>
      <c r="AQ44" s="20">
        <v>0</v>
      </c>
      <c r="AR44" s="20">
        <f>projekty[[#This Row],[Stĺpec42]]</f>
        <v>121</v>
      </c>
      <c r="AS44" s="20">
        <v>28</v>
      </c>
      <c r="AT44" s="20">
        <v>0</v>
      </c>
      <c r="AU44" s="20">
        <f>projekty[[#This Row],[Stĺpec45]]</f>
        <v>28</v>
      </c>
      <c r="AV44" s="20">
        <v>0</v>
      </c>
      <c r="AW44" s="20">
        <v>0</v>
      </c>
      <c r="AX44" s="20">
        <f>projekty[[#This Row],[Stĺpec48]]</f>
        <v>0</v>
      </c>
      <c r="AY44" s="20">
        <v>57.2</v>
      </c>
      <c r="AZ44" s="20">
        <v>0</v>
      </c>
      <c r="BA44" s="20">
        <f>projekty[[#This Row],[Stĺpec51]]</f>
        <v>57.2</v>
      </c>
      <c r="BB44" s="20">
        <v>0</v>
      </c>
      <c r="BC44" s="20">
        <v>0</v>
      </c>
      <c r="BD44" s="20">
        <f>projekty[[#This Row],[Stĺpec54]]</f>
        <v>0</v>
      </c>
      <c r="BE44" s="20">
        <v>0</v>
      </c>
      <c r="BF44" s="20">
        <v>0</v>
      </c>
      <c r="BG44" s="20">
        <f>projekty[[#This Row],[Stĺpec57]]</f>
        <v>0</v>
      </c>
      <c r="BH44" s="20">
        <v>0</v>
      </c>
      <c r="BI44" s="28">
        <v>0</v>
      </c>
      <c r="BJ44" s="20">
        <f>projekty[[#This Row],[Stĺpec60]]</f>
        <v>0</v>
      </c>
    </row>
    <row r="45" spans="1:62" ht="15" x14ac:dyDescent="0.25">
      <c r="A45" s="27" t="s">
        <v>728</v>
      </c>
      <c r="B45" s="14" t="s">
        <v>802</v>
      </c>
      <c r="C45" s="1" t="s">
        <v>831</v>
      </c>
      <c r="D45" s="18" t="s">
        <v>832</v>
      </c>
      <c r="E45" s="1" t="s">
        <v>1544</v>
      </c>
      <c r="F45" s="15">
        <v>42370</v>
      </c>
      <c r="G45" s="15">
        <v>43070</v>
      </c>
      <c r="H45" s="15"/>
      <c r="I45" s="279">
        <v>192407.22</v>
      </c>
      <c r="J45" s="15"/>
      <c r="K45" s="306">
        <f>projekty[[#This Row],[Stĺpec9]]</f>
        <v>192407.22</v>
      </c>
      <c r="L45" s="20">
        <v>0</v>
      </c>
      <c r="M45" s="20">
        <v>0</v>
      </c>
      <c r="N45" s="20">
        <f>projekty[[#This Row],[Stĺpec12]]</f>
        <v>0</v>
      </c>
      <c r="O45" s="20">
        <v>0</v>
      </c>
      <c r="P45" s="20">
        <v>0</v>
      </c>
      <c r="Q45" s="20">
        <f>projekty[[#This Row],[Stĺpec15]]</f>
        <v>0</v>
      </c>
      <c r="R45" s="20">
        <v>14.873100000000001</v>
      </c>
      <c r="S45" s="20">
        <v>0</v>
      </c>
      <c r="T45" s="20">
        <f>projekty[[#This Row],[Stĺpec18]]</f>
        <v>14.873100000000001</v>
      </c>
      <c r="U45" s="20">
        <v>2</v>
      </c>
      <c r="V45" s="20">
        <v>0</v>
      </c>
      <c r="W45" s="20">
        <f>projekty[[#This Row],[Stĺpec21]]</f>
        <v>2</v>
      </c>
      <c r="X45" s="20">
        <v>1</v>
      </c>
      <c r="Y45" s="20">
        <v>0</v>
      </c>
      <c r="Z45" s="20">
        <f>projekty[[#This Row],[Stĺpec24]]</f>
        <v>1</v>
      </c>
      <c r="AA45" s="20">
        <v>654.9</v>
      </c>
      <c r="AB45" s="20">
        <v>0</v>
      </c>
      <c r="AC45" s="20">
        <f>projekty[[#This Row],[Stĺpec27]]</f>
        <v>654.9</v>
      </c>
      <c r="AD45" s="20">
        <v>31.178999999999998</v>
      </c>
      <c r="AE45" s="20">
        <v>0</v>
      </c>
      <c r="AF45" s="20">
        <f>projekty[[#This Row],[Stĺpec30]]</f>
        <v>31.178999999999998</v>
      </c>
      <c r="AG45" s="20">
        <v>94.117999999999995</v>
      </c>
      <c r="AH45" s="20">
        <v>0</v>
      </c>
      <c r="AI45" s="20">
        <f>projekty[[#This Row],[Stĺpec33]]</f>
        <v>94.117999999999995</v>
      </c>
      <c r="AJ45" s="20">
        <v>62939</v>
      </c>
      <c r="AK45" s="20">
        <v>0</v>
      </c>
      <c r="AL45" s="20">
        <f>projekty[[#This Row],[Stĺpec36]]</f>
        <v>62939</v>
      </c>
      <c r="AM45" s="20">
        <v>120642</v>
      </c>
      <c r="AN45" s="20">
        <v>0</v>
      </c>
      <c r="AO45" s="20">
        <f>projekty[[#This Row],[Stĺpec39]]</f>
        <v>120642</v>
      </c>
      <c r="AP45" s="20">
        <v>12</v>
      </c>
      <c r="AQ45" s="20">
        <v>0</v>
      </c>
      <c r="AR45" s="20">
        <f>projekty[[#This Row],[Stĺpec42]]</f>
        <v>12</v>
      </c>
      <c r="AS45" s="20">
        <v>0</v>
      </c>
      <c r="AT45" s="20">
        <v>0</v>
      </c>
      <c r="AU45" s="20">
        <f>projekty[[#This Row],[Stĺpec45]]</f>
        <v>0</v>
      </c>
      <c r="AV45" s="20">
        <v>0</v>
      </c>
      <c r="AW45" s="20">
        <v>0</v>
      </c>
      <c r="AX45" s="20">
        <f>projekty[[#This Row],[Stĺpec48]]</f>
        <v>0</v>
      </c>
      <c r="AY45" s="20">
        <v>59435</v>
      </c>
      <c r="AZ45" s="20">
        <v>0</v>
      </c>
      <c r="BA45" s="20">
        <f>projekty[[#This Row],[Stĺpec51]]</f>
        <v>59435</v>
      </c>
      <c r="BB45" s="20">
        <v>0</v>
      </c>
      <c r="BC45" s="20">
        <v>0</v>
      </c>
      <c r="BD45" s="20">
        <f>projekty[[#This Row],[Stĺpec54]]</f>
        <v>0</v>
      </c>
      <c r="BE45" s="20">
        <v>0</v>
      </c>
      <c r="BF45" s="20">
        <v>0</v>
      </c>
      <c r="BG45" s="20">
        <f>projekty[[#This Row],[Stĺpec57]]</f>
        <v>0</v>
      </c>
      <c r="BH45" s="20">
        <v>0</v>
      </c>
      <c r="BI45" s="28">
        <v>0</v>
      </c>
      <c r="BJ45" s="20">
        <f>projekty[[#This Row],[Stĺpec60]]</f>
        <v>0</v>
      </c>
    </row>
    <row r="46" spans="1:62" ht="15" x14ac:dyDescent="0.25">
      <c r="A46" s="27" t="s">
        <v>749</v>
      </c>
      <c r="B46" s="14" t="s">
        <v>802</v>
      </c>
      <c r="C46" s="1" t="s">
        <v>873</v>
      </c>
      <c r="D46" s="18" t="s">
        <v>874</v>
      </c>
      <c r="E46" s="1" t="s">
        <v>1544</v>
      </c>
      <c r="F46" s="15">
        <v>42826</v>
      </c>
      <c r="G46" s="15">
        <v>43070</v>
      </c>
      <c r="H46" s="15"/>
      <c r="I46" s="279">
        <v>434968.87</v>
      </c>
      <c r="J46" s="15"/>
      <c r="K46" s="306">
        <f>projekty[[#This Row],[Stĺpec9]]</f>
        <v>434968.87</v>
      </c>
      <c r="L46" s="20">
        <v>0</v>
      </c>
      <c r="M46" s="20">
        <v>0</v>
      </c>
      <c r="N46" s="20">
        <f>projekty[[#This Row],[Stĺpec12]]</f>
        <v>0</v>
      </c>
      <c r="O46" s="20">
        <v>0</v>
      </c>
      <c r="P46" s="20">
        <v>0</v>
      </c>
      <c r="Q46" s="20">
        <f>projekty[[#This Row],[Stĺpec15]]</f>
        <v>0</v>
      </c>
      <c r="R46" s="20">
        <v>909.90099999999995</v>
      </c>
      <c r="S46" s="20">
        <v>0</v>
      </c>
      <c r="T46" s="20">
        <f>projekty[[#This Row],[Stĺpec18]]</f>
        <v>909.90099999999995</v>
      </c>
      <c r="U46" s="20">
        <v>4</v>
      </c>
      <c r="V46" s="20">
        <v>0</v>
      </c>
      <c r="W46" s="20">
        <f>projekty[[#This Row],[Stĺpec21]]</f>
        <v>4</v>
      </c>
      <c r="X46" s="20">
        <v>1</v>
      </c>
      <c r="Y46" s="20">
        <v>0</v>
      </c>
      <c r="Z46" s="20">
        <f>projekty[[#This Row],[Stĺpec24]]</f>
        <v>1</v>
      </c>
      <c r="AA46" s="20">
        <v>1867.43</v>
      </c>
      <c r="AB46" s="20">
        <v>0</v>
      </c>
      <c r="AC46" s="20">
        <f>projekty[[#This Row],[Stĺpec27]]</f>
        <v>1867.43</v>
      </c>
      <c r="AD46" s="20">
        <v>246.93299999999999</v>
      </c>
      <c r="AE46" s="20">
        <v>0</v>
      </c>
      <c r="AF46" s="20">
        <f>projekty[[#This Row],[Stĺpec30]]</f>
        <v>246.93299999999999</v>
      </c>
      <c r="AG46" s="20">
        <v>761.88800000000003</v>
      </c>
      <c r="AH46" s="20">
        <v>0</v>
      </c>
      <c r="AI46" s="20">
        <f>projekty[[#This Row],[Stĺpec33]]</f>
        <v>761.88800000000003</v>
      </c>
      <c r="AJ46" s="20">
        <v>514959</v>
      </c>
      <c r="AK46" s="20">
        <v>0</v>
      </c>
      <c r="AL46" s="20">
        <f>projekty[[#This Row],[Stĺpec36]]</f>
        <v>514959</v>
      </c>
      <c r="AM46" s="20">
        <v>164910.70000000001</v>
      </c>
      <c r="AN46" s="20">
        <v>0</v>
      </c>
      <c r="AO46" s="20">
        <f>projekty[[#This Row],[Stĺpec39]]</f>
        <v>164910.70000000001</v>
      </c>
      <c r="AP46" s="20">
        <v>548.9</v>
      </c>
      <c r="AQ46" s="20">
        <v>0</v>
      </c>
      <c r="AR46" s="20">
        <f>projekty[[#This Row],[Stĺpec42]]</f>
        <v>548.9</v>
      </c>
      <c r="AS46" s="20">
        <v>0</v>
      </c>
      <c r="AT46" s="20">
        <v>0</v>
      </c>
      <c r="AU46" s="20">
        <f>projekty[[#This Row],[Stĺpec45]]</f>
        <v>0</v>
      </c>
      <c r="AV46" s="20">
        <v>33.6</v>
      </c>
      <c r="AW46" s="20">
        <v>0</v>
      </c>
      <c r="AX46" s="20">
        <f>projekty[[#This Row],[Stĺpec48]]</f>
        <v>33.6</v>
      </c>
      <c r="AY46" s="20">
        <v>252116</v>
      </c>
      <c r="AZ46" s="20">
        <v>0</v>
      </c>
      <c r="BA46" s="20">
        <f>projekty[[#This Row],[Stĺpec51]]</f>
        <v>252116</v>
      </c>
      <c r="BB46" s="20">
        <v>0</v>
      </c>
      <c r="BC46" s="20">
        <v>0</v>
      </c>
      <c r="BD46" s="20">
        <f>projekty[[#This Row],[Stĺpec54]]</f>
        <v>0</v>
      </c>
      <c r="BE46" s="20">
        <v>0</v>
      </c>
      <c r="BF46" s="20">
        <v>0</v>
      </c>
      <c r="BG46" s="20">
        <f>projekty[[#This Row],[Stĺpec57]]</f>
        <v>0</v>
      </c>
      <c r="BH46" s="20">
        <v>0</v>
      </c>
      <c r="BI46" s="28">
        <v>0</v>
      </c>
      <c r="BJ46" s="20">
        <f>projekty[[#This Row],[Stĺpec60]]</f>
        <v>0</v>
      </c>
    </row>
    <row r="47" spans="1:62" ht="15" x14ac:dyDescent="0.25">
      <c r="A47" s="53" t="s">
        <v>718</v>
      </c>
      <c r="B47" s="14" t="s">
        <v>802</v>
      </c>
      <c r="C47" s="1" t="s">
        <v>811</v>
      </c>
      <c r="D47" s="18" t="s">
        <v>812</v>
      </c>
      <c r="E47" s="1" t="s">
        <v>1544</v>
      </c>
      <c r="F47" s="15">
        <v>42795</v>
      </c>
      <c r="G47" s="15">
        <v>43070</v>
      </c>
      <c r="H47" s="15"/>
      <c r="I47" s="279">
        <v>1985869.53</v>
      </c>
      <c r="J47" s="15"/>
      <c r="K47" s="306">
        <f>projekty[[#This Row],[Stĺpec9]]</f>
        <v>1985869.53</v>
      </c>
      <c r="L47" s="19">
        <v>0</v>
      </c>
      <c r="M47" s="19">
        <v>0</v>
      </c>
      <c r="N47" s="19">
        <f>projekty[[#This Row],[Stĺpec12]]</f>
        <v>0</v>
      </c>
      <c r="O47" s="19">
        <v>0</v>
      </c>
      <c r="P47" s="19">
        <v>0</v>
      </c>
      <c r="Q47" s="19">
        <f>projekty[[#This Row],[Stĺpec15]]</f>
        <v>0</v>
      </c>
      <c r="R47" s="19">
        <v>247.70699999999999</v>
      </c>
      <c r="S47" s="19">
        <v>0</v>
      </c>
      <c r="T47" s="19">
        <f>projekty[[#This Row],[Stĺpec18]]</f>
        <v>247.70699999999999</v>
      </c>
      <c r="U47" s="19">
        <v>3</v>
      </c>
      <c r="V47" s="19">
        <v>0</v>
      </c>
      <c r="W47" s="19">
        <f>projekty[[#This Row],[Stĺpec21]]</f>
        <v>3</v>
      </c>
      <c r="X47" s="19">
        <v>1</v>
      </c>
      <c r="Y47" s="19">
        <v>0</v>
      </c>
      <c r="Z47" s="19">
        <f>projekty[[#This Row],[Stĺpec24]]</f>
        <v>1</v>
      </c>
      <c r="AA47" s="19">
        <v>7296.89</v>
      </c>
      <c r="AB47" s="19">
        <v>0</v>
      </c>
      <c r="AC47" s="19">
        <f>projekty[[#This Row],[Stĺpec27]]</f>
        <v>7296.89</v>
      </c>
      <c r="AD47" s="19">
        <v>215.12</v>
      </c>
      <c r="AE47" s="19">
        <v>0</v>
      </c>
      <c r="AF47" s="19">
        <f>projekty[[#This Row],[Stĺpec30]]</f>
        <v>215.12</v>
      </c>
      <c r="AG47" s="19">
        <v>858.31</v>
      </c>
      <c r="AH47" s="19">
        <v>0</v>
      </c>
      <c r="AI47" s="19">
        <f>projekty[[#This Row],[Stĺpec33]]</f>
        <v>858.31</v>
      </c>
      <c r="AJ47" s="19">
        <v>643190.30000000005</v>
      </c>
      <c r="AK47" s="19">
        <v>0</v>
      </c>
      <c r="AL47" s="19">
        <f>projekty[[#This Row],[Stĺpec36]]</f>
        <v>643190.30000000005</v>
      </c>
      <c r="AM47" s="20">
        <v>643190.30000000005</v>
      </c>
      <c r="AN47" s="20">
        <v>0</v>
      </c>
      <c r="AO47" s="20">
        <f>projekty[[#This Row],[Stĺpec39]]</f>
        <v>643190.30000000005</v>
      </c>
      <c r="AP47" s="20">
        <v>712</v>
      </c>
      <c r="AQ47" s="20">
        <v>0</v>
      </c>
      <c r="AR47" s="20">
        <f>projekty[[#This Row],[Stĺpec42]]</f>
        <v>712</v>
      </c>
      <c r="AS47" s="20">
        <v>59</v>
      </c>
      <c r="AT47" s="20">
        <v>0</v>
      </c>
      <c r="AU47" s="20">
        <f>projekty[[#This Row],[Stĺpec45]]</f>
        <v>59</v>
      </c>
      <c r="AV47" s="20">
        <v>599</v>
      </c>
      <c r="AW47" s="20">
        <v>0</v>
      </c>
      <c r="AX47" s="20">
        <f>projekty[[#This Row],[Stĺpec48]]</f>
        <v>599</v>
      </c>
      <c r="AY47" s="20">
        <v>1232947</v>
      </c>
      <c r="AZ47" s="20">
        <v>0</v>
      </c>
      <c r="BA47" s="20">
        <f>projekty[[#This Row],[Stĺpec51]]</f>
        <v>1232947</v>
      </c>
      <c r="BB47" s="20">
        <v>0</v>
      </c>
      <c r="BC47" s="20">
        <v>0</v>
      </c>
      <c r="BD47" s="20">
        <f>projekty[[#This Row],[Stĺpec54]]</f>
        <v>0</v>
      </c>
      <c r="BE47" s="20">
        <v>0</v>
      </c>
      <c r="BF47" s="20">
        <v>0</v>
      </c>
      <c r="BG47" s="20">
        <f>projekty[[#This Row],[Stĺpec57]]</f>
        <v>0</v>
      </c>
      <c r="BH47" s="20">
        <v>0</v>
      </c>
      <c r="BI47" s="28">
        <v>0</v>
      </c>
      <c r="BJ47" s="20">
        <f>projekty[[#This Row],[Stĺpec60]]</f>
        <v>0</v>
      </c>
    </row>
    <row r="48" spans="1:62" ht="15" x14ac:dyDescent="0.25">
      <c r="A48" s="27" t="s">
        <v>769</v>
      </c>
      <c r="B48" s="14" t="s">
        <v>802</v>
      </c>
      <c r="C48" s="24" t="s">
        <v>913</v>
      </c>
      <c r="D48" s="18" t="s">
        <v>914</v>
      </c>
      <c r="E48" s="1" t="s">
        <v>1544</v>
      </c>
      <c r="F48" s="15">
        <v>42826</v>
      </c>
      <c r="G48" s="15">
        <v>43070</v>
      </c>
      <c r="H48" s="15"/>
      <c r="I48" s="279">
        <v>216378.45</v>
      </c>
      <c r="J48" s="15"/>
      <c r="K48" s="306">
        <f>projekty[[#This Row],[Stĺpec9]]</f>
        <v>216378.45</v>
      </c>
      <c r="L48" s="20">
        <v>0</v>
      </c>
      <c r="M48" s="20">
        <v>0</v>
      </c>
      <c r="N48" s="20">
        <f>projekty[[#This Row],[Stĺpec12]]</f>
        <v>0</v>
      </c>
      <c r="O48" s="20">
        <v>0</v>
      </c>
      <c r="P48" s="20">
        <v>0</v>
      </c>
      <c r="Q48" s="20">
        <f>projekty[[#This Row],[Stĺpec15]]</f>
        <v>0</v>
      </c>
      <c r="R48" s="20">
        <v>0</v>
      </c>
      <c r="S48" s="20">
        <v>0</v>
      </c>
      <c r="T48" s="20">
        <f>projekty[[#This Row],[Stĺpec18]]</f>
        <v>0</v>
      </c>
      <c r="U48" s="20">
        <v>2</v>
      </c>
      <c r="V48" s="20">
        <v>0</v>
      </c>
      <c r="W48" s="20">
        <f>projekty[[#This Row],[Stĺpec21]]</f>
        <v>2</v>
      </c>
      <c r="X48" s="20">
        <v>1</v>
      </c>
      <c r="Y48" s="20">
        <v>0</v>
      </c>
      <c r="Z48" s="20">
        <f>projekty[[#This Row],[Stĺpec24]]</f>
        <v>1</v>
      </c>
      <c r="AA48" s="20">
        <v>846.17</v>
      </c>
      <c r="AB48" s="20">
        <v>0</v>
      </c>
      <c r="AC48" s="20">
        <f>projekty[[#This Row],[Stĺpec27]]</f>
        <v>846.17</v>
      </c>
      <c r="AD48" s="20">
        <v>50.643000000000001</v>
      </c>
      <c r="AE48" s="20">
        <v>0</v>
      </c>
      <c r="AF48" s="20">
        <f>projekty[[#This Row],[Stĺpec30]]</f>
        <v>50.643000000000001</v>
      </c>
      <c r="AG48" s="20">
        <v>186.411</v>
      </c>
      <c r="AH48" s="20">
        <v>0</v>
      </c>
      <c r="AI48" s="20">
        <f>projekty[[#This Row],[Stĺpec33]]</f>
        <v>186.411</v>
      </c>
      <c r="AJ48" s="20">
        <v>135798</v>
      </c>
      <c r="AK48" s="20">
        <v>0</v>
      </c>
      <c r="AL48" s="20">
        <f>projekty[[#This Row],[Stĺpec36]]</f>
        <v>135798</v>
      </c>
      <c r="AM48" s="20">
        <v>174294</v>
      </c>
      <c r="AN48" s="20">
        <v>0</v>
      </c>
      <c r="AO48" s="20">
        <f>projekty[[#This Row],[Stĺpec39]]</f>
        <v>174294</v>
      </c>
      <c r="AP48" s="20">
        <v>0</v>
      </c>
      <c r="AQ48" s="20">
        <v>0</v>
      </c>
      <c r="AR48" s="20">
        <f>projekty[[#This Row],[Stĺpec42]]</f>
        <v>0</v>
      </c>
      <c r="AS48" s="20">
        <v>0</v>
      </c>
      <c r="AT48" s="20">
        <v>0</v>
      </c>
      <c r="AU48" s="20">
        <f>projekty[[#This Row],[Stĺpec45]]</f>
        <v>0</v>
      </c>
      <c r="AV48" s="20">
        <v>0</v>
      </c>
      <c r="AW48" s="20">
        <v>0</v>
      </c>
      <c r="AX48" s="20">
        <f>projekty[[#This Row],[Stĺpec48]]</f>
        <v>0</v>
      </c>
      <c r="AY48" s="20">
        <v>135798</v>
      </c>
      <c r="AZ48" s="20">
        <v>0</v>
      </c>
      <c r="BA48" s="20">
        <f>projekty[[#This Row],[Stĺpec51]]</f>
        <v>135798</v>
      </c>
      <c r="BB48" s="20">
        <v>0</v>
      </c>
      <c r="BC48" s="20">
        <v>0</v>
      </c>
      <c r="BD48" s="20">
        <f>projekty[[#This Row],[Stĺpec54]]</f>
        <v>0</v>
      </c>
      <c r="BE48" s="20">
        <v>0</v>
      </c>
      <c r="BF48" s="20">
        <v>0</v>
      </c>
      <c r="BG48" s="20">
        <f>projekty[[#This Row],[Stĺpec57]]</f>
        <v>0</v>
      </c>
      <c r="BH48" s="20">
        <v>0</v>
      </c>
      <c r="BI48" s="28">
        <v>0</v>
      </c>
      <c r="BJ48" s="20">
        <f>projekty[[#This Row],[Stĺpec60]]</f>
        <v>0</v>
      </c>
    </row>
    <row r="49" spans="1:62" ht="15" x14ac:dyDescent="0.25">
      <c r="A49" s="27" t="s">
        <v>724</v>
      </c>
      <c r="B49" s="14" t="s">
        <v>802</v>
      </c>
      <c r="C49" s="1" t="s">
        <v>823</v>
      </c>
      <c r="D49" s="18" t="s">
        <v>824</v>
      </c>
      <c r="E49" s="1" t="s">
        <v>1544</v>
      </c>
      <c r="F49" s="15">
        <v>42370</v>
      </c>
      <c r="G49" s="15">
        <v>43070</v>
      </c>
      <c r="H49" s="15"/>
      <c r="I49" s="279">
        <v>275817.99</v>
      </c>
      <c r="J49" s="15"/>
      <c r="K49" s="306">
        <f>projekty[[#This Row],[Stĺpec9]]</f>
        <v>275817.99</v>
      </c>
      <c r="L49" s="20">
        <v>0</v>
      </c>
      <c r="M49" s="20">
        <v>0</v>
      </c>
      <c r="N49" s="20">
        <f>projekty[[#This Row],[Stĺpec12]]</f>
        <v>0</v>
      </c>
      <c r="O49" s="20">
        <v>0</v>
      </c>
      <c r="P49" s="20">
        <v>0</v>
      </c>
      <c r="Q49" s="20">
        <f>projekty[[#This Row],[Stĺpec15]]</f>
        <v>0</v>
      </c>
      <c r="R49" s="20">
        <v>13.28</v>
      </c>
      <c r="S49" s="20">
        <v>0</v>
      </c>
      <c r="T49" s="20">
        <f>projekty[[#This Row],[Stĺpec18]]</f>
        <v>13.28</v>
      </c>
      <c r="U49" s="20">
        <v>2</v>
      </c>
      <c r="V49" s="20">
        <v>0</v>
      </c>
      <c r="W49" s="20">
        <f>projekty[[#This Row],[Stĺpec21]]</f>
        <v>2</v>
      </c>
      <c r="X49" s="20">
        <v>1</v>
      </c>
      <c r="Y49" s="20">
        <v>0</v>
      </c>
      <c r="Z49" s="20">
        <f>projekty[[#This Row],[Stĺpec24]]</f>
        <v>1</v>
      </c>
      <c r="AA49" s="20">
        <v>627</v>
      </c>
      <c r="AB49" s="20">
        <v>0</v>
      </c>
      <c r="AC49" s="20">
        <f>projekty[[#This Row],[Stĺpec27]]</f>
        <v>627</v>
      </c>
      <c r="AD49" s="20">
        <v>9.7279999999999998</v>
      </c>
      <c r="AE49" s="20">
        <v>0</v>
      </c>
      <c r="AF49" s="20">
        <f>projekty[[#This Row],[Stĺpec30]]</f>
        <v>9.7279999999999998</v>
      </c>
      <c r="AG49" s="20">
        <v>70.081999999999994</v>
      </c>
      <c r="AH49" s="20">
        <v>0</v>
      </c>
      <c r="AI49" s="20">
        <f>projekty[[#This Row],[Stĺpec33]]</f>
        <v>70.081999999999994</v>
      </c>
      <c r="AJ49" s="20">
        <v>60354</v>
      </c>
      <c r="AK49" s="20">
        <v>0</v>
      </c>
      <c r="AL49" s="20">
        <f>projekty[[#This Row],[Stĺpec36]]</f>
        <v>60354</v>
      </c>
      <c r="AM49" s="20">
        <v>389510.32</v>
      </c>
      <c r="AN49" s="20">
        <v>0</v>
      </c>
      <c r="AO49" s="20">
        <f>projekty[[#This Row],[Stĺpec39]]</f>
        <v>389510.32</v>
      </c>
      <c r="AP49" s="20">
        <v>16</v>
      </c>
      <c r="AQ49" s="20">
        <v>0</v>
      </c>
      <c r="AR49" s="20">
        <f>projekty[[#This Row],[Stĺpec42]]</f>
        <v>16</v>
      </c>
      <c r="AS49" s="20">
        <v>0</v>
      </c>
      <c r="AT49" s="20">
        <v>0</v>
      </c>
      <c r="AU49" s="20">
        <f>projekty[[#This Row],[Stĺpec45]]</f>
        <v>0</v>
      </c>
      <c r="AV49" s="20">
        <v>1</v>
      </c>
      <c r="AW49" s="20">
        <v>0</v>
      </c>
      <c r="AX49" s="20">
        <f>projekty[[#This Row],[Stĺpec48]]</f>
        <v>1</v>
      </c>
      <c r="AY49" s="20">
        <v>154476</v>
      </c>
      <c r="AZ49" s="20">
        <v>0</v>
      </c>
      <c r="BA49" s="20">
        <f>projekty[[#This Row],[Stĺpec51]]</f>
        <v>154476</v>
      </c>
      <c r="BB49" s="20">
        <v>0</v>
      </c>
      <c r="BC49" s="20">
        <v>0</v>
      </c>
      <c r="BD49" s="20">
        <f>projekty[[#This Row],[Stĺpec54]]</f>
        <v>0</v>
      </c>
      <c r="BE49" s="20">
        <v>0</v>
      </c>
      <c r="BF49" s="20">
        <v>0</v>
      </c>
      <c r="BG49" s="20">
        <f>projekty[[#This Row],[Stĺpec57]]</f>
        <v>0</v>
      </c>
      <c r="BH49" s="20">
        <v>0</v>
      </c>
      <c r="BI49" s="28">
        <v>0</v>
      </c>
      <c r="BJ49" s="20">
        <f>projekty[[#This Row],[Stĺpec60]]</f>
        <v>0</v>
      </c>
    </row>
    <row r="50" spans="1:62" ht="15" x14ac:dyDescent="0.25">
      <c r="A50" s="27" t="s">
        <v>731</v>
      </c>
      <c r="B50" s="14" t="s">
        <v>802</v>
      </c>
      <c r="C50" s="1" t="s">
        <v>837</v>
      </c>
      <c r="D50" s="18" t="s">
        <v>838</v>
      </c>
      <c r="E50" s="1" t="s">
        <v>1544</v>
      </c>
      <c r="F50" s="15">
        <v>42401</v>
      </c>
      <c r="G50" s="15">
        <v>43070</v>
      </c>
      <c r="H50" s="15"/>
      <c r="I50" s="279">
        <v>195029.62</v>
      </c>
      <c r="J50" s="15"/>
      <c r="K50" s="306">
        <f>projekty[[#This Row],[Stĺpec9]]</f>
        <v>195029.62</v>
      </c>
      <c r="L50" s="20">
        <v>7.9980000000000002</v>
      </c>
      <c r="M50" s="20">
        <v>0</v>
      </c>
      <c r="N50" s="20">
        <f>projekty[[#This Row],[Stĺpec12]]</f>
        <v>7.9980000000000002</v>
      </c>
      <c r="O50" s="20">
        <v>0</v>
      </c>
      <c r="P50" s="20">
        <v>0</v>
      </c>
      <c r="Q50" s="20">
        <f>projekty[[#This Row],[Stĺpec15]]</f>
        <v>0</v>
      </c>
      <c r="R50" s="20">
        <v>6.6E-3</v>
      </c>
      <c r="S50" s="20">
        <v>0</v>
      </c>
      <c r="T50" s="20">
        <f>projekty[[#This Row],[Stĺpec18]]</f>
        <v>6.6E-3</v>
      </c>
      <c r="U50" s="20">
        <v>4</v>
      </c>
      <c r="V50" s="20">
        <v>0</v>
      </c>
      <c r="W50" s="20">
        <f>projekty[[#This Row],[Stĺpec21]]</f>
        <v>4</v>
      </c>
      <c r="X50" s="20">
        <v>1</v>
      </c>
      <c r="Y50" s="20">
        <v>0</v>
      </c>
      <c r="Z50" s="20">
        <f>projekty[[#This Row],[Stĺpec24]]</f>
        <v>1</v>
      </c>
      <c r="AA50" s="20">
        <v>224.23</v>
      </c>
      <c r="AB50" s="20">
        <v>0</v>
      </c>
      <c r="AC50" s="20">
        <f>projekty[[#This Row],[Stĺpec27]]</f>
        <v>224.23</v>
      </c>
      <c r="AD50" s="20">
        <v>14.0458</v>
      </c>
      <c r="AE50" s="20">
        <v>0</v>
      </c>
      <c r="AF50" s="20">
        <f>projekty[[#This Row],[Stĺpec30]]</f>
        <v>14.0458</v>
      </c>
      <c r="AG50" s="20">
        <v>68.8857</v>
      </c>
      <c r="AH50" s="20">
        <v>0</v>
      </c>
      <c r="AI50" s="20">
        <f>projekty[[#This Row],[Stĺpec33]]</f>
        <v>68.8857</v>
      </c>
      <c r="AJ50" s="20">
        <v>54815.47</v>
      </c>
      <c r="AK50" s="20">
        <v>0</v>
      </c>
      <c r="AL50" s="20">
        <f>projekty[[#This Row],[Stĺpec36]]</f>
        <v>54815.47</v>
      </c>
      <c r="AM50" s="20">
        <v>23980</v>
      </c>
      <c r="AN50" s="20">
        <v>0</v>
      </c>
      <c r="AO50" s="20">
        <f>projekty[[#This Row],[Stĺpec39]]</f>
        <v>23980</v>
      </c>
      <c r="AP50" s="20">
        <v>3.6</v>
      </c>
      <c r="AQ50" s="20">
        <v>0</v>
      </c>
      <c r="AR50" s="20">
        <f>projekty[[#This Row],[Stĺpec42]]</f>
        <v>3.6</v>
      </c>
      <c r="AS50" s="20">
        <v>0</v>
      </c>
      <c r="AT50" s="20">
        <v>0</v>
      </c>
      <c r="AU50" s="20">
        <f>projekty[[#This Row],[Stĺpec45]]</f>
        <v>0</v>
      </c>
      <c r="AV50" s="20">
        <v>3.8</v>
      </c>
      <c r="AW50" s="20">
        <v>0</v>
      </c>
      <c r="AX50" s="20">
        <f>projekty[[#This Row],[Stĺpec48]]</f>
        <v>3.8</v>
      </c>
      <c r="AY50" s="20">
        <v>105083.14</v>
      </c>
      <c r="AZ50" s="20">
        <v>0</v>
      </c>
      <c r="BA50" s="20">
        <f>projekty[[#This Row],[Stĺpec51]]</f>
        <v>105083.14</v>
      </c>
      <c r="BB50" s="20">
        <v>8.6E-3</v>
      </c>
      <c r="BC50" s="20">
        <v>0</v>
      </c>
      <c r="BD50" s="20">
        <f>projekty[[#This Row],[Stĺpec54]]</f>
        <v>8.6E-3</v>
      </c>
      <c r="BE50" s="20">
        <v>8.6E-3</v>
      </c>
      <c r="BF50" s="20">
        <v>0</v>
      </c>
      <c r="BG50" s="20">
        <f>projekty[[#This Row],[Stĺpec57]]</f>
        <v>8.6E-3</v>
      </c>
      <c r="BH50" s="20">
        <v>0</v>
      </c>
      <c r="BI50" s="28">
        <v>0</v>
      </c>
      <c r="BJ50" s="20">
        <f>projekty[[#This Row],[Stĺpec60]]</f>
        <v>0</v>
      </c>
    </row>
    <row r="51" spans="1:62" ht="15" x14ac:dyDescent="0.25">
      <c r="A51" s="27" t="s">
        <v>722</v>
      </c>
      <c r="B51" s="14" t="s">
        <v>802</v>
      </c>
      <c r="C51" s="1" t="s">
        <v>819</v>
      </c>
      <c r="D51" s="18" t="s">
        <v>820</v>
      </c>
      <c r="E51" s="1" t="s">
        <v>1544</v>
      </c>
      <c r="F51" s="15">
        <v>42370</v>
      </c>
      <c r="G51" s="15">
        <v>43070</v>
      </c>
      <c r="H51" s="15"/>
      <c r="I51" s="279">
        <v>453647.94</v>
      </c>
      <c r="J51" s="15"/>
      <c r="K51" s="306">
        <f>projekty[[#This Row],[Stĺpec9]]</f>
        <v>453647.94</v>
      </c>
      <c r="L51" s="20">
        <v>0</v>
      </c>
      <c r="M51" s="20">
        <v>0</v>
      </c>
      <c r="N51" s="20">
        <f>projekty[[#This Row],[Stĺpec12]]</f>
        <v>0</v>
      </c>
      <c r="O51" s="20">
        <v>6.6E-3</v>
      </c>
      <c r="P51" s="20">
        <v>0</v>
      </c>
      <c r="Q51" s="20">
        <f>projekty[[#This Row],[Stĺpec15]]</f>
        <v>6.6E-3</v>
      </c>
      <c r="R51" s="20">
        <v>34.57</v>
      </c>
      <c r="S51" s="20">
        <v>0</v>
      </c>
      <c r="T51" s="20">
        <f>projekty[[#This Row],[Stĺpec18]]</f>
        <v>34.57</v>
      </c>
      <c r="U51" s="20">
        <v>2</v>
      </c>
      <c r="V51" s="20">
        <v>0</v>
      </c>
      <c r="W51" s="20">
        <f>projekty[[#This Row],[Stĺpec21]]</f>
        <v>2</v>
      </c>
      <c r="X51" s="20">
        <v>1</v>
      </c>
      <c r="Y51" s="20">
        <v>0</v>
      </c>
      <c r="Z51" s="20">
        <f>projekty[[#This Row],[Stĺpec24]]</f>
        <v>1</v>
      </c>
      <c r="AA51" s="20">
        <v>1305.75</v>
      </c>
      <c r="AB51" s="20">
        <v>0</v>
      </c>
      <c r="AC51" s="20">
        <f>projekty[[#This Row],[Stĺpec27]]</f>
        <v>1305.75</v>
      </c>
      <c r="AD51" s="20">
        <v>59.265999999999998</v>
      </c>
      <c r="AE51" s="20">
        <v>0</v>
      </c>
      <c r="AF51" s="20">
        <f>projekty[[#This Row],[Stĺpec30]]</f>
        <v>59.265999999999998</v>
      </c>
      <c r="AG51" s="20">
        <v>260.233</v>
      </c>
      <c r="AH51" s="20">
        <v>0</v>
      </c>
      <c r="AI51" s="20">
        <f>projekty[[#This Row],[Stĺpec33]]</f>
        <v>260.233</v>
      </c>
      <c r="AJ51" s="20">
        <v>201067</v>
      </c>
      <c r="AK51" s="20">
        <v>0</v>
      </c>
      <c r="AL51" s="20">
        <f>projekty[[#This Row],[Stĺpec36]]</f>
        <v>201067</v>
      </c>
      <c r="AM51" s="20">
        <v>173014</v>
      </c>
      <c r="AN51" s="20">
        <v>0</v>
      </c>
      <c r="AO51" s="20">
        <f>projekty[[#This Row],[Stĺpec39]]</f>
        <v>173014</v>
      </c>
      <c r="AP51" s="20">
        <v>30.58</v>
      </c>
      <c r="AQ51" s="20">
        <v>0</v>
      </c>
      <c r="AR51" s="20">
        <f>projekty[[#This Row],[Stĺpec42]]</f>
        <v>30.58</v>
      </c>
      <c r="AS51" s="20">
        <v>0</v>
      </c>
      <c r="AT51" s="20">
        <v>0</v>
      </c>
      <c r="AU51" s="20">
        <f>projekty[[#This Row],[Stĺpec45]]</f>
        <v>0</v>
      </c>
      <c r="AV51" s="20">
        <v>241.4</v>
      </c>
      <c r="AW51" s="20">
        <v>0</v>
      </c>
      <c r="AX51" s="20">
        <f>projekty[[#This Row],[Stĺpec48]]</f>
        <v>241.4</v>
      </c>
      <c r="AY51" s="20">
        <v>134332</v>
      </c>
      <c r="AZ51" s="20">
        <v>0</v>
      </c>
      <c r="BA51" s="20">
        <f>projekty[[#This Row],[Stĺpec51]]</f>
        <v>134332</v>
      </c>
      <c r="BB51" s="20">
        <v>0</v>
      </c>
      <c r="BC51" s="20">
        <v>0</v>
      </c>
      <c r="BD51" s="20">
        <f>projekty[[#This Row],[Stĺpec54]]</f>
        <v>0</v>
      </c>
      <c r="BE51" s="20">
        <v>0</v>
      </c>
      <c r="BF51" s="20">
        <v>0</v>
      </c>
      <c r="BG51" s="20">
        <f>projekty[[#This Row],[Stĺpec57]]</f>
        <v>0</v>
      </c>
      <c r="BH51" s="20">
        <v>0</v>
      </c>
      <c r="BI51" s="28">
        <v>0</v>
      </c>
      <c r="BJ51" s="20">
        <f>projekty[[#This Row],[Stĺpec60]]</f>
        <v>0</v>
      </c>
    </row>
    <row r="52" spans="1:62" ht="15" x14ac:dyDescent="0.25">
      <c r="A52" s="27" t="s">
        <v>753</v>
      </c>
      <c r="B52" s="14" t="s">
        <v>802</v>
      </c>
      <c r="C52" s="1" t="s">
        <v>881</v>
      </c>
      <c r="D52" s="18" t="s">
        <v>882</v>
      </c>
      <c r="E52" s="1" t="s">
        <v>1544</v>
      </c>
      <c r="F52" s="15">
        <v>42370</v>
      </c>
      <c r="G52" s="15">
        <v>43070</v>
      </c>
      <c r="H52" s="15"/>
      <c r="I52" s="279">
        <v>279425.39</v>
      </c>
      <c r="J52" s="15"/>
      <c r="K52" s="306">
        <f>projekty[[#This Row],[Stĺpec9]]</f>
        <v>279425.39</v>
      </c>
      <c r="L52" s="20">
        <v>0</v>
      </c>
      <c r="M52" s="20">
        <v>0</v>
      </c>
      <c r="N52" s="20">
        <f>projekty[[#This Row],[Stĺpec12]]</f>
        <v>0</v>
      </c>
      <c r="O52" s="20">
        <v>0</v>
      </c>
      <c r="P52" s="20">
        <v>0</v>
      </c>
      <c r="Q52" s="20">
        <f>projekty[[#This Row],[Stĺpec15]]</f>
        <v>0</v>
      </c>
      <c r="R52" s="20">
        <v>11.21</v>
      </c>
      <c r="S52" s="20">
        <v>0</v>
      </c>
      <c r="T52" s="20">
        <f>projekty[[#This Row],[Stĺpec18]]</f>
        <v>11.21</v>
      </c>
      <c r="U52" s="20">
        <v>5</v>
      </c>
      <c r="V52" s="20">
        <v>0</v>
      </c>
      <c r="W52" s="20">
        <f>projekty[[#This Row],[Stĺpec21]]</f>
        <v>5</v>
      </c>
      <c r="X52" s="20">
        <v>1</v>
      </c>
      <c r="Y52" s="20">
        <v>0</v>
      </c>
      <c r="Z52" s="20">
        <f>projekty[[#This Row],[Stĺpec24]]</f>
        <v>1</v>
      </c>
      <c r="AA52" s="20">
        <v>254.6</v>
      </c>
      <c r="AB52" s="20">
        <v>0</v>
      </c>
      <c r="AC52" s="20">
        <f>projekty[[#This Row],[Stĺpec27]]</f>
        <v>254.6</v>
      </c>
      <c r="AD52" s="20">
        <v>4.0039999999999996</v>
      </c>
      <c r="AE52" s="20">
        <v>0</v>
      </c>
      <c r="AF52" s="20">
        <f>projekty[[#This Row],[Stĺpec30]]</f>
        <v>4.0039999999999996</v>
      </c>
      <c r="AG52" s="20">
        <v>42.274000000000001</v>
      </c>
      <c r="AH52" s="20">
        <v>0</v>
      </c>
      <c r="AI52" s="20">
        <f>projekty[[#This Row],[Stĺpec33]]</f>
        <v>42.274000000000001</v>
      </c>
      <c r="AJ52" s="20">
        <v>38271</v>
      </c>
      <c r="AK52" s="20">
        <v>0</v>
      </c>
      <c r="AL52" s="20">
        <f>projekty[[#This Row],[Stĺpec36]]</f>
        <v>38271</v>
      </c>
      <c r="AM52" s="20">
        <v>38271</v>
      </c>
      <c r="AN52" s="20">
        <v>0</v>
      </c>
      <c r="AO52" s="20">
        <f>projekty[[#This Row],[Stĺpec39]]</f>
        <v>38271</v>
      </c>
      <c r="AP52" s="20">
        <v>6.8999999999999999E-3</v>
      </c>
      <c r="AQ52" s="20">
        <v>0</v>
      </c>
      <c r="AR52" s="20">
        <f>projekty[[#This Row],[Stĺpec42]]</f>
        <v>6.8999999999999999E-3</v>
      </c>
      <c r="AS52" s="20">
        <v>0</v>
      </c>
      <c r="AT52" s="20">
        <v>0</v>
      </c>
      <c r="AU52" s="20">
        <f>projekty[[#This Row],[Stĺpec45]]</f>
        <v>0</v>
      </c>
      <c r="AV52" s="20">
        <v>5.1200000000000002E-2</v>
      </c>
      <c r="AW52" s="20">
        <v>0</v>
      </c>
      <c r="AX52" s="20">
        <f>projekty[[#This Row],[Stĺpec48]]</f>
        <v>5.1200000000000002E-2</v>
      </c>
      <c r="AY52" s="20">
        <v>31562</v>
      </c>
      <c r="AZ52" s="20">
        <v>0</v>
      </c>
      <c r="BA52" s="20">
        <f>projekty[[#This Row],[Stĺpec51]]</f>
        <v>31562</v>
      </c>
      <c r="BB52" s="20">
        <v>0</v>
      </c>
      <c r="BC52" s="20">
        <v>0</v>
      </c>
      <c r="BD52" s="20">
        <f>projekty[[#This Row],[Stĺpec54]]</f>
        <v>0</v>
      </c>
      <c r="BE52" s="20">
        <v>0</v>
      </c>
      <c r="BF52" s="20">
        <v>0</v>
      </c>
      <c r="BG52" s="20">
        <f>projekty[[#This Row],[Stĺpec57]]</f>
        <v>0</v>
      </c>
      <c r="BH52" s="20">
        <v>0</v>
      </c>
      <c r="BI52" s="28">
        <v>0</v>
      </c>
      <c r="BJ52" s="20">
        <f>projekty[[#This Row],[Stĺpec60]]</f>
        <v>0</v>
      </c>
    </row>
    <row r="53" spans="1:62" ht="15" x14ac:dyDescent="0.25">
      <c r="A53" s="27" t="s">
        <v>773</v>
      </c>
      <c r="B53" s="14" t="s">
        <v>802</v>
      </c>
      <c r="C53" s="24" t="s">
        <v>921</v>
      </c>
      <c r="D53" s="18" t="s">
        <v>922</v>
      </c>
      <c r="E53" s="1" t="s">
        <v>1544</v>
      </c>
      <c r="F53" s="15">
        <v>42401</v>
      </c>
      <c r="G53" s="15">
        <v>43101</v>
      </c>
      <c r="H53" s="15"/>
      <c r="I53" s="279">
        <v>357845.89</v>
      </c>
      <c r="J53" s="15"/>
      <c r="K53" s="306">
        <f>projekty[[#This Row],[Stĺpec9]]</f>
        <v>357845.89</v>
      </c>
      <c r="L53" s="20">
        <v>0</v>
      </c>
      <c r="M53" s="20">
        <v>0</v>
      </c>
      <c r="N53" s="20">
        <f>projekty[[#This Row],[Stĺpec12]]</f>
        <v>0</v>
      </c>
      <c r="O53" s="20">
        <v>27151.142400000001</v>
      </c>
      <c r="P53" s="20">
        <v>0</v>
      </c>
      <c r="Q53" s="20">
        <f>projekty[[#This Row],[Stĺpec15]]</f>
        <v>27151.142400000001</v>
      </c>
      <c r="R53" s="20">
        <v>6.9000000000000006E-2</v>
      </c>
      <c r="S53" s="20">
        <v>0</v>
      </c>
      <c r="T53" s="20">
        <f>projekty[[#This Row],[Stĺpec18]]</f>
        <v>6.9000000000000006E-2</v>
      </c>
      <c r="U53" s="20">
        <v>3</v>
      </c>
      <c r="V53" s="20">
        <v>0</v>
      </c>
      <c r="W53" s="20">
        <f>projekty[[#This Row],[Stĺpec21]]</f>
        <v>3</v>
      </c>
      <c r="X53" s="20">
        <v>1</v>
      </c>
      <c r="Y53" s="20">
        <v>0</v>
      </c>
      <c r="Z53" s="20">
        <f>projekty[[#This Row],[Stĺpec24]]</f>
        <v>1</v>
      </c>
      <c r="AA53" s="20">
        <v>607.67999999999995</v>
      </c>
      <c r="AB53" s="20">
        <v>0</v>
      </c>
      <c r="AC53" s="20">
        <f>projekty[[#This Row],[Stĺpec27]]</f>
        <v>607.67999999999995</v>
      </c>
      <c r="AD53" s="20">
        <v>34.678899999999999</v>
      </c>
      <c r="AE53" s="20">
        <v>0</v>
      </c>
      <c r="AF53" s="20">
        <f>projekty[[#This Row],[Stĺpec30]]</f>
        <v>34.678899999999999</v>
      </c>
      <c r="AG53" s="20">
        <v>175.14599999999999</v>
      </c>
      <c r="AH53" s="20">
        <v>0</v>
      </c>
      <c r="AI53" s="20">
        <f>projekty[[#This Row],[Stĺpec33]]</f>
        <v>175.14599999999999</v>
      </c>
      <c r="AJ53" s="20">
        <v>140467.092</v>
      </c>
      <c r="AK53" s="20">
        <v>0</v>
      </c>
      <c r="AL53" s="20">
        <f>projekty[[#This Row],[Stĺpec36]]</f>
        <v>140467.092</v>
      </c>
      <c r="AM53" s="20">
        <v>145843.20000000001</v>
      </c>
      <c r="AN53" s="20">
        <v>0</v>
      </c>
      <c r="AO53" s="20">
        <f>projekty[[#This Row],[Stĺpec39]]</f>
        <v>145843.20000000001</v>
      </c>
      <c r="AP53" s="20">
        <v>2</v>
      </c>
      <c r="AQ53" s="20">
        <v>0</v>
      </c>
      <c r="AR53" s="20">
        <f>projekty[[#This Row],[Stĺpec42]]</f>
        <v>2</v>
      </c>
      <c r="AS53" s="20">
        <v>9.1999999999999993</v>
      </c>
      <c r="AT53" s="20">
        <v>0</v>
      </c>
      <c r="AU53" s="20">
        <f>projekty[[#This Row],[Stĺpec45]]</f>
        <v>9.1999999999999993</v>
      </c>
      <c r="AV53" s="20">
        <v>47.3</v>
      </c>
      <c r="AW53" s="20">
        <v>0</v>
      </c>
      <c r="AX53" s="20">
        <f>projekty[[#This Row],[Stĺpec48]]</f>
        <v>47.3</v>
      </c>
      <c r="AY53" s="20">
        <v>235779.84</v>
      </c>
      <c r="AZ53" s="20">
        <v>0</v>
      </c>
      <c r="BA53" s="20">
        <f>projekty[[#This Row],[Stĺpec51]]</f>
        <v>235779.84</v>
      </c>
      <c r="BB53" s="20">
        <v>0</v>
      </c>
      <c r="BC53" s="20">
        <v>0</v>
      </c>
      <c r="BD53" s="20">
        <f>projekty[[#This Row],[Stĺpec54]]</f>
        <v>0</v>
      </c>
      <c r="BE53" s="20">
        <v>27.1511</v>
      </c>
      <c r="BF53" s="20">
        <v>0</v>
      </c>
      <c r="BG53" s="20">
        <f>projekty[[#This Row],[Stĺpec57]]</f>
        <v>27.1511</v>
      </c>
      <c r="BH53" s="20">
        <v>0</v>
      </c>
      <c r="BI53" s="28">
        <v>0</v>
      </c>
      <c r="BJ53" s="20">
        <f>projekty[[#This Row],[Stĺpec60]]</f>
        <v>0</v>
      </c>
    </row>
    <row r="54" spans="1:62" ht="15" x14ac:dyDescent="0.25">
      <c r="A54" s="27" t="s">
        <v>784</v>
      </c>
      <c r="B54" s="14" t="s">
        <v>2393</v>
      </c>
      <c r="C54" s="1" t="s">
        <v>941</v>
      </c>
      <c r="D54" s="18" t="s">
        <v>942</v>
      </c>
      <c r="E54" s="1" t="s">
        <v>1544</v>
      </c>
      <c r="F54" s="15">
        <v>42401</v>
      </c>
      <c r="G54" s="15">
        <v>43101</v>
      </c>
      <c r="H54" s="15"/>
      <c r="I54" s="279">
        <v>315069.18</v>
      </c>
      <c r="J54" s="15"/>
      <c r="K54" s="306">
        <f>projekty[[#This Row],[Stĺpec9]]</f>
        <v>315069.18</v>
      </c>
      <c r="L54" s="20">
        <v>0</v>
      </c>
      <c r="M54" s="20">
        <v>0</v>
      </c>
      <c r="N54" s="20">
        <f>projekty[[#This Row],[Stĺpec12]]</f>
        <v>0</v>
      </c>
      <c r="O54" s="20">
        <v>3.7</v>
      </c>
      <c r="P54" s="20">
        <v>0</v>
      </c>
      <c r="Q54" s="20">
        <f>projekty[[#This Row],[Stĺpec15]]</f>
        <v>3.7</v>
      </c>
      <c r="R54" s="20">
        <v>22.748999999999999</v>
      </c>
      <c r="S54" s="20">
        <v>0</v>
      </c>
      <c r="T54" s="20">
        <f>projekty[[#This Row],[Stĺpec18]]</f>
        <v>22.748999999999999</v>
      </c>
      <c r="U54" s="20">
        <v>4</v>
      </c>
      <c r="V54" s="20">
        <v>0</v>
      </c>
      <c r="W54" s="20">
        <f>projekty[[#This Row],[Stĺpec21]]</f>
        <v>4</v>
      </c>
      <c r="X54" s="20">
        <v>1</v>
      </c>
      <c r="Y54" s="20">
        <v>0</v>
      </c>
      <c r="Z54" s="20">
        <f>projekty[[#This Row],[Stĺpec24]]</f>
        <v>1</v>
      </c>
      <c r="AA54" s="20">
        <v>902.9</v>
      </c>
      <c r="AB54" s="20">
        <v>0</v>
      </c>
      <c r="AC54" s="20">
        <f>projekty[[#This Row],[Stĺpec27]]</f>
        <v>902.9</v>
      </c>
      <c r="AD54" s="20">
        <v>14.63</v>
      </c>
      <c r="AE54" s="20">
        <v>0</v>
      </c>
      <c r="AF54" s="20">
        <f>projekty[[#This Row],[Stĺpec30]]</f>
        <v>14.63</v>
      </c>
      <c r="AG54" s="20">
        <v>97.68</v>
      </c>
      <c r="AH54" s="20">
        <v>0</v>
      </c>
      <c r="AI54" s="20">
        <f>projekty[[#This Row],[Stĺpec33]]</f>
        <v>97.68</v>
      </c>
      <c r="AJ54" s="20">
        <v>83048</v>
      </c>
      <c r="AK54" s="20">
        <v>0</v>
      </c>
      <c r="AL54" s="20">
        <f>projekty[[#This Row],[Stĺpec36]]</f>
        <v>83048</v>
      </c>
      <c r="AM54" s="20">
        <v>126740</v>
      </c>
      <c r="AN54" s="20">
        <v>0</v>
      </c>
      <c r="AO54" s="20">
        <f>projekty[[#This Row],[Stĺpec39]]</f>
        <v>126740</v>
      </c>
      <c r="AP54" s="20">
        <v>13.5</v>
      </c>
      <c r="AQ54" s="20">
        <v>0</v>
      </c>
      <c r="AR54" s="20">
        <f>projekty[[#This Row],[Stĺpec42]]</f>
        <v>13.5</v>
      </c>
      <c r="AS54" s="20">
        <v>0.9</v>
      </c>
      <c r="AT54" s="20">
        <v>0</v>
      </c>
      <c r="AU54" s="20">
        <f>projekty[[#This Row],[Stĺpec45]]</f>
        <v>0.9</v>
      </c>
      <c r="AV54" s="20">
        <v>1.8</v>
      </c>
      <c r="AW54" s="20">
        <v>0</v>
      </c>
      <c r="AX54" s="20">
        <f>projekty[[#This Row],[Stĺpec48]]</f>
        <v>1.8</v>
      </c>
      <c r="AY54" s="20">
        <v>179688</v>
      </c>
      <c r="AZ54" s="20">
        <v>0</v>
      </c>
      <c r="BA54" s="20">
        <f>projekty[[#This Row],[Stĺpec51]]</f>
        <v>179688</v>
      </c>
      <c r="BB54" s="20">
        <v>0</v>
      </c>
      <c r="BC54" s="20">
        <v>0</v>
      </c>
      <c r="BD54" s="20">
        <f>projekty[[#This Row],[Stĺpec54]]</f>
        <v>0</v>
      </c>
      <c r="BE54" s="20">
        <v>0.02</v>
      </c>
      <c r="BF54" s="20">
        <v>0</v>
      </c>
      <c r="BG54" s="20">
        <f>projekty[[#This Row],[Stĺpec57]]</f>
        <v>0.02</v>
      </c>
      <c r="BH54" s="20">
        <v>0.02</v>
      </c>
      <c r="BI54" s="28">
        <v>0</v>
      </c>
      <c r="BJ54" s="20">
        <f>projekty[[#This Row],[Stĺpec60]]</f>
        <v>0.02</v>
      </c>
    </row>
    <row r="55" spans="1:62" ht="15" x14ac:dyDescent="0.25">
      <c r="A55" s="27" t="s">
        <v>750</v>
      </c>
      <c r="B55" s="14" t="s">
        <v>2393</v>
      </c>
      <c r="C55" s="1" t="s">
        <v>875</v>
      </c>
      <c r="D55" s="18" t="s">
        <v>876</v>
      </c>
      <c r="E55" s="1" t="s">
        <v>1544</v>
      </c>
      <c r="F55" s="15">
        <v>42401</v>
      </c>
      <c r="G55" s="15">
        <v>43101</v>
      </c>
      <c r="H55" s="15"/>
      <c r="I55" s="279">
        <v>223652.12</v>
      </c>
      <c r="J55" s="15"/>
      <c r="K55" s="306">
        <f>projekty[[#This Row],[Stĺpec9]]</f>
        <v>223652.12</v>
      </c>
      <c r="L55" s="20">
        <v>0</v>
      </c>
      <c r="M55" s="20">
        <v>0</v>
      </c>
      <c r="N55" s="20">
        <f>projekty[[#This Row],[Stĺpec12]]</f>
        <v>0</v>
      </c>
      <c r="O55" s="20">
        <v>0</v>
      </c>
      <c r="P55" s="20">
        <v>0</v>
      </c>
      <c r="Q55" s="20">
        <f>projekty[[#This Row],[Stĺpec15]]</f>
        <v>0</v>
      </c>
      <c r="R55" s="20">
        <v>38.008800000000001</v>
      </c>
      <c r="S55" s="20">
        <v>0</v>
      </c>
      <c r="T55" s="20">
        <f>projekty[[#This Row],[Stĺpec18]]</f>
        <v>38.008800000000001</v>
      </c>
      <c r="U55" s="20">
        <v>5</v>
      </c>
      <c r="V55" s="20">
        <v>0</v>
      </c>
      <c r="W55" s="20">
        <f>projekty[[#This Row],[Stĺpec21]]</f>
        <v>5</v>
      </c>
      <c r="X55" s="20">
        <v>1</v>
      </c>
      <c r="Y55" s="20">
        <v>0</v>
      </c>
      <c r="Z55" s="20">
        <f>projekty[[#This Row],[Stĺpec24]]</f>
        <v>1</v>
      </c>
      <c r="AA55" s="20">
        <v>550.70000000000005</v>
      </c>
      <c r="AB55" s="20">
        <v>0</v>
      </c>
      <c r="AC55" s="20">
        <f>projekty[[#This Row],[Stĺpec27]]</f>
        <v>550.70000000000005</v>
      </c>
      <c r="AD55" s="20">
        <v>27.044</v>
      </c>
      <c r="AE55" s="20">
        <v>0</v>
      </c>
      <c r="AF55" s="20">
        <f>projekty[[#This Row],[Stĺpec30]]</f>
        <v>27.044</v>
      </c>
      <c r="AG55" s="20">
        <v>108.502</v>
      </c>
      <c r="AH55" s="20">
        <v>0</v>
      </c>
      <c r="AI55" s="20">
        <f>projekty[[#This Row],[Stĺpec33]]</f>
        <v>108.502</v>
      </c>
      <c r="AJ55" s="20">
        <v>81458</v>
      </c>
      <c r="AK55" s="20">
        <v>0</v>
      </c>
      <c r="AL55" s="20">
        <f>projekty[[#This Row],[Stĺpec36]]</f>
        <v>81458</v>
      </c>
      <c r="AM55" s="20">
        <v>107251.39</v>
      </c>
      <c r="AN55" s="20">
        <v>0</v>
      </c>
      <c r="AO55" s="20">
        <f>projekty[[#This Row],[Stĺpec39]]</f>
        <v>107251.39</v>
      </c>
      <c r="AP55" s="20">
        <v>29.5</v>
      </c>
      <c r="AQ55" s="20">
        <v>0</v>
      </c>
      <c r="AR55" s="20">
        <f>projekty[[#This Row],[Stĺpec42]]</f>
        <v>29.5</v>
      </c>
      <c r="AS55" s="20">
        <v>1.9</v>
      </c>
      <c r="AT55" s="20">
        <v>0</v>
      </c>
      <c r="AU55" s="20">
        <f>projekty[[#This Row],[Stĺpec45]]</f>
        <v>1.9</v>
      </c>
      <c r="AV55" s="20">
        <v>1.8</v>
      </c>
      <c r="AW55" s="20">
        <v>0</v>
      </c>
      <c r="AX55" s="20">
        <f>projekty[[#This Row],[Stĺpec48]]</f>
        <v>1.8</v>
      </c>
      <c r="AY55" s="20">
        <v>111853.77929999999</v>
      </c>
      <c r="AZ55" s="20">
        <v>0</v>
      </c>
      <c r="BA55" s="20">
        <f>projekty[[#This Row],[Stĺpec51]]</f>
        <v>111853.77929999999</v>
      </c>
      <c r="BB55" s="20">
        <v>0</v>
      </c>
      <c r="BC55" s="20">
        <v>0</v>
      </c>
      <c r="BD55" s="20">
        <f>projekty[[#This Row],[Stĺpec54]]</f>
        <v>0</v>
      </c>
      <c r="BE55" s="20">
        <v>0</v>
      </c>
      <c r="BF55" s="20">
        <v>0</v>
      </c>
      <c r="BG55" s="20">
        <f>projekty[[#This Row],[Stĺpec57]]</f>
        <v>0</v>
      </c>
      <c r="BH55" s="20">
        <v>0</v>
      </c>
      <c r="BI55" s="28">
        <v>0</v>
      </c>
      <c r="BJ55" s="20">
        <f>projekty[[#This Row],[Stĺpec60]]</f>
        <v>0</v>
      </c>
    </row>
    <row r="56" spans="1:62" ht="15" x14ac:dyDescent="0.25">
      <c r="A56" s="27" t="s">
        <v>761</v>
      </c>
      <c r="B56" s="14" t="s">
        <v>2393</v>
      </c>
      <c r="C56" s="1" t="s">
        <v>897</v>
      </c>
      <c r="D56" s="18" t="s">
        <v>898</v>
      </c>
      <c r="E56" s="1" t="s">
        <v>1544</v>
      </c>
      <c r="F56" s="15">
        <v>42401</v>
      </c>
      <c r="G56" s="15">
        <v>43101</v>
      </c>
      <c r="H56" s="15"/>
      <c r="I56" s="279">
        <v>206989.04</v>
      </c>
      <c r="J56" s="15"/>
      <c r="K56" s="306">
        <f>projekty[[#This Row],[Stĺpec9]]</f>
        <v>206989.04</v>
      </c>
      <c r="L56" s="20">
        <v>2.9369999999999998</v>
      </c>
      <c r="M56" s="20">
        <v>0</v>
      </c>
      <c r="N56" s="20">
        <f>projekty[[#This Row],[Stĺpec12]]</f>
        <v>2.9369999999999998</v>
      </c>
      <c r="O56" s="20">
        <v>47.814</v>
      </c>
      <c r="P56" s="20">
        <v>0</v>
      </c>
      <c r="Q56" s="20">
        <f>projekty[[#This Row],[Stĺpec15]]</f>
        <v>47.814</v>
      </c>
      <c r="R56" s="20">
        <v>1792.3141000000001</v>
      </c>
      <c r="S56" s="20">
        <v>0</v>
      </c>
      <c r="T56" s="20">
        <f>projekty[[#This Row],[Stĺpec18]]</f>
        <v>1792.3141000000001</v>
      </c>
      <c r="U56" s="20">
        <v>3</v>
      </c>
      <c r="V56" s="20">
        <v>0</v>
      </c>
      <c r="W56" s="20">
        <f>projekty[[#This Row],[Stĺpec21]]</f>
        <v>3</v>
      </c>
      <c r="X56" s="20">
        <v>1</v>
      </c>
      <c r="Y56" s="20">
        <v>0</v>
      </c>
      <c r="Z56" s="20">
        <f>projekty[[#This Row],[Stĺpec24]]</f>
        <v>1</v>
      </c>
      <c r="AA56" s="20">
        <v>376.55</v>
      </c>
      <c r="AB56" s="20">
        <v>0</v>
      </c>
      <c r="AC56" s="20">
        <f>projekty[[#This Row],[Stĺpec27]]</f>
        <v>376.55</v>
      </c>
      <c r="AD56" s="20">
        <v>14.045299999999999</v>
      </c>
      <c r="AE56" s="20">
        <v>0</v>
      </c>
      <c r="AF56" s="20">
        <f>projekty[[#This Row],[Stĺpec30]]</f>
        <v>14.045299999999999</v>
      </c>
      <c r="AG56" s="20">
        <v>108.29949999999999</v>
      </c>
      <c r="AH56" s="20">
        <v>0</v>
      </c>
      <c r="AI56" s="20">
        <f>projekty[[#This Row],[Stĺpec33]]</f>
        <v>108.29949999999999</v>
      </c>
      <c r="AJ56" s="20">
        <v>94254.23</v>
      </c>
      <c r="AK56" s="20">
        <v>0</v>
      </c>
      <c r="AL56" s="20">
        <f>projekty[[#This Row],[Stĺpec36]]</f>
        <v>94254.23</v>
      </c>
      <c r="AM56" s="20">
        <v>94254.23</v>
      </c>
      <c r="AN56" s="20">
        <v>0</v>
      </c>
      <c r="AO56" s="20">
        <f>projekty[[#This Row],[Stĺpec39]]</f>
        <v>94254.23</v>
      </c>
      <c r="AP56" s="20">
        <v>1173</v>
      </c>
      <c r="AQ56" s="20">
        <v>0</v>
      </c>
      <c r="AR56" s="20">
        <f>projekty[[#This Row],[Stĺpec42]]</f>
        <v>1173</v>
      </c>
      <c r="AS56" s="20">
        <v>297.7</v>
      </c>
      <c r="AT56" s="20">
        <v>0</v>
      </c>
      <c r="AU56" s="20">
        <f>projekty[[#This Row],[Stĺpec45]]</f>
        <v>297.7</v>
      </c>
      <c r="AV56" s="20">
        <v>1033.2</v>
      </c>
      <c r="AW56" s="20">
        <v>0</v>
      </c>
      <c r="AX56" s="20">
        <f>projekty[[#This Row],[Stĺpec48]]</f>
        <v>1033.2</v>
      </c>
      <c r="AY56" s="20">
        <v>126739.2</v>
      </c>
      <c r="AZ56" s="20">
        <v>0</v>
      </c>
      <c r="BA56" s="20">
        <f>projekty[[#This Row],[Stĺpec51]]</f>
        <v>126739.2</v>
      </c>
      <c r="BB56" s="20">
        <v>2.9369999999999998</v>
      </c>
      <c r="BC56" s="20">
        <v>0</v>
      </c>
      <c r="BD56" s="20">
        <f>projekty[[#This Row],[Stĺpec54]]</f>
        <v>2.9369999999999998</v>
      </c>
      <c r="BE56" s="20">
        <v>50.750999999999998</v>
      </c>
      <c r="BF56" s="20">
        <v>0</v>
      </c>
      <c r="BG56" s="20">
        <f>projekty[[#This Row],[Stĺpec57]]</f>
        <v>50.750999999999998</v>
      </c>
      <c r="BH56" s="20">
        <v>47.814</v>
      </c>
      <c r="BI56" s="28">
        <v>0</v>
      </c>
      <c r="BJ56" s="20">
        <f>projekty[[#This Row],[Stĺpec60]]</f>
        <v>47.814</v>
      </c>
    </row>
    <row r="57" spans="1:62" ht="15" x14ac:dyDescent="0.25">
      <c r="A57" s="27" t="s">
        <v>799</v>
      </c>
      <c r="B57" s="14" t="s">
        <v>2393</v>
      </c>
      <c r="C57" s="1" t="s">
        <v>971</v>
      </c>
      <c r="D57" s="18" t="s">
        <v>972</v>
      </c>
      <c r="E57" s="1" t="s">
        <v>1544</v>
      </c>
      <c r="F57" s="15">
        <v>42401</v>
      </c>
      <c r="G57" s="15">
        <v>43101</v>
      </c>
      <c r="H57" s="15"/>
      <c r="I57" s="279">
        <v>269436.49</v>
      </c>
      <c r="J57" s="15"/>
      <c r="K57" s="306">
        <f>projekty[[#This Row],[Stĺpec9]]</f>
        <v>269436.49</v>
      </c>
      <c r="L57" s="20">
        <v>0</v>
      </c>
      <c r="M57" s="20">
        <v>0</v>
      </c>
      <c r="N57" s="20">
        <f>projekty[[#This Row],[Stĺpec12]]</f>
        <v>0</v>
      </c>
      <c r="O57" s="20">
        <v>0</v>
      </c>
      <c r="P57" s="20">
        <v>0</v>
      </c>
      <c r="Q57" s="20">
        <f>projekty[[#This Row],[Stĺpec15]]</f>
        <v>0</v>
      </c>
      <c r="R57" s="20">
        <v>51.087000000000003</v>
      </c>
      <c r="S57" s="20">
        <v>0</v>
      </c>
      <c r="T57" s="20">
        <f>projekty[[#This Row],[Stĺpec18]]</f>
        <v>51.087000000000003</v>
      </c>
      <c r="U57" s="20">
        <v>2</v>
      </c>
      <c r="V57" s="20">
        <v>0</v>
      </c>
      <c r="W57" s="20">
        <f>projekty[[#This Row],[Stĺpec21]]</f>
        <v>2</v>
      </c>
      <c r="X57" s="20">
        <v>1</v>
      </c>
      <c r="Y57" s="20">
        <v>0</v>
      </c>
      <c r="Z57" s="20">
        <f>projekty[[#This Row],[Stĺpec24]]</f>
        <v>1</v>
      </c>
      <c r="AA57" s="20">
        <v>1510.55</v>
      </c>
      <c r="AB57" s="20">
        <v>0</v>
      </c>
      <c r="AC57" s="20">
        <f>projekty[[#This Row],[Stĺpec27]]</f>
        <v>1510.55</v>
      </c>
      <c r="AD57" s="20">
        <v>31.44</v>
      </c>
      <c r="AE57" s="20">
        <v>0</v>
      </c>
      <c r="AF57" s="20">
        <f>projekty[[#This Row],[Stĺpec30]]</f>
        <v>31.44</v>
      </c>
      <c r="AG57" s="20">
        <v>99.665000000000006</v>
      </c>
      <c r="AH57" s="20">
        <v>0</v>
      </c>
      <c r="AI57" s="20">
        <f>projekty[[#This Row],[Stĺpec33]]</f>
        <v>99.665000000000006</v>
      </c>
      <c r="AJ57" s="20">
        <v>68225</v>
      </c>
      <c r="AK57" s="20">
        <v>0</v>
      </c>
      <c r="AL57" s="20">
        <f>projekty[[#This Row],[Stĺpec36]]</f>
        <v>68225</v>
      </c>
      <c r="AM57" s="20">
        <v>156512</v>
      </c>
      <c r="AN57" s="20">
        <v>0</v>
      </c>
      <c r="AO57" s="20">
        <f>projekty[[#This Row],[Stĺpec39]]</f>
        <v>156512</v>
      </c>
      <c r="AP57" s="20">
        <v>30.36</v>
      </c>
      <c r="AQ57" s="20">
        <v>0</v>
      </c>
      <c r="AR57" s="20">
        <f>projekty[[#This Row],[Stĺpec42]]</f>
        <v>30.36</v>
      </c>
      <c r="AS57" s="20">
        <v>2.2669999999999999</v>
      </c>
      <c r="AT57" s="20">
        <v>0</v>
      </c>
      <c r="AU57" s="20">
        <f>projekty[[#This Row],[Stĺpec45]]</f>
        <v>2.2669999999999999</v>
      </c>
      <c r="AV57" s="20">
        <v>3.2509999999999999</v>
      </c>
      <c r="AW57" s="20">
        <v>0</v>
      </c>
      <c r="AX57" s="20">
        <f>projekty[[#This Row],[Stĺpec48]]</f>
        <v>3.2509999999999999</v>
      </c>
      <c r="AY57" s="20">
        <v>253240</v>
      </c>
      <c r="AZ57" s="20">
        <v>0</v>
      </c>
      <c r="BA57" s="20">
        <f>projekty[[#This Row],[Stĺpec51]]</f>
        <v>253240</v>
      </c>
      <c r="BB57" s="20">
        <v>0</v>
      </c>
      <c r="BC57" s="20">
        <v>0</v>
      </c>
      <c r="BD57" s="20">
        <f>projekty[[#This Row],[Stĺpec54]]</f>
        <v>0</v>
      </c>
      <c r="BE57" s="20">
        <v>0</v>
      </c>
      <c r="BF57" s="20">
        <v>0</v>
      </c>
      <c r="BG57" s="20">
        <f>projekty[[#This Row],[Stĺpec57]]</f>
        <v>0</v>
      </c>
      <c r="BH57" s="20">
        <v>0</v>
      </c>
      <c r="BI57" s="28">
        <v>0</v>
      </c>
      <c r="BJ57" s="20">
        <f>projekty[[#This Row],[Stĺpec60]]</f>
        <v>0</v>
      </c>
    </row>
    <row r="58" spans="1:62" ht="15" x14ac:dyDescent="0.25">
      <c r="A58" s="27" t="s">
        <v>730</v>
      </c>
      <c r="B58" s="14" t="s">
        <v>2393</v>
      </c>
      <c r="C58" s="1" t="s">
        <v>835</v>
      </c>
      <c r="D58" s="18" t="s">
        <v>836</v>
      </c>
      <c r="E58" s="1" t="s">
        <v>1544</v>
      </c>
      <c r="F58" s="15">
        <v>42401</v>
      </c>
      <c r="G58" s="15">
        <v>43101</v>
      </c>
      <c r="H58" s="15"/>
      <c r="I58" s="279">
        <v>348288.29</v>
      </c>
      <c r="J58" s="15"/>
      <c r="K58" s="306">
        <f>projekty[[#This Row],[Stĺpec9]]</f>
        <v>348288.29</v>
      </c>
      <c r="L58" s="20">
        <v>0</v>
      </c>
      <c r="M58" s="20">
        <v>0</v>
      </c>
      <c r="N58" s="20">
        <f>projekty[[#This Row],[Stĺpec12]]</f>
        <v>0</v>
      </c>
      <c r="O58" s="20">
        <v>0</v>
      </c>
      <c r="P58" s="20">
        <v>0</v>
      </c>
      <c r="Q58" s="20">
        <f>projekty[[#This Row],[Stĺpec15]]</f>
        <v>0</v>
      </c>
      <c r="R58" s="20">
        <v>65.8</v>
      </c>
      <c r="S58" s="20">
        <v>0</v>
      </c>
      <c r="T58" s="20">
        <f>projekty[[#This Row],[Stĺpec18]]</f>
        <v>65.8</v>
      </c>
      <c r="U58" s="20">
        <v>5</v>
      </c>
      <c r="V58" s="20">
        <v>0</v>
      </c>
      <c r="W58" s="20">
        <f>projekty[[#This Row],[Stĺpec21]]</f>
        <v>5</v>
      </c>
      <c r="X58" s="20">
        <v>1</v>
      </c>
      <c r="Y58" s="20">
        <v>0</v>
      </c>
      <c r="Z58" s="20">
        <f>projekty[[#This Row],[Stĺpec24]]</f>
        <v>1</v>
      </c>
      <c r="AA58" s="20">
        <v>1123.31</v>
      </c>
      <c r="AB58" s="20">
        <v>0</v>
      </c>
      <c r="AC58" s="20">
        <f>projekty[[#This Row],[Stĺpec27]]</f>
        <v>1123.31</v>
      </c>
      <c r="AD58" s="20">
        <v>26.577000000000002</v>
      </c>
      <c r="AE58" s="20">
        <v>0</v>
      </c>
      <c r="AF58" s="20">
        <f>projekty[[#This Row],[Stĺpec30]]</f>
        <v>26.577000000000002</v>
      </c>
      <c r="AG58" s="20">
        <v>61.414000000000001</v>
      </c>
      <c r="AH58" s="20">
        <v>0</v>
      </c>
      <c r="AI58" s="20">
        <f>projekty[[#This Row],[Stĺpec33]]</f>
        <v>61.414000000000001</v>
      </c>
      <c r="AJ58" s="20">
        <v>34837</v>
      </c>
      <c r="AK58" s="20">
        <v>0</v>
      </c>
      <c r="AL58" s="20">
        <f>projekty[[#This Row],[Stĺpec36]]</f>
        <v>34837</v>
      </c>
      <c r="AM58" s="20">
        <v>286119.28000000003</v>
      </c>
      <c r="AN58" s="20">
        <v>0</v>
      </c>
      <c r="AO58" s="20">
        <f>projekty[[#This Row],[Stĺpec39]]</f>
        <v>286119.28000000003</v>
      </c>
      <c r="AP58" s="20">
        <v>77</v>
      </c>
      <c r="AQ58" s="20">
        <v>0</v>
      </c>
      <c r="AR58" s="20">
        <f>projekty[[#This Row],[Stĺpec42]]</f>
        <v>77</v>
      </c>
      <c r="AS58" s="20">
        <v>0</v>
      </c>
      <c r="AT58" s="20">
        <v>0</v>
      </c>
      <c r="AU58" s="20">
        <f>projekty[[#This Row],[Stĺpec45]]</f>
        <v>0</v>
      </c>
      <c r="AV58" s="20">
        <v>1</v>
      </c>
      <c r="AW58" s="20">
        <v>0</v>
      </c>
      <c r="AX58" s="20">
        <f>projekty[[#This Row],[Stĺpec48]]</f>
        <v>1</v>
      </c>
      <c r="AY58" s="20">
        <v>40726.22</v>
      </c>
      <c r="AZ58" s="20">
        <v>0</v>
      </c>
      <c r="BA58" s="20">
        <f>projekty[[#This Row],[Stĺpec51]]</f>
        <v>40726.22</v>
      </c>
      <c r="BB58" s="20">
        <v>0</v>
      </c>
      <c r="BC58" s="20">
        <v>0</v>
      </c>
      <c r="BD58" s="20">
        <f>projekty[[#This Row],[Stĺpec54]]</f>
        <v>0</v>
      </c>
      <c r="BE58" s="20">
        <v>0</v>
      </c>
      <c r="BF58" s="20">
        <v>0</v>
      </c>
      <c r="BG58" s="20">
        <f>projekty[[#This Row],[Stĺpec57]]</f>
        <v>0</v>
      </c>
      <c r="BH58" s="20">
        <v>0</v>
      </c>
      <c r="BI58" s="28">
        <v>0</v>
      </c>
      <c r="BJ58" s="20">
        <f>projekty[[#This Row],[Stĺpec60]]</f>
        <v>0</v>
      </c>
    </row>
    <row r="59" spans="1:62" ht="15" x14ac:dyDescent="0.25">
      <c r="A59" s="27" t="s">
        <v>778</v>
      </c>
      <c r="B59" s="14" t="s">
        <v>2393</v>
      </c>
      <c r="C59" s="1" t="s">
        <v>929</v>
      </c>
      <c r="D59" s="18" t="s">
        <v>930</v>
      </c>
      <c r="E59" s="1" t="s">
        <v>1544</v>
      </c>
      <c r="F59" s="15">
        <v>42795</v>
      </c>
      <c r="G59" s="15">
        <v>43160</v>
      </c>
      <c r="H59" s="15"/>
      <c r="I59" s="279">
        <v>381598.97</v>
      </c>
      <c r="J59" s="15"/>
      <c r="K59" s="306">
        <f>projekty[[#This Row],[Stĺpec9]]</f>
        <v>381598.97</v>
      </c>
      <c r="L59" s="20">
        <v>0</v>
      </c>
      <c r="M59" s="20">
        <v>0</v>
      </c>
      <c r="N59" s="20">
        <f>projekty[[#This Row],[Stĺpec12]]</f>
        <v>0</v>
      </c>
      <c r="O59" s="20">
        <v>0</v>
      </c>
      <c r="P59" s="20">
        <v>0</v>
      </c>
      <c r="Q59" s="20">
        <f>projekty[[#This Row],[Stĺpec15]]</f>
        <v>0</v>
      </c>
      <c r="R59" s="20">
        <v>10.29</v>
      </c>
      <c r="S59" s="20">
        <v>0</v>
      </c>
      <c r="T59" s="20">
        <f>projekty[[#This Row],[Stĺpec18]]</f>
        <v>10.29</v>
      </c>
      <c r="U59" s="20">
        <v>3</v>
      </c>
      <c r="V59" s="20">
        <v>0</v>
      </c>
      <c r="W59" s="20">
        <f>projekty[[#This Row],[Stĺpec21]]</f>
        <v>3</v>
      </c>
      <c r="X59" s="20">
        <v>3</v>
      </c>
      <c r="Y59" s="20">
        <v>0</v>
      </c>
      <c r="Z59" s="20">
        <f>projekty[[#This Row],[Stĺpec24]]</f>
        <v>3</v>
      </c>
      <c r="AA59" s="20">
        <v>1184.73</v>
      </c>
      <c r="AB59" s="20">
        <v>0</v>
      </c>
      <c r="AC59" s="20">
        <f>projekty[[#This Row],[Stĺpec27]]</f>
        <v>1184.73</v>
      </c>
      <c r="AD59" s="20">
        <v>163.482</v>
      </c>
      <c r="AE59" s="20">
        <v>0</v>
      </c>
      <c r="AF59" s="20">
        <f>projekty[[#This Row],[Stĺpec30]]</f>
        <v>163.482</v>
      </c>
      <c r="AG59" s="20">
        <v>271.02300000000002</v>
      </c>
      <c r="AH59" s="20">
        <v>0</v>
      </c>
      <c r="AI59" s="20">
        <f>projekty[[#This Row],[Stĺpec33]]</f>
        <v>271.02300000000002</v>
      </c>
      <c r="AJ59" s="20">
        <v>107541</v>
      </c>
      <c r="AK59" s="20">
        <v>0</v>
      </c>
      <c r="AL59" s="20">
        <f>projekty[[#This Row],[Stĺpec36]]</f>
        <v>107541</v>
      </c>
      <c r="AM59" s="20">
        <v>134549.7861</v>
      </c>
      <c r="AN59" s="20">
        <v>0</v>
      </c>
      <c r="AO59" s="20">
        <f>projekty[[#This Row],[Stĺpec39]]</f>
        <v>134549.7861</v>
      </c>
      <c r="AP59" s="20">
        <v>617</v>
      </c>
      <c r="AQ59" s="20">
        <v>0</v>
      </c>
      <c r="AR59" s="20">
        <f>projekty[[#This Row],[Stĺpec42]]</f>
        <v>617</v>
      </c>
      <c r="AS59" s="20">
        <v>3043</v>
      </c>
      <c r="AT59" s="20">
        <v>0</v>
      </c>
      <c r="AU59" s="20">
        <f>projekty[[#This Row],[Stĺpec45]]</f>
        <v>3043</v>
      </c>
      <c r="AV59" s="20">
        <v>1.4419999999999999</v>
      </c>
      <c r="AW59" s="20">
        <v>0</v>
      </c>
      <c r="AX59" s="20">
        <f>projekty[[#This Row],[Stĺpec48]]</f>
        <v>1.4419999999999999</v>
      </c>
      <c r="AY59" s="20">
        <v>246933.2739</v>
      </c>
      <c r="AZ59" s="20">
        <v>0</v>
      </c>
      <c r="BA59" s="20">
        <f>projekty[[#This Row],[Stĺpec51]]</f>
        <v>246933.2739</v>
      </c>
      <c r="BB59" s="20">
        <v>0</v>
      </c>
      <c r="BC59" s="20">
        <v>0</v>
      </c>
      <c r="BD59" s="20">
        <f>projekty[[#This Row],[Stĺpec54]]</f>
        <v>0</v>
      </c>
      <c r="BE59" s="20">
        <v>0</v>
      </c>
      <c r="BF59" s="20">
        <v>0</v>
      </c>
      <c r="BG59" s="20">
        <f>projekty[[#This Row],[Stĺpec57]]</f>
        <v>0</v>
      </c>
      <c r="BH59" s="20">
        <v>0</v>
      </c>
      <c r="BI59" s="28">
        <v>0</v>
      </c>
      <c r="BJ59" s="20">
        <f>projekty[[#This Row],[Stĺpec60]]</f>
        <v>0</v>
      </c>
    </row>
    <row r="60" spans="1:62" ht="15" x14ac:dyDescent="0.25">
      <c r="A60" s="27" t="s">
        <v>727</v>
      </c>
      <c r="B60" s="14" t="s">
        <v>2393</v>
      </c>
      <c r="C60" s="1" t="s">
        <v>829</v>
      </c>
      <c r="D60" s="18" t="s">
        <v>830</v>
      </c>
      <c r="E60" s="1" t="s">
        <v>1544</v>
      </c>
      <c r="F60" s="15">
        <v>42795</v>
      </c>
      <c r="G60" s="15">
        <v>43160</v>
      </c>
      <c r="H60" s="15"/>
      <c r="I60" s="279">
        <v>220387.52</v>
      </c>
      <c r="J60" s="15"/>
      <c r="K60" s="306">
        <f>projekty[[#This Row],[Stĺpec9]]</f>
        <v>220387.52</v>
      </c>
      <c r="L60" s="20">
        <v>0</v>
      </c>
      <c r="M60" s="20">
        <v>0</v>
      </c>
      <c r="N60" s="20">
        <f>projekty[[#This Row],[Stĺpec12]]</f>
        <v>0</v>
      </c>
      <c r="O60" s="20">
        <v>0</v>
      </c>
      <c r="P60" s="20">
        <v>0</v>
      </c>
      <c r="Q60" s="20">
        <f>projekty[[#This Row],[Stĺpec15]]</f>
        <v>0</v>
      </c>
      <c r="R60" s="20">
        <v>3.04E-2</v>
      </c>
      <c r="S60" s="20">
        <v>0</v>
      </c>
      <c r="T60" s="20">
        <f>projekty[[#This Row],[Stĺpec18]]</f>
        <v>3.04E-2</v>
      </c>
      <c r="U60" s="20">
        <v>1</v>
      </c>
      <c r="V60" s="20">
        <v>0</v>
      </c>
      <c r="W60" s="20">
        <f>projekty[[#This Row],[Stĺpec21]]</f>
        <v>1</v>
      </c>
      <c r="X60" s="20">
        <v>1</v>
      </c>
      <c r="Y60" s="20">
        <v>0</v>
      </c>
      <c r="Z60" s="20">
        <f>projekty[[#This Row],[Stĺpec24]]</f>
        <v>1</v>
      </c>
      <c r="AA60" s="20">
        <v>0</v>
      </c>
      <c r="AB60" s="20">
        <v>0</v>
      </c>
      <c r="AC60" s="20">
        <f>projekty[[#This Row],[Stĺpec27]]</f>
        <v>0</v>
      </c>
      <c r="AD60" s="20">
        <v>10.856999999999999</v>
      </c>
      <c r="AE60" s="20">
        <v>0</v>
      </c>
      <c r="AF60" s="20">
        <f>projekty[[#This Row],[Stĺpec30]]</f>
        <v>10.856999999999999</v>
      </c>
      <c r="AG60" s="20">
        <v>114.65</v>
      </c>
      <c r="AH60" s="20">
        <v>0</v>
      </c>
      <c r="AI60" s="20">
        <f>projekty[[#This Row],[Stĺpec33]]</f>
        <v>114.65</v>
      </c>
      <c r="AJ60" s="20">
        <v>103788</v>
      </c>
      <c r="AK60" s="20">
        <v>0</v>
      </c>
      <c r="AL60" s="20">
        <f>projekty[[#This Row],[Stĺpec36]]</f>
        <v>103788</v>
      </c>
      <c r="AM60" s="20">
        <v>112474.28</v>
      </c>
      <c r="AN60" s="20">
        <v>0</v>
      </c>
      <c r="AO60" s="20">
        <f>projekty[[#This Row],[Stĺpec39]]</f>
        <v>112474.28</v>
      </c>
      <c r="AP60" s="20">
        <v>16.5</v>
      </c>
      <c r="AQ60" s="20">
        <v>0</v>
      </c>
      <c r="AR60" s="20">
        <f>projekty[[#This Row],[Stĺpec42]]</f>
        <v>16.5</v>
      </c>
      <c r="AS60" s="20">
        <v>0</v>
      </c>
      <c r="AT60" s="20">
        <v>0</v>
      </c>
      <c r="AU60" s="20">
        <f>projekty[[#This Row],[Stĺpec45]]</f>
        <v>0</v>
      </c>
      <c r="AV60" s="20">
        <v>11.5</v>
      </c>
      <c r="AW60" s="20">
        <v>0</v>
      </c>
      <c r="AX60" s="20">
        <f>projekty[[#This Row],[Stĺpec48]]</f>
        <v>11.5</v>
      </c>
      <c r="AY60" s="20">
        <v>164788.34</v>
      </c>
      <c r="AZ60" s="20">
        <v>0</v>
      </c>
      <c r="BA60" s="20">
        <f>projekty[[#This Row],[Stĺpec51]]</f>
        <v>164788.34</v>
      </c>
      <c r="BB60" s="20">
        <v>0</v>
      </c>
      <c r="BC60" s="20">
        <v>0</v>
      </c>
      <c r="BD60" s="20">
        <f>projekty[[#This Row],[Stĺpec54]]</f>
        <v>0</v>
      </c>
      <c r="BE60" s="20">
        <v>0</v>
      </c>
      <c r="BF60" s="20">
        <v>0</v>
      </c>
      <c r="BG60" s="20">
        <f>projekty[[#This Row],[Stĺpec57]]</f>
        <v>0</v>
      </c>
      <c r="BH60" s="20">
        <v>0</v>
      </c>
      <c r="BI60" s="28">
        <v>0</v>
      </c>
      <c r="BJ60" s="20">
        <f>projekty[[#This Row],[Stĺpec60]]</f>
        <v>0</v>
      </c>
    </row>
    <row r="61" spans="1:62" ht="15" x14ac:dyDescent="0.25">
      <c r="A61" s="53" t="s">
        <v>717</v>
      </c>
      <c r="B61" s="14" t="s">
        <v>2393</v>
      </c>
      <c r="C61" s="1" t="s">
        <v>809</v>
      </c>
      <c r="D61" s="18" t="s">
        <v>810</v>
      </c>
      <c r="E61" s="1" t="s">
        <v>1544</v>
      </c>
      <c r="F61" s="15">
        <v>42826</v>
      </c>
      <c r="G61" s="15">
        <v>43160</v>
      </c>
      <c r="H61" s="15"/>
      <c r="I61" s="279">
        <v>303898.88</v>
      </c>
      <c r="J61" s="15"/>
      <c r="K61" s="306">
        <f>projekty[[#This Row],[Stĺpec9]]</f>
        <v>303898.88</v>
      </c>
      <c r="L61" s="19">
        <v>0</v>
      </c>
      <c r="M61" s="19">
        <v>0</v>
      </c>
      <c r="N61" s="19">
        <f>projekty[[#This Row],[Stĺpec12]]</f>
        <v>0</v>
      </c>
      <c r="O61" s="19">
        <v>14.2</v>
      </c>
      <c r="P61" s="19">
        <v>0</v>
      </c>
      <c r="Q61" s="19">
        <f>projekty[[#This Row],[Stĺpec15]]</f>
        <v>14.2</v>
      </c>
      <c r="R61" s="19">
        <v>9.6199999999999992</v>
      </c>
      <c r="S61" s="19">
        <v>0</v>
      </c>
      <c r="T61" s="19">
        <f>projekty[[#This Row],[Stĺpec18]]</f>
        <v>9.6199999999999992</v>
      </c>
      <c r="U61" s="19">
        <v>2</v>
      </c>
      <c r="V61" s="19">
        <v>0</v>
      </c>
      <c r="W61" s="19">
        <f>projekty[[#This Row],[Stĺpec21]]</f>
        <v>2</v>
      </c>
      <c r="X61" s="19">
        <v>1</v>
      </c>
      <c r="Y61" s="19">
        <v>0</v>
      </c>
      <c r="Z61" s="19">
        <f>projekty[[#This Row],[Stĺpec24]]</f>
        <v>1</v>
      </c>
      <c r="AA61" s="19">
        <v>545.52</v>
      </c>
      <c r="AB61" s="19">
        <v>0</v>
      </c>
      <c r="AC61" s="19">
        <f>projekty[[#This Row],[Stĺpec27]]</f>
        <v>545.52</v>
      </c>
      <c r="AD61" s="19">
        <v>26.003</v>
      </c>
      <c r="AE61" s="19">
        <v>0</v>
      </c>
      <c r="AF61" s="19">
        <f>projekty[[#This Row],[Stĺpec30]]</f>
        <v>26.003</v>
      </c>
      <c r="AG61" s="19">
        <v>61.393000000000001</v>
      </c>
      <c r="AH61" s="19">
        <v>0</v>
      </c>
      <c r="AI61" s="19">
        <f>projekty[[#This Row],[Stĺpec33]]</f>
        <v>61.393000000000001</v>
      </c>
      <c r="AJ61" s="19">
        <v>35390</v>
      </c>
      <c r="AK61" s="19">
        <v>0</v>
      </c>
      <c r="AL61" s="19">
        <f>projekty[[#This Row],[Stĺpec36]]</f>
        <v>35390</v>
      </c>
      <c r="AM61" s="20">
        <v>58410</v>
      </c>
      <c r="AN61" s="20">
        <v>0</v>
      </c>
      <c r="AO61" s="20">
        <f>projekty[[#This Row],[Stĺpec39]]</f>
        <v>58410</v>
      </c>
      <c r="AP61" s="20">
        <v>5.5987999999999998</v>
      </c>
      <c r="AQ61" s="20">
        <v>0</v>
      </c>
      <c r="AR61" s="20">
        <f>projekty[[#This Row],[Stĺpec42]]</f>
        <v>5.5987999999999998</v>
      </c>
      <c r="AS61" s="20">
        <v>0.28710000000000002</v>
      </c>
      <c r="AT61" s="20">
        <v>0</v>
      </c>
      <c r="AU61" s="20">
        <f>projekty[[#This Row],[Stĺpec45]]</f>
        <v>0.28710000000000002</v>
      </c>
      <c r="AV61" s="20">
        <v>3.44E-2</v>
      </c>
      <c r="AW61" s="20">
        <v>0</v>
      </c>
      <c r="AX61" s="20">
        <f>projekty[[#This Row],[Stĺpec48]]</f>
        <v>3.44E-2</v>
      </c>
      <c r="AY61" s="20">
        <v>38890</v>
      </c>
      <c r="AZ61" s="20">
        <v>0</v>
      </c>
      <c r="BA61" s="20">
        <f>projekty[[#This Row],[Stĺpec51]]</f>
        <v>38890</v>
      </c>
      <c r="BB61" s="20">
        <v>0</v>
      </c>
      <c r="BC61" s="20">
        <v>0</v>
      </c>
      <c r="BD61" s="20">
        <f>projekty[[#This Row],[Stĺpec54]]</f>
        <v>0</v>
      </c>
      <c r="BE61" s="20">
        <v>14.2</v>
      </c>
      <c r="BF61" s="20">
        <v>0</v>
      </c>
      <c r="BG61" s="20">
        <f>projekty[[#This Row],[Stĺpec57]]</f>
        <v>14.2</v>
      </c>
      <c r="BH61" s="20">
        <v>14.2</v>
      </c>
      <c r="BI61" s="28">
        <v>0</v>
      </c>
      <c r="BJ61" s="20">
        <f>projekty[[#This Row],[Stĺpec60]]</f>
        <v>14.2</v>
      </c>
    </row>
    <row r="62" spans="1:62" ht="15" x14ac:dyDescent="0.25">
      <c r="A62" s="27" t="s">
        <v>765</v>
      </c>
      <c r="B62" s="14" t="s">
        <v>2393</v>
      </c>
      <c r="C62" s="24" t="s">
        <v>905</v>
      </c>
      <c r="D62" s="18" t="s">
        <v>906</v>
      </c>
      <c r="E62" s="1" t="s">
        <v>1544</v>
      </c>
      <c r="F62" s="15">
        <v>42461</v>
      </c>
      <c r="G62" s="15">
        <v>43160</v>
      </c>
      <c r="H62" s="15"/>
      <c r="I62" s="279">
        <v>622580.53</v>
      </c>
      <c r="J62" s="15"/>
      <c r="K62" s="306">
        <f>projekty[[#This Row],[Stĺpec9]]</f>
        <v>622580.53</v>
      </c>
      <c r="L62" s="20">
        <v>0</v>
      </c>
      <c r="M62" s="20">
        <v>0</v>
      </c>
      <c r="N62" s="20">
        <f>projekty[[#This Row],[Stĺpec12]]</f>
        <v>0</v>
      </c>
      <c r="O62" s="20">
        <v>0</v>
      </c>
      <c r="P62" s="20">
        <v>0</v>
      </c>
      <c r="Q62" s="20">
        <f>projekty[[#This Row],[Stĺpec15]]</f>
        <v>0</v>
      </c>
      <c r="R62" s="20">
        <v>72.509</v>
      </c>
      <c r="S62" s="20">
        <v>0</v>
      </c>
      <c r="T62" s="20">
        <f>projekty[[#This Row],[Stĺpec18]]</f>
        <v>72.509</v>
      </c>
      <c r="U62" s="20">
        <v>5</v>
      </c>
      <c r="V62" s="20">
        <v>0</v>
      </c>
      <c r="W62" s="20">
        <f>projekty[[#This Row],[Stĺpec21]]</f>
        <v>5</v>
      </c>
      <c r="X62" s="20">
        <v>1</v>
      </c>
      <c r="Y62" s="20">
        <v>0</v>
      </c>
      <c r="Z62" s="20">
        <f>projekty[[#This Row],[Stĺpec24]]</f>
        <v>1</v>
      </c>
      <c r="AA62" s="20">
        <v>4293</v>
      </c>
      <c r="AB62" s="20">
        <v>0</v>
      </c>
      <c r="AC62" s="20">
        <f>projekty[[#This Row],[Stĺpec27]]</f>
        <v>4293</v>
      </c>
      <c r="AD62" s="20">
        <v>188.4</v>
      </c>
      <c r="AE62" s="20">
        <v>0</v>
      </c>
      <c r="AF62" s="20">
        <f>projekty[[#This Row],[Stĺpec30]]</f>
        <v>188.4</v>
      </c>
      <c r="AG62" s="20">
        <v>347.18</v>
      </c>
      <c r="AH62" s="20">
        <v>0</v>
      </c>
      <c r="AI62" s="20">
        <f>projekty[[#This Row],[Stĺpec33]]</f>
        <v>347.18</v>
      </c>
      <c r="AJ62" s="20">
        <v>164202</v>
      </c>
      <c r="AK62" s="20">
        <v>0</v>
      </c>
      <c r="AL62" s="20">
        <f>projekty[[#This Row],[Stĺpec36]]</f>
        <v>164202</v>
      </c>
      <c r="AM62" s="20">
        <v>240052</v>
      </c>
      <c r="AN62" s="20">
        <v>0</v>
      </c>
      <c r="AO62" s="20">
        <f>projekty[[#This Row],[Stĺpec39]]</f>
        <v>240052</v>
      </c>
      <c r="AP62" s="20">
        <v>4</v>
      </c>
      <c r="AQ62" s="20">
        <v>0</v>
      </c>
      <c r="AR62" s="20">
        <f>projekty[[#This Row],[Stĺpec42]]</f>
        <v>4</v>
      </c>
      <c r="AS62" s="20">
        <v>1</v>
      </c>
      <c r="AT62" s="20">
        <v>0</v>
      </c>
      <c r="AU62" s="20">
        <f>projekty[[#This Row],[Stĺpec45]]</f>
        <v>1</v>
      </c>
      <c r="AV62" s="20">
        <v>4</v>
      </c>
      <c r="AW62" s="20">
        <v>0</v>
      </c>
      <c r="AX62" s="20">
        <f>projekty[[#This Row],[Stĺpec48]]</f>
        <v>4</v>
      </c>
      <c r="AY62" s="20">
        <v>240783</v>
      </c>
      <c r="AZ62" s="20">
        <v>0</v>
      </c>
      <c r="BA62" s="20">
        <f>projekty[[#This Row],[Stĺpec51]]</f>
        <v>240783</v>
      </c>
      <c r="BB62" s="20">
        <v>0</v>
      </c>
      <c r="BC62" s="20">
        <v>0</v>
      </c>
      <c r="BD62" s="20">
        <f>projekty[[#This Row],[Stĺpec54]]</f>
        <v>0</v>
      </c>
      <c r="BE62" s="20">
        <v>0</v>
      </c>
      <c r="BF62" s="20">
        <v>0</v>
      </c>
      <c r="BG62" s="20">
        <f>projekty[[#This Row],[Stĺpec57]]</f>
        <v>0</v>
      </c>
      <c r="BH62" s="20">
        <v>0</v>
      </c>
      <c r="BI62" s="28">
        <v>0</v>
      </c>
      <c r="BJ62" s="20">
        <f>projekty[[#This Row],[Stĺpec60]]</f>
        <v>0</v>
      </c>
    </row>
    <row r="63" spans="1:62" ht="15" x14ac:dyDescent="0.25">
      <c r="A63" s="27" t="s">
        <v>783</v>
      </c>
      <c r="B63" s="14" t="s">
        <v>2393</v>
      </c>
      <c r="C63" s="1" t="s">
        <v>939</v>
      </c>
      <c r="D63" s="18" t="s">
        <v>940</v>
      </c>
      <c r="E63" s="1" t="s">
        <v>1544</v>
      </c>
      <c r="F63" s="15">
        <v>42491</v>
      </c>
      <c r="G63" s="15">
        <v>43191</v>
      </c>
      <c r="H63" s="15"/>
      <c r="I63" s="279">
        <v>340116.66</v>
      </c>
      <c r="J63" s="15"/>
      <c r="K63" s="306">
        <f>projekty[[#This Row],[Stĺpec9]]</f>
        <v>340116.66</v>
      </c>
      <c r="L63" s="20">
        <v>0</v>
      </c>
      <c r="M63" s="20">
        <v>0</v>
      </c>
      <c r="N63" s="20">
        <f>projekty[[#This Row],[Stĺpec12]]</f>
        <v>0</v>
      </c>
      <c r="O63" s="20">
        <v>0</v>
      </c>
      <c r="P63" s="20">
        <v>0</v>
      </c>
      <c r="Q63" s="20">
        <f>projekty[[#This Row],[Stĺpec15]]</f>
        <v>0</v>
      </c>
      <c r="R63" s="20">
        <v>24.93</v>
      </c>
      <c r="S63" s="20">
        <v>0</v>
      </c>
      <c r="T63" s="20">
        <f>projekty[[#This Row],[Stĺpec18]]</f>
        <v>24.93</v>
      </c>
      <c r="U63" s="20">
        <v>5</v>
      </c>
      <c r="V63" s="20">
        <v>0</v>
      </c>
      <c r="W63" s="20">
        <f>projekty[[#This Row],[Stĺpec21]]</f>
        <v>5</v>
      </c>
      <c r="X63" s="20">
        <v>1</v>
      </c>
      <c r="Y63" s="20">
        <v>0</v>
      </c>
      <c r="Z63" s="20">
        <f>projekty[[#This Row],[Stĺpec24]]</f>
        <v>1</v>
      </c>
      <c r="AA63" s="20">
        <v>676.62</v>
      </c>
      <c r="AB63" s="20">
        <v>0</v>
      </c>
      <c r="AC63" s="20">
        <f>projekty[[#This Row],[Stĺpec27]]</f>
        <v>676.62</v>
      </c>
      <c r="AD63" s="20">
        <v>98.849000000000004</v>
      </c>
      <c r="AE63" s="20">
        <v>0</v>
      </c>
      <c r="AF63" s="20">
        <f>projekty[[#This Row],[Stĺpec30]]</f>
        <v>98.849000000000004</v>
      </c>
      <c r="AG63" s="20">
        <v>123.639</v>
      </c>
      <c r="AH63" s="20">
        <v>0</v>
      </c>
      <c r="AI63" s="20">
        <f>projekty[[#This Row],[Stĺpec33]]</f>
        <v>123.639</v>
      </c>
      <c r="AJ63" s="20">
        <v>24790</v>
      </c>
      <c r="AK63" s="20">
        <v>0</v>
      </c>
      <c r="AL63" s="20">
        <f>projekty[[#This Row],[Stĺpec36]]</f>
        <v>24790</v>
      </c>
      <c r="AM63" s="20">
        <v>106838.3</v>
      </c>
      <c r="AN63" s="20">
        <v>0</v>
      </c>
      <c r="AO63" s="20">
        <f>projekty[[#This Row],[Stĺpec39]]</f>
        <v>106838.3</v>
      </c>
      <c r="AP63" s="20">
        <v>15</v>
      </c>
      <c r="AQ63" s="20">
        <v>0</v>
      </c>
      <c r="AR63" s="20">
        <f>projekty[[#This Row],[Stĺpec42]]</f>
        <v>15</v>
      </c>
      <c r="AS63" s="20">
        <v>0.7</v>
      </c>
      <c r="AT63" s="20">
        <v>0</v>
      </c>
      <c r="AU63" s="20">
        <f>projekty[[#This Row],[Stĺpec45]]</f>
        <v>0.7</v>
      </c>
      <c r="AV63" s="20">
        <v>0</v>
      </c>
      <c r="AW63" s="20">
        <v>0</v>
      </c>
      <c r="AX63" s="20">
        <f>projekty[[#This Row],[Stĺpec48]]</f>
        <v>0</v>
      </c>
      <c r="AY63" s="20">
        <v>157530.66</v>
      </c>
      <c r="AZ63" s="20">
        <v>0</v>
      </c>
      <c r="BA63" s="20">
        <f>projekty[[#This Row],[Stĺpec51]]</f>
        <v>157530.66</v>
      </c>
      <c r="BB63" s="20">
        <v>0</v>
      </c>
      <c r="BC63" s="20">
        <v>0</v>
      </c>
      <c r="BD63" s="20">
        <f>projekty[[#This Row],[Stĺpec54]]</f>
        <v>0</v>
      </c>
      <c r="BE63" s="20">
        <v>6.0000000000000001E-3</v>
      </c>
      <c r="BF63" s="20">
        <v>0</v>
      </c>
      <c r="BG63" s="20">
        <f>projekty[[#This Row],[Stĺpec57]]</f>
        <v>6.0000000000000001E-3</v>
      </c>
      <c r="BH63" s="20">
        <v>6.0000000000000001E-3</v>
      </c>
      <c r="BI63" s="28">
        <v>0</v>
      </c>
      <c r="BJ63" s="20">
        <f>projekty[[#This Row],[Stĺpec60]]</f>
        <v>6.0000000000000001E-3</v>
      </c>
    </row>
    <row r="64" spans="1:62" ht="15" x14ac:dyDescent="0.25">
      <c r="A64" s="27" t="s">
        <v>788</v>
      </c>
      <c r="B64" s="14" t="s">
        <v>2393</v>
      </c>
      <c r="C64" s="1" t="s">
        <v>949</v>
      </c>
      <c r="D64" s="18" t="s">
        <v>950</v>
      </c>
      <c r="E64" s="1" t="s">
        <v>1544</v>
      </c>
      <c r="F64" s="15">
        <v>42826</v>
      </c>
      <c r="G64" s="15">
        <v>43191</v>
      </c>
      <c r="H64" s="15"/>
      <c r="I64" s="279">
        <v>161482.43</v>
      </c>
      <c r="J64" s="15"/>
      <c r="K64" s="306">
        <f>projekty[[#This Row],[Stĺpec9]]</f>
        <v>161482.43</v>
      </c>
      <c r="L64" s="20">
        <v>0</v>
      </c>
      <c r="M64" s="20">
        <v>0</v>
      </c>
      <c r="N64" s="20">
        <f>projekty[[#This Row],[Stĺpec12]]</f>
        <v>0</v>
      </c>
      <c r="O64" s="20">
        <v>13.2</v>
      </c>
      <c r="P64" s="20">
        <v>0</v>
      </c>
      <c r="Q64" s="20">
        <f>projekty[[#This Row],[Stĺpec15]]</f>
        <v>13.2</v>
      </c>
      <c r="R64" s="20">
        <v>9.3800000000000008</v>
      </c>
      <c r="S64" s="20">
        <v>0</v>
      </c>
      <c r="T64" s="20">
        <f>projekty[[#This Row],[Stĺpec18]]</f>
        <v>9.3800000000000008</v>
      </c>
      <c r="U64" s="20">
        <v>4</v>
      </c>
      <c r="V64" s="20">
        <v>0</v>
      </c>
      <c r="W64" s="20">
        <f>projekty[[#This Row],[Stĺpec21]]</f>
        <v>4</v>
      </c>
      <c r="X64" s="20">
        <v>1</v>
      </c>
      <c r="Y64" s="20">
        <v>0</v>
      </c>
      <c r="Z64" s="20">
        <f>projekty[[#This Row],[Stĺpec24]]</f>
        <v>1</v>
      </c>
      <c r="AA64" s="20">
        <v>554.5</v>
      </c>
      <c r="AB64" s="20">
        <v>0</v>
      </c>
      <c r="AC64" s="20">
        <f>projekty[[#This Row],[Stĺpec27]]</f>
        <v>554.5</v>
      </c>
      <c r="AD64" s="20">
        <v>81.123400000000004</v>
      </c>
      <c r="AE64" s="20">
        <v>0</v>
      </c>
      <c r="AF64" s="20">
        <f>projekty[[#This Row],[Stĺpec30]]</f>
        <v>81.123400000000004</v>
      </c>
      <c r="AG64" s="20">
        <v>145.11269999999999</v>
      </c>
      <c r="AH64" s="20">
        <v>0</v>
      </c>
      <c r="AI64" s="20">
        <f>projekty[[#This Row],[Stĺpec33]]</f>
        <v>145.11269999999999</v>
      </c>
      <c r="AJ64" s="20">
        <v>53731.05</v>
      </c>
      <c r="AK64" s="20">
        <v>0</v>
      </c>
      <c r="AL64" s="20">
        <f>projekty[[#This Row],[Stĺpec36]]</f>
        <v>53731.05</v>
      </c>
      <c r="AM64" s="20">
        <v>53731.05</v>
      </c>
      <c r="AN64" s="20">
        <v>0</v>
      </c>
      <c r="AO64" s="20">
        <f>projekty[[#This Row],[Stĺpec39]]</f>
        <v>53731.05</v>
      </c>
      <c r="AP64" s="20">
        <v>7.9409999999999998</v>
      </c>
      <c r="AQ64" s="20">
        <v>0</v>
      </c>
      <c r="AR64" s="20">
        <f>projekty[[#This Row],[Stĺpec42]]</f>
        <v>7.9409999999999998</v>
      </c>
      <c r="AS64" s="20">
        <v>0.40799999999999997</v>
      </c>
      <c r="AT64" s="20">
        <v>0</v>
      </c>
      <c r="AU64" s="20">
        <f>projekty[[#This Row],[Stĺpec45]]</f>
        <v>0.40799999999999997</v>
      </c>
      <c r="AV64" s="20">
        <v>4.9000000000000002E-2</v>
      </c>
      <c r="AW64" s="20">
        <v>0</v>
      </c>
      <c r="AX64" s="20">
        <f>projekty[[#This Row],[Stĺpec48]]</f>
        <v>4.9000000000000002E-2</v>
      </c>
      <c r="AY64" s="20">
        <v>63989.3</v>
      </c>
      <c r="AZ64" s="20">
        <v>0</v>
      </c>
      <c r="BA64" s="20">
        <f>projekty[[#This Row],[Stĺpec51]]</f>
        <v>63989.3</v>
      </c>
      <c r="BB64" s="20">
        <v>0</v>
      </c>
      <c r="BC64" s="20">
        <v>0</v>
      </c>
      <c r="BD64" s="20">
        <f>projekty[[#This Row],[Stĺpec54]]</f>
        <v>0</v>
      </c>
      <c r="BE64" s="20">
        <v>13.2</v>
      </c>
      <c r="BF64" s="20">
        <v>0</v>
      </c>
      <c r="BG64" s="20">
        <f>projekty[[#This Row],[Stĺpec57]]</f>
        <v>13.2</v>
      </c>
      <c r="BH64" s="20">
        <v>13.2</v>
      </c>
      <c r="BI64" s="28">
        <v>0</v>
      </c>
      <c r="BJ64" s="20">
        <f>projekty[[#This Row],[Stĺpec60]]</f>
        <v>13.2</v>
      </c>
    </row>
    <row r="65" spans="1:62" ht="15" x14ac:dyDescent="0.25">
      <c r="A65" s="27" t="s">
        <v>785</v>
      </c>
      <c r="B65" s="14" t="s">
        <v>2393</v>
      </c>
      <c r="C65" s="1" t="s">
        <v>943</v>
      </c>
      <c r="D65" s="18" t="s">
        <v>944</v>
      </c>
      <c r="E65" s="1" t="s">
        <v>1544</v>
      </c>
      <c r="F65" s="15">
        <v>42856</v>
      </c>
      <c r="G65" s="15">
        <v>43221</v>
      </c>
      <c r="H65" s="15"/>
      <c r="I65" s="279">
        <v>791465.13</v>
      </c>
      <c r="J65" s="15"/>
      <c r="K65" s="306">
        <f>projekty[[#This Row],[Stĺpec9]]</f>
        <v>791465.13</v>
      </c>
      <c r="L65" s="20">
        <v>0</v>
      </c>
      <c r="M65" s="20">
        <v>0</v>
      </c>
      <c r="N65" s="20">
        <f>projekty[[#This Row],[Stĺpec12]]</f>
        <v>0</v>
      </c>
      <c r="O65" s="20">
        <v>0</v>
      </c>
      <c r="P65" s="20">
        <v>0</v>
      </c>
      <c r="Q65" s="20">
        <f>projekty[[#This Row],[Stĺpec15]]</f>
        <v>0</v>
      </c>
      <c r="R65" s="20">
        <v>48.872</v>
      </c>
      <c r="S65" s="20">
        <v>0</v>
      </c>
      <c r="T65" s="20">
        <f>projekty[[#This Row],[Stĺpec18]]</f>
        <v>48.872</v>
      </c>
      <c r="U65" s="20">
        <v>4</v>
      </c>
      <c r="V65" s="20">
        <v>0</v>
      </c>
      <c r="W65" s="20">
        <f>projekty[[#This Row],[Stĺpec21]]</f>
        <v>4</v>
      </c>
      <c r="X65" s="20">
        <v>1</v>
      </c>
      <c r="Y65" s="20">
        <v>0</v>
      </c>
      <c r="Z65" s="20">
        <f>projekty[[#This Row],[Stĺpec24]]</f>
        <v>1</v>
      </c>
      <c r="AA65" s="20">
        <v>1724</v>
      </c>
      <c r="AB65" s="20">
        <v>0</v>
      </c>
      <c r="AC65" s="20">
        <f>projekty[[#This Row],[Stĺpec27]]</f>
        <v>1724</v>
      </c>
      <c r="AD65" s="20">
        <v>77.7</v>
      </c>
      <c r="AE65" s="20">
        <v>0</v>
      </c>
      <c r="AF65" s="20">
        <f>projekty[[#This Row],[Stĺpec30]]</f>
        <v>77.7</v>
      </c>
      <c r="AG65" s="20">
        <v>253.5</v>
      </c>
      <c r="AH65" s="20">
        <v>0</v>
      </c>
      <c r="AI65" s="20">
        <f>projekty[[#This Row],[Stĺpec33]]</f>
        <v>253.5</v>
      </c>
      <c r="AJ65" s="20">
        <v>175800</v>
      </c>
      <c r="AK65" s="20">
        <v>0</v>
      </c>
      <c r="AL65" s="20">
        <f>projekty[[#This Row],[Stĺpec36]]</f>
        <v>175800</v>
      </c>
      <c r="AM65" s="20">
        <v>175769.1</v>
      </c>
      <c r="AN65" s="20">
        <v>0</v>
      </c>
      <c r="AO65" s="20">
        <f>projekty[[#This Row],[Stĺpec39]]</f>
        <v>175769.1</v>
      </c>
      <c r="AP65" s="20">
        <v>89</v>
      </c>
      <c r="AQ65" s="20">
        <v>0</v>
      </c>
      <c r="AR65" s="20">
        <f>projekty[[#This Row],[Stĺpec42]]</f>
        <v>89</v>
      </c>
      <c r="AS65" s="20">
        <v>2</v>
      </c>
      <c r="AT65" s="20">
        <v>0</v>
      </c>
      <c r="AU65" s="20">
        <f>projekty[[#This Row],[Stĺpec45]]</f>
        <v>2</v>
      </c>
      <c r="AV65" s="20">
        <v>10</v>
      </c>
      <c r="AW65" s="20">
        <v>0</v>
      </c>
      <c r="AX65" s="20">
        <f>projekty[[#This Row],[Stĺpec48]]</f>
        <v>10</v>
      </c>
      <c r="AY65" s="20">
        <v>255148</v>
      </c>
      <c r="AZ65" s="20">
        <v>0</v>
      </c>
      <c r="BA65" s="20">
        <f>projekty[[#This Row],[Stĺpec51]]</f>
        <v>255148</v>
      </c>
      <c r="BB65" s="20">
        <v>0</v>
      </c>
      <c r="BC65" s="20">
        <v>0</v>
      </c>
      <c r="BD65" s="20">
        <f>projekty[[#This Row],[Stĺpec54]]</f>
        <v>0</v>
      </c>
      <c r="BE65" s="20">
        <v>0</v>
      </c>
      <c r="BF65" s="20">
        <v>0</v>
      </c>
      <c r="BG65" s="20">
        <f>projekty[[#This Row],[Stĺpec57]]</f>
        <v>0</v>
      </c>
      <c r="BH65" s="20">
        <v>0</v>
      </c>
      <c r="BI65" s="28">
        <v>0</v>
      </c>
      <c r="BJ65" s="20">
        <f>projekty[[#This Row],[Stĺpec60]]</f>
        <v>0</v>
      </c>
    </row>
    <row r="66" spans="1:62" ht="15" x14ac:dyDescent="0.25">
      <c r="A66" s="27" t="s">
        <v>766</v>
      </c>
      <c r="B66" s="14" t="s">
        <v>2393</v>
      </c>
      <c r="C66" s="24" t="s">
        <v>907</v>
      </c>
      <c r="D66" s="18" t="s">
        <v>908</v>
      </c>
      <c r="E66" s="1" t="s">
        <v>1544</v>
      </c>
      <c r="F66" s="15">
        <v>42552</v>
      </c>
      <c r="G66" s="15">
        <v>43252</v>
      </c>
      <c r="H66" s="15"/>
      <c r="I66" s="279">
        <v>2004796.87</v>
      </c>
      <c r="J66" s="15"/>
      <c r="K66" s="306">
        <f>projekty[[#This Row],[Stĺpec9]]</f>
        <v>2004796.87</v>
      </c>
      <c r="L66" s="20">
        <v>10</v>
      </c>
      <c r="M66" s="20">
        <v>0</v>
      </c>
      <c r="N66" s="20">
        <f>projekty[[#This Row],[Stĺpec12]]</f>
        <v>10</v>
      </c>
      <c r="O66" s="20">
        <v>0</v>
      </c>
      <c r="P66" s="20">
        <v>0</v>
      </c>
      <c r="Q66" s="20">
        <f>projekty[[#This Row],[Stĺpec15]]</f>
        <v>0</v>
      </c>
      <c r="R66" s="20">
        <v>128.262</v>
      </c>
      <c r="S66" s="20">
        <v>0</v>
      </c>
      <c r="T66" s="20">
        <f>projekty[[#This Row],[Stĺpec18]]</f>
        <v>128.262</v>
      </c>
      <c r="U66" s="20">
        <v>4</v>
      </c>
      <c r="V66" s="20">
        <v>0</v>
      </c>
      <c r="W66" s="20">
        <f>projekty[[#This Row],[Stĺpec21]]</f>
        <v>4</v>
      </c>
      <c r="X66" s="20">
        <v>1</v>
      </c>
      <c r="Y66" s="20">
        <v>0</v>
      </c>
      <c r="Z66" s="20">
        <f>projekty[[#This Row],[Stĺpec24]]</f>
        <v>1</v>
      </c>
      <c r="AA66" s="20">
        <v>7467.2</v>
      </c>
      <c r="AB66" s="20">
        <v>0</v>
      </c>
      <c r="AC66" s="20">
        <f>projekty[[#This Row],[Stĺpec27]]</f>
        <v>7467.2</v>
      </c>
      <c r="AD66" s="20">
        <v>418.33100000000002</v>
      </c>
      <c r="AE66" s="20">
        <v>0</v>
      </c>
      <c r="AF66" s="20">
        <f>projekty[[#This Row],[Stĺpec30]]</f>
        <v>418.33100000000002</v>
      </c>
      <c r="AG66" s="20">
        <v>874.25900000000001</v>
      </c>
      <c r="AH66" s="20">
        <v>874.25900000000001</v>
      </c>
      <c r="AI66" s="20">
        <f>projekty[[#This Row],[Stĺpec33]]</f>
        <v>874.25900000000001</v>
      </c>
      <c r="AJ66" s="20">
        <v>455.92899999999997</v>
      </c>
      <c r="AK66" s="20">
        <v>0</v>
      </c>
      <c r="AL66" s="20">
        <f>projekty[[#This Row],[Stĺpec36]]</f>
        <v>455.92899999999997</v>
      </c>
      <c r="AM66" s="20">
        <v>723123.64800000004</v>
      </c>
      <c r="AN66" s="20">
        <v>0</v>
      </c>
      <c r="AO66" s="20">
        <f>projekty[[#This Row],[Stĺpec39]]</f>
        <v>723123.64800000004</v>
      </c>
      <c r="AP66" s="20">
        <v>75</v>
      </c>
      <c r="AQ66" s="20">
        <v>0</v>
      </c>
      <c r="AR66" s="20">
        <f>projekty[[#This Row],[Stĺpec42]]</f>
        <v>75</v>
      </c>
      <c r="AS66" s="20">
        <v>4</v>
      </c>
      <c r="AT66" s="20">
        <v>0</v>
      </c>
      <c r="AU66" s="20">
        <f>projekty[[#This Row],[Stĺpec45]]</f>
        <v>4</v>
      </c>
      <c r="AV66" s="20">
        <v>2</v>
      </c>
      <c r="AW66" s="20">
        <v>0</v>
      </c>
      <c r="AX66" s="20">
        <f>projekty[[#This Row],[Stĺpec48]]</f>
        <v>2</v>
      </c>
      <c r="AY66" s="20">
        <v>1025394.53</v>
      </c>
      <c r="AZ66" s="20">
        <v>0</v>
      </c>
      <c r="BA66" s="20">
        <f>projekty[[#This Row],[Stĺpec51]]</f>
        <v>1025394.53</v>
      </c>
      <c r="BB66" s="20">
        <v>9.7000000000000003E-3</v>
      </c>
      <c r="BC66" s="20">
        <v>0</v>
      </c>
      <c r="BD66" s="20">
        <f>projekty[[#This Row],[Stĺpec54]]</f>
        <v>9.7000000000000003E-3</v>
      </c>
      <c r="BE66" s="20">
        <v>9.7000000000000003E-3</v>
      </c>
      <c r="BF66" s="20">
        <v>0</v>
      </c>
      <c r="BG66" s="20">
        <f>projekty[[#This Row],[Stĺpec57]]</f>
        <v>9.7000000000000003E-3</v>
      </c>
      <c r="BH66" s="20">
        <v>0</v>
      </c>
      <c r="BI66" s="28">
        <v>0</v>
      </c>
      <c r="BJ66" s="20">
        <f>projekty[[#This Row],[Stĺpec60]]</f>
        <v>0</v>
      </c>
    </row>
    <row r="67" spans="1:62" ht="15" x14ac:dyDescent="0.25">
      <c r="A67" s="27" t="s">
        <v>744</v>
      </c>
      <c r="B67" s="14" t="s">
        <v>2393</v>
      </c>
      <c r="C67" s="1" t="s">
        <v>863</v>
      </c>
      <c r="D67" s="18" t="s">
        <v>864</v>
      </c>
      <c r="E67" s="1" t="s">
        <v>1544</v>
      </c>
      <c r="F67" s="15">
        <v>42552</v>
      </c>
      <c r="G67" s="15">
        <v>43252</v>
      </c>
      <c r="H67" s="15"/>
      <c r="I67" s="279">
        <v>165976.93</v>
      </c>
      <c r="J67" s="15"/>
      <c r="K67" s="306">
        <f>projekty[[#This Row],[Stĺpec9]]</f>
        <v>165976.93</v>
      </c>
      <c r="L67" s="20">
        <v>0</v>
      </c>
      <c r="M67" s="20">
        <v>0</v>
      </c>
      <c r="N67" s="20">
        <f>projekty[[#This Row],[Stĺpec12]]</f>
        <v>0</v>
      </c>
      <c r="O67" s="20">
        <v>0</v>
      </c>
      <c r="P67" s="20">
        <v>0</v>
      </c>
      <c r="Q67" s="20">
        <f>projekty[[#This Row],[Stĺpec15]]</f>
        <v>0</v>
      </c>
      <c r="R67" s="20">
        <v>10.17</v>
      </c>
      <c r="S67" s="20">
        <v>0</v>
      </c>
      <c r="T67" s="20">
        <f>projekty[[#This Row],[Stĺpec18]]</f>
        <v>10.17</v>
      </c>
      <c r="U67" s="20">
        <v>2</v>
      </c>
      <c r="V67" s="20">
        <v>0</v>
      </c>
      <c r="W67" s="20">
        <f>projekty[[#This Row],[Stĺpec21]]</f>
        <v>2</v>
      </c>
      <c r="X67" s="20">
        <v>1</v>
      </c>
      <c r="Y67" s="20">
        <v>0</v>
      </c>
      <c r="Z67" s="20">
        <f>projekty[[#This Row],[Stĺpec24]]</f>
        <v>1</v>
      </c>
      <c r="AA67" s="20">
        <v>244.01</v>
      </c>
      <c r="AB67" s="20">
        <v>0</v>
      </c>
      <c r="AC67" s="20">
        <f>projekty[[#This Row],[Stĺpec27]]</f>
        <v>244.01</v>
      </c>
      <c r="AD67" s="20">
        <v>14.261699999999999</v>
      </c>
      <c r="AE67" s="20">
        <v>0</v>
      </c>
      <c r="AF67" s="20">
        <f>projekty[[#This Row],[Stĺpec30]]</f>
        <v>14.261699999999999</v>
      </c>
      <c r="AG67" s="20">
        <v>50.878399999999999</v>
      </c>
      <c r="AH67" s="20">
        <v>0</v>
      </c>
      <c r="AI67" s="20">
        <f>projekty[[#This Row],[Stĺpec33]]</f>
        <v>50.878399999999999</v>
      </c>
      <c r="AJ67" s="20">
        <v>0</v>
      </c>
      <c r="AK67" s="20">
        <v>0</v>
      </c>
      <c r="AL67" s="20">
        <f>projekty[[#This Row],[Stĺpec36]]</f>
        <v>0</v>
      </c>
      <c r="AM67" s="20">
        <v>36616.699999999997</v>
      </c>
      <c r="AN67" s="20">
        <v>0</v>
      </c>
      <c r="AO67" s="20">
        <f>projekty[[#This Row],[Stĺpec39]]</f>
        <v>36616.699999999997</v>
      </c>
      <c r="AP67" s="20">
        <v>0.91500000000000004</v>
      </c>
      <c r="AQ67" s="20">
        <v>0</v>
      </c>
      <c r="AR67" s="20">
        <f>projekty[[#This Row],[Stĺpec42]]</f>
        <v>0.91500000000000004</v>
      </c>
      <c r="AS67" s="20">
        <v>1.4E-2</v>
      </c>
      <c r="AT67" s="20">
        <v>0</v>
      </c>
      <c r="AU67" s="20">
        <f>projekty[[#This Row],[Stĺpec45]]</f>
        <v>1.4E-2</v>
      </c>
      <c r="AV67" s="20">
        <v>0.15</v>
      </c>
      <c r="AW67" s="20">
        <v>0</v>
      </c>
      <c r="AX67" s="20">
        <f>projekty[[#This Row],[Stĺpec48]]</f>
        <v>0.15</v>
      </c>
      <c r="AY67" s="20">
        <v>51312.86</v>
      </c>
      <c r="AZ67" s="20">
        <v>0</v>
      </c>
      <c r="BA67" s="20">
        <f>projekty[[#This Row],[Stĺpec51]]</f>
        <v>51312.86</v>
      </c>
      <c r="BB67" s="20">
        <v>0</v>
      </c>
      <c r="BC67" s="20">
        <v>0</v>
      </c>
      <c r="BD67" s="20">
        <f>projekty[[#This Row],[Stĺpec54]]</f>
        <v>0</v>
      </c>
      <c r="BE67" s="20">
        <v>0</v>
      </c>
      <c r="BF67" s="20">
        <v>0</v>
      </c>
      <c r="BG67" s="20">
        <f>projekty[[#This Row],[Stĺpec57]]</f>
        <v>0</v>
      </c>
      <c r="BH67" s="20">
        <v>0</v>
      </c>
      <c r="BI67" s="28">
        <v>0</v>
      </c>
      <c r="BJ67" s="20">
        <f>projekty[[#This Row],[Stĺpec60]]</f>
        <v>0</v>
      </c>
    </row>
    <row r="68" spans="1:62" ht="15" x14ac:dyDescent="0.25">
      <c r="A68" s="27" t="s">
        <v>756</v>
      </c>
      <c r="B68" s="14" t="s">
        <v>2393</v>
      </c>
      <c r="C68" s="1" t="s">
        <v>887</v>
      </c>
      <c r="D68" s="18" t="s">
        <v>888</v>
      </c>
      <c r="E68" s="1" t="s">
        <v>1544</v>
      </c>
      <c r="F68" s="15">
        <v>42552</v>
      </c>
      <c r="G68" s="15">
        <v>43252</v>
      </c>
      <c r="H68" s="15"/>
      <c r="I68" s="279">
        <v>279304.8</v>
      </c>
      <c r="J68" s="15"/>
      <c r="K68" s="306">
        <f>projekty[[#This Row],[Stĺpec9]]</f>
        <v>279304.8</v>
      </c>
      <c r="L68" s="20">
        <v>0</v>
      </c>
      <c r="M68" s="20">
        <v>0</v>
      </c>
      <c r="N68" s="20">
        <f>projekty[[#This Row],[Stĺpec12]]</f>
        <v>0</v>
      </c>
      <c r="O68" s="20">
        <v>0</v>
      </c>
      <c r="P68" s="20">
        <v>0</v>
      </c>
      <c r="Q68" s="20">
        <f>projekty[[#This Row],[Stĺpec15]]</f>
        <v>0</v>
      </c>
      <c r="R68" s="20">
        <v>41.4</v>
      </c>
      <c r="S68" s="20">
        <v>0</v>
      </c>
      <c r="T68" s="20">
        <f>projekty[[#This Row],[Stĺpec18]]</f>
        <v>41.4</v>
      </c>
      <c r="U68" s="20">
        <v>4</v>
      </c>
      <c r="V68" s="20">
        <v>0</v>
      </c>
      <c r="W68" s="20">
        <f>projekty[[#This Row],[Stĺpec21]]</f>
        <v>4</v>
      </c>
      <c r="X68" s="20">
        <v>1</v>
      </c>
      <c r="Y68" s="20">
        <v>0</v>
      </c>
      <c r="Z68" s="20">
        <f>projekty[[#This Row],[Stĺpec24]]</f>
        <v>1</v>
      </c>
      <c r="AA68" s="20">
        <v>1093.67</v>
      </c>
      <c r="AB68" s="20">
        <v>0</v>
      </c>
      <c r="AC68" s="20">
        <f>projekty[[#This Row],[Stĺpec27]]</f>
        <v>1093.67</v>
      </c>
      <c r="AD68" s="20">
        <v>45.555999999999997</v>
      </c>
      <c r="AE68" s="20">
        <v>0</v>
      </c>
      <c r="AF68" s="20">
        <f>projekty[[#This Row],[Stĺpec30]]</f>
        <v>45.555999999999997</v>
      </c>
      <c r="AG68" s="20">
        <v>195.655</v>
      </c>
      <c r="AH68" s="20">
        <v>0</v>
      </c>
      <c r="AI68" s="20">
        <f>projekty[[#This Row],[Stĺpec33]]</f>
        <v>195.655</v>
      </c>
      <c r="AJ68" s="20">
        <v>150099</v>
      </c>
      <c r="AK68" s="20">
        <v>0</v>
      </c>
      <c r="AL68" s="20">
        <f>projekty[[#This Row],[Stĺpec36]]</f>
        <v>150099</v>
      </c>
      <c r="AM68" s="20">
        <v>220597.45</v>
      </c>
      <c r="AN68" s="20">
        <v>0</v>
      </c>
      <c r="AO68" s="20">
        <f>projekty[[#This Row],[Stĺpec39]]</f>
        <v>220597.45</v>
      </c>
      <c r="AP68" s="20">
        <v>22200</v>
      </c>
      <c r="AQ68" s="20">
        <v>0</v>
      </c>
      <c r="AR68" s="20">
        <f>projekty[[#This Row],[Stĺpec42]]</f>
        <v>22200</v>
      </c>
      <c r="AS68" s="20">
        <v>0</v>
      </c>
      <c r="AT68" s="20">
        <v>0</v>
      </c>
      <c r="AU68" s="20">
        <f>projekty[[#This Row],[Stĺpec45]]</f>
        <v>0</v>
      </c>
      <c r="AV68" s="20">
        <v>0</v>
      </c>
      <c r="AW68" s="20">
        <v>0</v>
      </c>
      <c r="AX68" s="20">
        <f>projekty[[#This Row],[Stĺpec48]]</f>
        <v>0</v>
      </c>
      <c r="AY68" s="20">
        <v>191213.35</v>
      </c>
      <c r="AZ68" s="20">
        <v>0</v>
      </c>
      <c r="BA68" s="20">
        <f>projekty[[#This Row],[Stĺpec51]]</f>
        <v>191213.35</v>
      </c>
      <c r="BB68" s="20">
        <v>0</v>
      </c>
      <c r="BC68" s="20">
        <v>0</v>
      </c>
      <c r="BD68" s="20">
        <f>projekty[[#This Row],[Stĺpec54]]</f>
        <v>0</v>
      </c>
      <c r="BE68" s="20">
        <v>0</v>
      </c>
      <c r="BF68" s="20">
        <v>0</v>
      </c>
      <c r="BG68" s="20">
        <f>projekty[[#This Row],[Stĺpec57]]</f>
        <v>0</v>
      </c>
      <c r="BH68" s="20">
        <v>0</v>
      </c>
      <c r="BI68" s="28">
        <v>0</v>
      </c>
      <c r="BJ68" s="20">
        <f>projekty[[#This Row],[Stĺpec60]]</f>
        <v>0</v>
      </c>
    </row>
    <row r="69" spans="1:62" ht="15" x14ac:dyDescent="0.25">
      <c r="A69" s="27" t="s">
        <v>725</v>
      </c>
      <c r="B69" s="14" t="s">
        <v>2393</v>
      </c>
      <c r="C69" s="1" t="s">
        <v>825</v>
      </c>
      <c r="D69" s="18" t="s">
        <v>826</v>
      </c>
      <c r="E69" s="1" t="s">
        <v>1544</v>
      </c>
      <c r="F69" s="15">
        <v>42552</v>
      </c>
      <c r="G69" s="15">
        <v>43252</v>
      </c>
      <c r="H69" s="15"/>
      <c r="I69" s="279">
        <v>513044.4</v>
      </c>
      <c r="J69" s="15"/>
      <c r="K69" s="306">
        <f>projekty[[#This Row],[Stĺpec9]]</f>
        <v>513044.4</v>
      </c>
      <c r="L69" s="20">
        <v>0</v>
      </c>
      <c r="M69" s="20">
        <v>0</v>
      </c>
      <c r="N69" s="20">
        <f>projekty[[#This Row],[Stĺpec12]]</f>
        <v>0</v>
      </c>
      <c r="O69" s="20">
        <v>0</v>
      </c>
      <c r="P69" s="20">
        <v>0</v>
      </c>
      <c r="Q69" s="20">
        <f>projekty[[#This Row],[Stĺpec15]]</f>
        <v>0</v>
      </c>
      <c r="R69" s="20">
        <v>9.8469999999999995</v>
      </c>
      <c r="S69" s="20">
        <v>0</v>
      </c>
      <c r="T69" s="20">
        <f>projekty[[#This Row],[Stĺpec18]]</f>
        <v>9.8469999999999995</v>
      </c>
      <c r="U69" s="20">
        <v>4</v>
      </c>
      <c r="V69" s="20">
        <v>0</v>
      </c>
      <c r="W69" s="20">
        <f>projekty[[#This Row],[Stĺpec21]]</f>
        <v>4</v>
      </c>
      <c r="X69" s="20">
        <v>1</v>
      </c>
      <c r="Y69" s="20">
        <v>0</v>
      </c>
      <c r="Z69" s="20">
        <f>projekty[[#This Row],[Stĺpec24]]</f>
        <v>1</v>
      </c>
      <c r="AA69" s="20">
        <v>1352.38</v>
      </c>
      <c r="AB69" s="20">
        <v>0</v>
      </c>
      <c r="AC69" s="20">
        <f>projekty[[#This Row],[Stĺpec27]]</f>
        <v>1352.38</v>
      </c>
      <c r="AD69" s="20">
        <v>12.32</v>
      </c>
      <c r="AE69" s="20">
        <v>0</v>
      </c>
      <c r="AF69" s="20">
        <f>projekty[[#This Row],[Stĺpec30]]</f>
        <v>12.32</v>
      </c>
      <c r="AG69" s="20">
        <v>61.21</v>
      </c>
      <c r="AH69" s="20">
        <v>0</v>
      </c>
      <c r="AI69" s="20">
        <f>projekty[[#This Row],[Stĺpec33]]</f>
        <v>61.21</v>
      </c>
      <c r="AJ69" s="20">
        <v>48.89</v>
      </c>
      <c r="AK69" s="20">
        <v>0</v>
      </c>
      <c r="AL69" s="20">
        <f>projekty[[#This Row],[Stĺpec36]]</f>
        <v>48.89</v>
      </c>
      <c r="AM69" s="20">
        <v>209464</v>
      </c>
      <c r="AN69" s="20">
        <v>0</v>
      </c>
      <c r="AO69" s="20">
        <f>projekty[[#This Row],[Stĺpec39]]</f>
        <v>209464</v>
      </c>
      <c r="AP69" s="20">
        <v>7.77</v>
      </c>
      <c r="AQ69" s="20">
        <v>0</v>
      </c>
      <c r="AR69" s="20">
        <f>projekty[[#This Row],[Stĺpec42]]</f>
        <v>7.77</v>
      </c>
      <c r="AS69" s="20">
        <v>0.36080000000000001</v>
      </c>
      <c r="AT69" s="20">
        <v>0</v>
      </c>
      <c r="AU69" s="20">
        <f>projekty[[#This Row],[Stĺpec45]]</f>
        <v>0.36080000000000001</v>
      </c>
      <c r="AV69" s="20">
        <v>0</v>
      </c>
      <c r="AW69" s="20">
        <v>0</v>
      </c>
      <c r="AX69" s="20">
        <f>projekty[[#This Row],[Stĺpec48]]</f>
        <v>0</v>
      </c>
      <c r="AY69" s="20">
        <v>387820</v>
      </c>
      <c r="AZ69" s="20">
        <v>0</v>
      </c>
      <c r="BA69" s="20">
        <f>projekty[[#This Row],[Stĺpec51]]</f>
        <v>387820</v>
      </c>
      <c r="BB69" s="20">
        <v>0</v>
      </c>
      <c r="BC69" s="20">
        <v>0</v>
      </c>
      <c r="BD69" s="20">
        <f>projekty[[#This Row],[Stĺpec54]]</f>
        <v>0</v>
      </c>
      <c r="BE69" s="20">
        <v>0</v>
      </c>
      <c r="BF69" s="20">
        <v>0</v>
      </c>
      <c r="BG69" s="20">
        <f>projekty[[#This Row],[Stĺpec57]]</f>
        <v>0</v>
      </c>
      <c r="BH69" s="20">
        <v>0</v>
      </c>
      <c r="BI69" s="28">
        <v>0</v>
      </c>
      <c r="BJ69" s="20">
        <f>projekty[[#This Row],[Stĺpec60]]</f>
        <v>0</v>
      </c>
    </row>
    <row r="70" spans="1:62" ht="15" x14ac:dyDescent="0.25">
      <c r="A70" s="27" t="s">
        <v>720</v>
      </c>
      <c r="B70" s="14" t="s">
        <v>2393</v>
      </c>
      <c r="C70" s="1" t="s">
        <v>815</v>
      </c>
      <c r="D70" s="18" t="s">
        <v>816</v>
      </c>
      <c r="E70" s="1" t="s">
        <v>1544</v>
      </c>
      <c r="F70" s="15">
        <v>42614</v>
      </c>
      <c r="G70" s="15">
        <v>43313</v>
      </c>
      <c r="H70" s="15"/>
      <c r="I70" s="279">
        <v>461449.59</v>
      </c>
      <c r="J70" s="15"/>
      <c r="K70" s="306">
        <f>projekty[[#This Row],[Stĺpec9]]</f>
        <v>461449.59</v>
      </c>
      <c r="L70" s="21">
        <v>0</v>
      </c>
      <c r="M70" s="21">
        <v>0</v>
      </c>
      <c r="N70" s="21">
        <f>projekty[[#This Row],[Stĺpec12]]</f>
        <v>0</v>
      </c>
      <c r="O70" s="21">
        <v>0</v>
      </c>
      <c r="P70" s="21">
        <v>0</v>
      </c>
      <c r="Q70" s="21">
        <f>projekty[[#This Row],[Stĺpec15]]</f>
        <v>0</v>
      </c>
      <c r="R70" s="21">
        <v>58.478000000000002</v>
      </c>
      <c r="S70" s="21">
        <v>0</v>
      </c>
      <c r="T70" s="21">
        <f>projekty[[#This Row],[Stĺpec18]]</f>
        <v>58.478000000000002</v>
      </c>
      <c r="U70" s="21">
        <v>6</v>
      </c>
      <c r="V70" s="21">
        <v>0</v>
      </c>
      <c r="W70" s="21">
        <f>projekty[[#This Row],[Stĺpec21]]</f>
        <v>6</v>
      </c>
      <c r="X70" s="21">
        <v>1</v>
      </c>
      <c r="Y70" s="21">
        <v>0</v>
      </c>
      <c r="Z70" s="21">
        <f>projekty[[#This Row],[Stĺpec24]]</f>
        <v>1</v>
      </c>
      <c r="AA70" s="21">
        <v>1990.42</v>
      </c>
      <c r="AB70" s="21">
        <v>0</v>
      </c>
      <c r="AC70" s="21">
        <f>projekty[[#This Row],[Stĺpec27]]</f>
        <v>1990.42</v>
      </c>
      <c r="AD70" s="20">
        <v>140.22499999999999</v>
      </c>
      <c r="AE70" s="20">
        <v>0</v>
      </c>
      <c r="AF70" s="20">
        <f>projekty[[#This Row],[Stĺpec30]]</f>
        <v>140.22499999999999</v>
      </c>
      <c r="AG70" s="20">
        <v>458.851</v>
      </c>
      <c r="AH70" s="20">
        <v>0</v>
      </c>
      <c r="AI70" s="20">
        <f>projekty[[#This Row],[Stĺpec33]]</f>
        <v>458.851</v>
      </c>
      <c r="AJ70" s="20">
        <v>318626.43359999999</v>
      </c>
      <c r="AK70" s="20">
        <v>0</v>
      </c>
      <c r="AL70" s="20">
        <f>projekty[[#This Row],[Stĺpec36]]</f>
        <v>318626.43359999999</v>
      </c>
      <c r="AM70" s="20">
        <v>202107.24679999999</v>
      </c>
      <c r="AN70" s="20">
        <v>0</v>
      </c>
      <c r="AO70" s="20">
        <f>projekty[[#This Row],[Stĺpec39]]</f>
        <v>202107.24679999999</v>
      </c>
      <c r="AP70" s="20">
        <v>118.4</v>
      </c>
      <c r="AQ70" s="20">
        <v>0</v>
      </c>
      <c r="AR70" s="20">
        <f>projekty[[#This Row],[Stĺpec42]]</f>
        <v>118.4</v>
      </c>
      <c r="AS70" s="20">
        <v>5.6</v>
      </c>
      <c r="AT70" s="20">
        <v>0</v>
      </c>
      <c r="AU70" s="20">
        <f>projekty[[#This Row],[Stĺpec45]]</f>
        <v>5.6</v>
      </c>
      <c r="AV70" s="20">
        <v>28</v>
      </c>
      <c r="AW70" s="20">
        <v>0</v>
      </c>
      <c r="AX70" s="20">
        <f>projekty[[#This Row],[Stĺpec48]]</f>
        <v>28</v>
      </c>
      <c r="AY70" s="20">
        <v>318626.43359999999</v>
      </c>
      <c r="AZ70" s="20">
        <v>0</v>
      </c>
      <c r="BA70" s="20">
        <f>projekty[[#This Row],[Stĺpec51]]</f>
        <v>318626.43359999999</v>
      </c>
      <c r="BB70" s="20">
        <v>0</v>
      </c>
      <c r="BC70" s="20">
        <v>0</v>
      </c>
      <c r="BD70" s="20">
        <f>projekty[[#This Row],[Stĺpec54]]</f>
        <v>0</v>
      </c>
      <c r="BE70" s="20">
        <v>0</v>
      </c>
      <c r="BF70" s="20">
        <v>0</v>
      </c>
      <c r="BG70" s="20">
        <f>projekty[[#This Row],[Stĺpec57]]</f>
        <v>0</v>
      </c>
      <c r="BH70" s="20">
        <v>0</v>
      </c>
      <c r="BI70" s="28">
        <v>0</v>
      </c>
      <c r="BJ70" s="20">
        <f>projekty[[#This Row],[Stĺpec60]]</f>
        <v>0</v>
      </c>
    </row>
    <row r="71" spans="1:62" ht="15" x14ac:dyDescent="0.25">
      <c r="A71" s="27" t="s">
        <v>721</v>
      </c>
      <c r="B71" s="14" t="s">
        <v>2393</v>
      </c>
      <c r="C71" s="1" t="s">
        <v>817</v>
      </c>
      <c r="D71" s="18" t="s">
        <v>818</v>
      </c>
      <c r="E71" s="1" t="s">
        <v>1544</v>
      </c>
      <c r="F71" s="15">
        <v>42614</v>
      </c>
      <c r="G71" s="15">
        <v>43313</v>
      </c>
      <c r="H71" s="15"/>
      <c r="I71" s="279">
        <v>149950.73000000001</v>
      </c>
      <c r="J71" s="15"/>
      <c r="K71" s="306">
        <f>projekty[[#This Row],[Stĺpec9]]</f>
        <v>149950.73000000001</v>
      </c>
      <c r="L71" s="20">
        <v>0</v>
      </c>
      <c r="M71" s="20">
        <v>0</v>
      </c>
      <c r="N71" s="20">
        <f>projekty[[#This Row],[Stĺpec12]]</f>
        <v>0</v>
      </c>
      <c r="O71" s="20">
        <v>0</v>
      </c>
      <c r="P71" s="20">
        <v>0</v>
      </c>
      <c r="Q71" s="20">
        <f>projekty[[#This Row],[Stĺpec15]]</f>
        <v>0</v>
      </c>
      <c r="R71" s="20">
        <v>58.478000000000002</v>
      </c>
      <c r="S71" s="20">
        <v>0</v>
      </c>
      <c r="T71" s="20">
        <f>projekty[[#This Row],[Stĺpec18]]</f>
        <v>58.478000000000002</v>
      </c>
      <c r="U71" s="20">
        <v>6</v>
      </c>
      <c r="V71" s="20">
        <v>0</v>
      </c>
      <c r="W71" s="20">
        <f>projekty[[#This Row],[Stĺpec21]]</f>
        <v>6</v>
      </c>
      <c r="X71" s="20">
        <v>1</v>
      </c>
      <c r="Y71" s="20">
        <v>0</v>
      </c>
      <c r="Z71" s="20">
        <f>projekty[[#This Row],[Stĺpec24]]</f>
        <v>1</v>
      </c>
      <c r="AA71" s="20">
        <v>1990.42</v>
      </c>
      <c r="AB71" s="20">
        <v>0</v>
      </c>
      <c r="AC71" s="20">
        <f>projekty[[#This Row],[Stĺpec27]]</f>
        <v>1990.42</v>
      </c>
      <c r="AD71" s="20">
        <v>140.22499999999999</v>
      </c>
      <c r="AE71" s="20">
        <v>0</v>
      </c>
      <c r="AF71" s="20">
        <f>projekty[[#This Row],[Stĺpec30]]</f>
        <v>140.22499999999999</v>
      </c>
      <c r="AG71" s="20">
        <v>458.851</v>
      </c>
      <c r="AH71" s="20">
        <v>0</v>
      </c>
      <c r="AI71" s="20">
        <f>projekty[[#This Row],[Stĺpec33]]</f>
        <v>458.851</v>
      </c>
      <c r="AJ71" s="20">
        <v>318626.43359999999</v>
      </c>
      <c r="AK71" s="20">
        <v>0</v>
      </c>
      <c r="AL71" s="20">
        <f>projekty[[#This Row],[Stĺpec36]]</f>
        <v>318626.43359999999</v>
      </c>
      <c r="AM71" s="20">
        <v>202107.24679999999</v>
      </c>
      <c r="AN71" s="20">
        <v>0</v>
      </c>
      <c r="AO71" s="20">
        <f>projekty[[#This Row],[Stĺpec39]]</f>
        <v>202107.24679999999</v>
      </c>
      <c r="AP71" s="20">
        <v>118.4</v>
      </c>
      <c r="AQ71" s="20">
        <v>0</v>
      </c>
      <c r="AR71" s="20">
        <f>projekty[[#This Row],[Stĺpec42]]</f>
        <v>118.4</v>
      </c>
      <c r="AS71" s="20">
        <v>5.6</v>
      </c>
      <c r="AT71" s="20">
        <v>0</v>
      </c>
      <c r="AU71" s="20">
        <f>projekty[[#This Row],[Stĺpec45]]</f>
        <v>5.6</v>
      </c>
      <c r="AV71" s="20">
        <v>28</v>
      </c>
      <c r="AW71" s="20">
        <v>0</v>
      </c>
      <c r="AX71" s="20">
        <f>projekty[[#This Row],[Stĺpec48]]</f>
        <v>28</v>
      </c>
      <c r="AY71" s="20">
        <v>318626.43359999999</v>
      </c>
      <c r="AZ71" s="20">
        <v>0</v>
      </c>
      <c r="BA71" s="20">
        <f>projekty[[#This Row],[Stĺpec51]]</f>
        <v>318626.43359999999</v>
      </c>
      <c r="BB71" s="20">
        <v>0</v>
      </c>
      <c r="BC71" s="20">
        <v>0</v>
      </c>
      <c r="BD71" s="20">
        <f>projekty[[#This Row],[Stĺpec54]]</f>
        <v>0</v>
      </c>
      <c r="BE71" s="20">
        <v>0</v>
      </c>
      <c r="BF71" s="20">
        <v>0</v>
      </c>
      <c r="BG71" s="20">
        <f>projekty[[#This Row],[Stĺpec57]]</f>
        <v>0</v>
      </c>
      <c r="BH71" s="20">
        <v>0</v>
      </c>
      <c r="BI71" s="28">
        <v>0</v>
      </c>
      <c r="BJ71" s="20">
        <f>projekty[[#This Row],[Stĺpec60]]</f>
        <v>0</v>
      </c>
    </row>
    <row r="72" spans="1:62" ht="15" x14ac:dyDescent="0.25">
      <c r="A72" s="53" t="s">
        <v>714</v>
      </c>
      <c r="B72" s="14" t="s">
        <v>2393</v>
      </c>
      <c r="C72" s="1" t="s">
        <v>803</v>
      </c>
      <c r="D72" s="18" t="s">
        <v>804</v>
      </c>
      <c r="E72" s="1" t="s">
        <v>1544</v>
      </c>
      <c r="F72" s="15">
        <v>42826</v>
      </c>
      <c r="G72" s="15">
        <v>43344</v>
      </c>
      <c r="H72" s="15"/>
      <c r="I72" s="279">
        <v>135781.71</v>
      </c>
      <c r="J72" s="15"/>
      <c r="K72" s="306">
        <f>projekty[[#This Row],[Stĺpec9]]</f>
        <v>135781.71</v>
      </c>
      <c r="L72" s="19">
        <v>0</v>
      </c>
      <c r="M72" s="19">
        <v>0</v>
      </c>
      <c r="N72" s="19">
        <f>projekty[[#This Row],[Stĺpec12]]</f>
        <v>0</v>
      </c>
      <c r="O72" s="19">
        <v>0</v>
      </c>
      <c r="P72" s="19">
        <v>0</v>
      </c>
      <c r="Q72" s="19">
        <f>projekty[[#This Row],[Stĺpec15]]</f>
        <v>0</v>
      </c>
      <c r="R72" s="19">
        <v>0</v>
      </c>
      <c r="S72" s="19">
        <v>0</v>
      </c>
      <c r="T72" s="19">
        <f>projekty[[#This Row],[Stĺpec18]]</f>
        <v>0</v>
      </c>
      <c r="U72" s="19">
        <v>3</v>
      </c>
      <c r="V72" s="19">
        <v>2</v>
      </c>
      <c r="W72" s="19">
        <f>projekty[[#This Row],[Stĺpec21]]</f>
        <v>3</v>
      </c>
      <c r="X72" s="19">
        <v>0</v>
      </c>
      <c r="Y72" s="19">
        <v>0</v>
      </c>
      <c r="Z72" s="19">
        <f>projekty[[#This Row],[Stĺpec24]]</f>
        <v>0</v>
      </c>
      <c r="AA72" s="19">
        <v>615.52</v>
      </c>
      <c r="AB72" s="19">
        <v>553.91</v>
      </c>
      <c r="AC72" s="19">
        <f>projekty[[#This Row],[Stĺpec27]]</f>
        <v>615.52</v>
      </c>
      <c r="AD72" s="19">
        <v>26.841999999999999</v>
      </c>
      <c r="AE72" s="19">
        <v>0</v>
      </c>
      <c r="AF72" s="19">
        <f>projekty[[#This Row],[Stĺpec30]]</f>
        <v>26.841999999999999</v>
      </c>
      <c r="AG72" s="19">
        <v>79.078999999999994</v>
      </c>
      <c r="AH72" s="19">
        <v>79.078999999999994</v>
      </c>
      <c r="AI72" s="19">
        <f>projekty[[#This Row],[Stĺpec33]]</f>
        <v>79.078999999999994</v>
      </c>
      <c r="AJ72" s="19">
        <v>52.237000000000002</v>
      </c>
      <c r="AK72" s="19">
        <v>47.008099999999999</v>
      </c>
      <c r="AL72" s="19">
        <f>projekty[[#This Row],[Stĺpec36]]</f>
        <v>52.237000000000002</v>
      </c>
      <c r="AM72" s="20">
        <v>52.237000000000002</v>
      </c>
      <c r="AN72" s="20">
        <v>47.008099999999999</v>
      </c>
      <c r="AO72" s="20">
        <f>projekty[[#This Row],[Stĺpec39]]</f>
        <v>52.237000000000002</v>
      </c>
      <c r="AP72" s="20">
        <v>0</v>
      </c>
      <c r="AQ72" s="20">
        <v>0</v>
      </c>
      <c r="AR72" s="20">
        <f>projekty[[#This Row],[Stĺpec42]]</f>
        <v>0</v>
      </c>
      <c r="AS72" s="20">
        <v>0</v>
      </c>
      <c r="AT72" s="20">
        <v>0</v>
      </c>
      <c r="AU72" s="20">
        <f>projekty[[#This Row],[Stĺpec45]]</f>
        <v>0</v>
      </c>
      <c r="AV72" s="20">
        <v>0</v>
      </c>
      <c r="AW72" s="20">
        <v>0</v>
      </c>
      <c r="AX72" s="20">
        <f>projekty[[#This Row],[Stĺpec48]]</f>
        <v>0</v>
      </c>
      <c r="AY72" s="20">
        <v>52.237000000000002</v>
      </c>
      <c r="AZ72" s="20">
        <v>47.008099999999999</v>
      </c>
      <c r="BA72" s="20">
        <f>projekty[[#This Row],[Stĺpec51]]</f>
        <v>52.237000000000002</v>
      </c>
      <c r="BB72" s="20">
        <v>0</v>
      </c>
      <c r="BC72" s="20">
        <v>0</v>
      </c>
      <c r="BD72" s="20">
        <f>projekty[[#This Row],[Stĺpec54]]</f>
        <v>0</v>
      </c>
      <c r="BE72" s="20">
        <v>0</v>
      </c>
      <c r="BF72" s="20">
        <v>0</v>
      </c>
      <c r="BG72" s="20">
        <f>projekty[[#This Row],[Stĺpec57]]</f>
        <v>0</v>
      </c>
      <c r="BH72" s="20">
        <v>0</v>
      </c>
      <c r="BI72" s="28">
        <v>0</v>
      </c>
      <c r="BJ72" s="20">
        <f>projekty[[#This Row],[Stĺpec60]]</f>
        <v>0</v>
      </c>
    </row>
    <row r="73" spans="1:62" ht="15" x14ac:dyDescent="0.25">
      <c r="A73" s="53" t="s">
        <v>715</v>
      </c>
      <c r="B73" s="14" t="s">
        <v>2393</v>
      </c>
      <c r="C73" s="1" t="s">
        <v>805</v>
      </c>
      <c r="D73" s="18" t="s">
        <v>806</v>
      </c>
      <c r="E73" s="1" t="s">
        <v>1544</v>
      </c>
      <c r="F73" s="15">
        <v>42826</v>
      </c>
      <c r="G73" s="15">
        <v>43344</v>
      </c>
      <c r="H73" s="15"/>
      <c r="I73" s="279">
        <v>442451.72</v>
      </c>
      <c r="J73" s="15"/>
      <c r="K73" s="306">
        <f>projekty[[#This Row],[Stĺpec9]]</f>
        <v>442451.72</v>
      </c>
      <c r="L73" s="19">
        <v>0</v>
      </c>
      <c r="M73" s="19">
        <v>0</v>
      </c>
      <c r="N73" s="19">
        <f>projekty[[#This Row],[Stĺpec12]]</f>
        <v>0</v>
      </c>
      <c r="O73" s="19">
        <v>11.192</v>
      </c>
      <c r="P73" s="19">
        <v>0</v>
      </c>
      <c r="Q73" s="19">
        <f>projekty[[#This Row],[Stĺpec15]]</f>
        <v>11.192</v>
      </c>
      <c r="R73" s="19">
        <v>2.0768</v>
      </c>
      <c r="S73" s="19">
        <v>0</v>
      </c>
      <c r="T73" s="19">
        <f>projekty[[#This Row],[Stĺpec18]]</f>
        <v>2.0768</v>
      </c>
      <c r="U73" s="19">
        <v>3</v>
      </c>
      <c r="V73" s="19">
        <v>0</v>
      </c>
      <c r="W73" s="19">
        <f>projekty[[#This Row],[Stĺpec21]]</f>
        <v>3</v>
      </c>
      <c r="X73" s="19">
        <v>1</v>
      </c>
      <c r="Y73" s="19">
        <v>0</v>
      </c>
      <c r="Z73" s="19">
        <f>projekty[[#This Row],[Stĺpec24]]</f>
        <v>1</v>
      </c>
      <c r="AA73" s="19">
        <v>608.34</v>
      </c>
      <c r="AB73" s="19">
        <v>0</v>
      </c>
      <c r="AC73" s="19">
        <f>projekty[[#This Row],[Stĺpec27]]</f>
        <v>608.34</v>
      </c>
      <c r="AD73" s="19">
        <v>4.5170000000000003</v>
      </c>
      <c r="AE73" s="19">
        <v>0</v>
      </c>
      <c r="AF73" s="19">
        <f>projekty[[#This Row],[Stĺpec30]]</f>
        <v>4.5170000000000003</v>
      </c>
      <c r="AG73" s="19">
        <v>30.344000000000001</v>
      </c>
      <c r="AH73" s="19">
        <v>0</v>
      </c>
      <c r="AI73" s="19">
        <f>projekty[[#This Row],[Stĺpec33]]</f>
        <v>30.344000000000001</v>
      </c>
      <c r="AJ73" s="19">
        <v>25827.360000000001</v>
      </c>
      <c r="AK73" s="19">
        <v>0</v>
      </c>
      <c r="AL73" s="19">
        <f>projekty[[#This Row],[Stĺpec36]]</f>
        <v>25827.360000000001</v>
      </c>
      <c r="AM73" s="20">
        <v>25827.360000000001</v>
      </c>
      <c r="AN73" s="20">
        <v>0</v>
      </c>
      <c r="AO73" s="20">
        <f>projekty[[#This Row],[Stĺpec39]]</f>
        <v>25827.360000000001</v>
      </c>
      <c r="AP73" s="20">
        <v>6.16</v>
      </c>
      <c r="AQ73" s="20">
        <v>0</v>
      </c>
      <c r="AR73" s="20">
        <f>projekty[[#This Row],[Stĺpec42]]</f>
        <v>6.16</v>
      </c>
      <c r="AS73" s="20">
        <v>0.11</v>
      </c>
      <c r="AT73" s="20">
        <v>0</v>
      </c>
      <c r="AU73" s="20">
        <f>projekty[[#This Row],[Stĺpec45]]</f>
        <v>0.11</v>
      </c>
      <c r="AV73" s="20">
        <v>0.53</v>
      </c>
      <c r="AW73" s="20">
        <v>0</v>
      </c>
      <c r="AX73" s="20">
        <f>projekty[[#This Row],[Stĺpec48]]</f>
        <v>0.53</v>
      </c>
      <c r="AY73" s="20">
        <v>127228.23</v>
      </c>
      <c r="AZ73" s="20">
        <v>0</v>
      </c>
      <c r="BA73" s="20">
        <f>projekty[[#This Row],[Stĺpec51]]</f>
        <v>127228.23</v>
      </c>
      <c r="BB73" s="20">
        <v>0</v>
      </c>
      <c r="BC73" s="20">
        <v>0</v>
      </c>
      <c r="BD73" s="20">
        <f>projekty[[#This Row],[Stĺpec54]]</f>
        <v>0</v>
      </c>
      <c r="BE73" s="20">
        <v>19.771000000000001</v>
      </c>
      <c r="BF73" s="20">
        <v>0</v>
      </c>
      <c r="BG73" s="20">
        <f>projekty[[#This Row],[Stĺpec57]]</f>
        <v>19.771000000000001</v>
      </c>
      <c r="BH73" s="20">
        <v>19.771000000000001</v>
      </c>
      <c r="BI73" s="28">
        <v>0</v>
      </c>
      <c r="BJ73" s="20">
        <f>projekty[[#This Row],[Stĺpec60]]</f>
        <v>19.771000000000001</v>
      </c>
    </row>
    <row r="74" spans="1:62" ht="15" x14ac:dyDescent="0.25">
      <c r="A74" s="27" t="s">
        <v>772</v>
      </c>
      <c r="B74" s="14" t="s">
        <v>2393</v>
      </c>
      <c r="C74" s="24" t="s">
        <v>919</v>
      </c>
      <c r="D74" s="18" t="s">
        <v>920</v>
      </c>
      <c r="E74" s="1" t="s">
        <v>1544</v>
      </c>
      <c r="F74" s="15">
        <v>42826</v>
      </c>
      <c r="G74" s="15">
        <v>43344</v>
      </c>
      <c r="H74" s="15"/>
      <c r="I74" s="279">
        <v>462905.75</v>
      </c>
      <c r="J74" s="15"/>
      <c r="K74" s="306">
        <f>projekty[[#This Row],[Stĺpec9]]</f>
        <v>462905.75</v>
      </c>
      <c r="L74" s="20">
        <v>0</v>
      </c>
      <c r="M74" s="20">
        <v>0</v>
      </c>
      <c r="N74" s="20">
        <f>projekty[[#This Row],[Stĺpec12]]</f>
        <v>0</v>
      </c>
      <c r="O74" s="20">
        <v>10.173999999999999</v>
      </c>
      <c r="P74" s="20">
        <v>0</v>
      </c>
      <c r="Q74" s="20">
        <f>projekty[[#This Row],[Stĺpec15]]</f>
        <v>10.173999999999999</v>
      </c>
      <c r="R74" s="20">
        <v>0.47399999999999998</v>
      </c>
      <c r="S74" s="20">
        <v>0</v>
      </c>
      <c r="T74" s="20">
        <f>projekty[[#This Row],[Stĺpec18]]</f>
        <v>0.47399999999999998</v>
      </c>
      <c r="U74" s="20">
        <v>3</v>
      </c>
      <c r="V74" s="20">
        <v>0</v>
      </c>
      <c r="W74" s="20">
        <f>projekty[[#This Row],[Stĺpec21]]</f>
        <v>3</v>
      </c>
      <c r="X74" s="20">
        <v>1</v>
      </c>
      <c r="Y74" s="20">
        <v>0</v>
      </c>
      <c r="Z74" s="20">
        <f>projekty[[#This Row],[Stĺpec24]]</f>
        <v>1</v>
      </c>
      <c r="AA74" s="20">
        <v>760.54</v>
      </c>
      <c r="AB74" s="20">
        <v>0</v>
      </c>
      <c r="AC74" s="20">
        <f>projekty[[#This Row],[Stĺpec27]]</f>
        <v>760.54</v>
      </c>
      <c r="AD74" s="20">
        <v>1.355</v>
      </c>
      <c r="AE74" s="20">
        <v>0</v>
      </c>
      <c r="AF74" s="20">
        <f>projekty[[#This Row],[Stĺpec30]]</f>
        <v>1.355</v>
      </c>
      <c r="AG74" s="20">
        <v>26.63</v>
      </c>
      <c r="AH74" s="20">
        <v>0</v>
      </c>
      <c r="AI74" s="20">
        <f>projekty[[#This Row],[Stĺpec33]]</f>
        <v>26.63</v>
      </c>
      <c r="AJ74" s="20">
        <v>25275.05</v>
      </c>
      <c r="AK74" s="20">
        <v>0</v>
      </c>
      <c r="AL74" s="20">
        <f>projekty[[#This Row],[Stĺpec36]]</f>
        <v>25275.05</v>
      </c>
      <c r="AM74" s="20">
        <v>199841.63</v>
      </c>
      <c r="AN74" s="20">
        <v>0</v>
      </c>
      <c r="AO74" s="20">
        <f>projekty[[#This Row],[Stĺpec39]]</f>
        <v>199841.63</v>
      </c>
      <c r="AP74" s="20">
        <v>6.49</v>
      </c>
      <c r="AQ74" s="20">
        <v>0</v>
      </c>
      <c r="AR74" s="20">
        <f>projekty[[#This Row],[Stĺpec42]]</f>
        <v>6.49</v>
      </c>
      <c r="AS74" s="20">
        <v>0.13</v>
      </c>
      <c r="AT74" s="20">
        <v>0</v>
      </c>
      <c r="AU74" s="20">
        <f>projekty[[#This Row],[Stĺpec45]]</f>
        <v>0.13</v>
      </c>
      <c r="AV74" s="20">
        <v>0.65</v>
      </c>
      <c r="AW74" s="20">
        <v>0</v>
      </c>
      <c r="AX74" s="20">
        <f>projekty[[#This Row],[Stĺpec48]]</f>
        <v>0.65</v>
      </c>
      <c r="AY74" s="20">
        <v>273011.03999999998</v>
      </c>
      <c r="AZ74" s="20">
        <v>0</v>
      </c>
      <c r="BA74" s="20">
        <f>projekty[[#This Row],[Stĺpec51]]</f>
        <v>273011.03999999998</v>
      </c>
      <c r="BB74" s="20">
        <v>0</v>
      </c>
      <c r="BC74" s="20">
        <v>0</v>
      </c>
      <c r="BD74" s="20">
        <f>projekty[[#This Row],[Stĺpec54]]</f>
        <v>0</v>
      </c>
      <c r="BE74" s="20">
        <v>20.859000000000002</v>
      </c>
      <c r="BF74" s="20">
        <v>0</v>
      </c>
      <c r="BG74" s="20">
        <f>projekty[[#This Row],[Stĺpec57]]</f>
        <v>20.859000000000002</v>
      </c>
      <c r="BH74" s="20">
        <v>20.859000000000002</v>
      </c>
      <c r="BI74" s="28">
        <v>0</v>
      </c>
      <c r="BJ74" s="20">
        <f>projekty[[#This Row],[Stĺpec60]]</f>
        <v>20.859000000000002</v>
      </c>
    </row>
    <row r="75" spans="1:62" ht="15" x14ac:dyDescent="0.25">
      <c r="A75" s="27" t="s">
        <v>770</v>
      </c>
      <c r="B75" s="14" t="s">
        <v>2393</v>
      </c>
      <c r="C75" s="24" t="s">
        <v>915</v>
      </c>
      <c r="D75" s="18" t="s">
        <v>916</v>
      </c>
      <c r="E75" s="1" t="s">
        <v>1544</v>
      </c>
      <c r="F75" s="15">
        <v>42675</v>
      </c>
      <c r="G75" s="15">
        <v>43374</v>
      </c>
      <c r="H75" s="15"/>
      <c r="I75" s="279">
        <v>1223100.76</v>
      </c>
      <c r="J75" s="15"/>
      <c r="K75" s="306">
        <f>projekty[[#This Row],[Stĺpec9]]</f>
        <v>1223100.76</v>
      </c>
      <c r="L75" s="20">
        <v>8.8000000000000005E-3</v>
      </c>
      <c r="M75" s="20">
        <v>0</v>
      </c>
      <c r="N75" s="20">
        <f>projekty[[#This Row],[Stĺpec12]]</f>
        <v>8.8000000000000005E-3</v>
      </c>
      <c r="O75" s="20">
        <v>0</v>
      </c>
      <c r="P75" s="20">
        <v>0</v>
      </c>
      <c r="Q75" s="20">
        <f>projekty[[#This Row],[Stĺpec15]]</f>
        <v>0</v>
      </c>
      <c r="R75" s="20">
        <v>95.74</v>
      </c>
      <c r="S75" s="20">
        <v>0</v>
      </c>
      <c r="T75" s="20">
        <f>projekty[[#This Row],[Stĺpec18]]</f>
        <v>95.74</v>
      </c>
      <c r="U75" s="20">
        <v>4</v>
      </c>
      <c r="V75" s="20">
        <v>0</v>
      </c>
      <c r="W75" s="20">
        <f>projekty[[#This Row],[Stĺpec21]]</f>
        <v>4</v>
      </c>
      <c r="X75" s="20">
        <v>1</v>
      </c>
      <c r="Y75" s="20">
        <v>0</v>
      </c>
      <c r="Z75" s="20">
        <f>projekty[[#This Row],[Stĺpec24]]</f>
        <v>1</v>
      </c>
      <c r="AA75" s="20">
        <v>4219.68</v>
      </c>
      <c r="AB75" s="20">
        <v>0</v>
      </c>
      <c r="AC75" s="20">
        <f>projekty[[#This Row],[Stĺpec27]]</f>
        <v>4219.68</v>
      </c>
      <c r="AD75" s="20">
        <v>142</v>
      </c>
      <c r="AE75" s="20">
        <v>0</v>
      </c>
      <c r="AF75" s="20">
        <f>projekty[[#This Row],[Stĺpec30]]</f>
        <v>142</v>
      </c>
      <c r="AG75" s="20">
        <v>485</v>
      </c>
      <c r="AH75" s="20">
        <v>0</v>
      </c>
      <c r="AI75" s="20">
        <f>projekty[[#This Row],[Stĺpec33]]</f>
        <v>485</v>
      </c>
      <c r="AJ75" s="20">
        <v>343721</v>
      </c>
      <c r="AK75" s="20">
        <v>0</v>
      </c>
      <c r="AL75" s="20">
        <f>projekty[[#This Row],[Stĺpec36]]</f>
        <v>343721</v>
      </c>
      <c r="AM75" s="20">
        <v>343722</v>
      </c>
      <c r="AN75" s="20">
        <v>0</v>
      </c>
      <c r="AO75" s="20">
        <f>projekty[[#This Row],[Stĺpec39]]</f>
        <v>343722</v>
      </c>
      <c r="AP75" s="20">
        <v>84</v>
      </c>
      <c r="AQ75" s="20">
        <v>0</v>
      </c>
      <c r="AR75" s="20">
        <f>projekty[[#This Row],[Stĺpec42]]</f>
        <v>84</v>
      </c>
      <c r="AS75" s="20">
        <v>0</v>
      </c>
      <c r="AT75" s="20">
        <v>0</v>
      </c>
      <c r="AU75" s="20">
        <f>projekty[[#This Row],[Stĺpec45]]</f>
        <v>0</v>
      </c>
      <c r="AV75" s="20">
        <v>34</v>
      </c>
      <c r="AW75" s="20">
        <v>0</v>
      </c>
      <c r="AX75" s="20">
        <f>projekty[[#This Row],[Stĺpec48]]</f>
        <v>34</v>
      </c>
      <c r="AY75" s="20">
        <v>515000</v>
      </c>
      <c r="AZ75" s="20">
        <v>0</v>
      </c>
      <c r="BA75" s="20">
        <f>projekty[[#This Row],[Stĺpec51]]</f>
        <v>515000</v>
      </c>
      <c r="BB75" s="20">
        <v>8.3000000000000001E-3</v>
      </c>
      <c r="BC75" s="20">
        <v>0</v>
      </c>
      <c r="BD75" s="20">
        <f>projekty[[#This Row],[Stĺpec54]]</f>
        <v>8.3000000000000001E-3</v>
      </c>
      <c r="BE75" s="20">
        <v>8.3000000000000001E-3</v>
      </c>
      <c r="BF75" s="20">
        <v>0</v>
      </c>
      <c r="BG75" s="20">
        <f>projekty[[#This Row],[Stĺpec57]]</f>
        <v>8.3000000000000001E-3</v>
      </c>
      <c r="BH75" s="20">
        <v>0</v>
      </c>
      <c r="BI75" s="28">
        <v>0</v>
      </c>
      <c r="BJ75" s="20">
        <f>projekty[[#This Row],[Stĺpec60]]</f>
        <v>0</v>
      </c>
    </row>
    <row r="76" spans="1:62" ht="15" x14ac:dyDescent="0.25">
      <c r="A76" s="27" t="s">
        <v>782</v>
      </c>
      <c r="B76" s="14" t="s">
        <v>2393</v>
      </c>
      <c r="C76" s="1" t="s">
        <v>937</v>
      </c>
      <c r="D76" s="18" t="s">
        <v>938</v>
      </c>
      <c r="E76" s="1" t="s">
        <v>1544</v>
      </c>
      <c r="F76" s="15">
        <v>42675</v>
      </c>
      <c r="G76" s="15">
        <v>43374</v>
      </c>
      <c r="H76" s="15"/>
      <c r="I76" s="279">
        <v>602956.47</v>
      </c>
      <c r="J76" s="15"/>
      <c r="K76" s="306">
        <f>projekty[[#This Row],[Stĺpec9]]</f>
        <v>602956.47</v>
      </c>
      <c r="L76" s="20">
        <v>0</v>
      </c>
      <c r="M76" s="20">
        <v>0</v>
      </c>
      <c r="N76" s="20">
        <f>projekty[[#This Row],[Stĺpec12]]</f>
        <v>0</v>
      </c>
      <c r="O76" s="20">
        <v>0</v>
      </c>
      <c r="P76" s="20">
        <v>0</v>
      </c>
      <c r="Q76" s="20">
        <f>projekty[[#This Row],[Stĺpec15]]</f>
        <v>0</v>
      </c>
      <c r="R76" s="20">
        <v>7.2054</v>
      </c>
      <c r="S76" s="20">
        <v>0</v>
      </c>
      <c r="T76" s="20">
        <f>projekty[[#This Row],[Stĺpec18]]</f>
        <v>7.2054</v>
      </c>
      <c r="U76" s="20">
        <v>3</v>
      </c>
      <c r="V76" s="20">
        <v>0</v>
      </c>
      <c r="W76" s="20">
        <f>projekty[[#This Row],[Stĺpec21]]</f>
        <v>3</v>
      </c>
      <c r="X76" s="20">
        <v>1</v>
      </c>
      <c r="Y76" s="20">
        <v>0</v>
      </c>
      <c r="Z76" s="20">
        <f>projekty[[#This Row],[Stĺpec24]]</f>
        <v>1</v>
      </c>
      <c r="AA76" s="20">
        <v>2531.91</v>
      </c>
      <c r="AB76" s="20">
        <v>0</v>
      </c>
      <c r="AC76" s="20">
        <f>projekty[[#This Row],[Stĺpec27]]</f>
        <v>2531.91</v>
      </c>
      <c r="AD76" s="20">
        <v>145.76900000000001</v>
      </c>
      <c r="AE76" s="20">
        <v>0</v>
      </c>
      <c r="AF76" s="20">
        <f>projekty[[#This Row],[Stĺpec30]]</f>
        <v>145.76900000000001</v>
      </c>
      <c r="AG76" s="20">
        <v>319.73899999999998</v>
      </c>
      <c r="AH76" s="20">
        <v>0</v>
      </c>
      <c r="AI76" s="20">
        <f>projekty[[#This Row],[Stĺpec33]]</f>
        <v>319.73899999999998</v>
      </c>
      <c r="AJ76" s="20">
        <v>173971</v>
      </c>
      <c r="AK76" s="20">
        <v>0</v>
      </c>
      <c r="AL76" s="20">
        <f>projekty[[#This Row],[Stĺpec36]]</f>
        <v>173971</v>
      </c>
      <c r="AM76" s="20">
        <v>251253</v>
      </c>
      <c r="AN76" s="20">
        <v>0</v>
      </c>
      <c r="AO76" s="20">
        <f>projekty[[#This Row],[Stĺpec39]]</f>
        <v>251253</v>
      </c>
      <c r="AP76" s="20">
        <v>2277.4</v>
      </c>
      <c r="AQ76" s="20">
        <v>0</v>
      </c>
      <c r="AR76" s="20">
        <f>projekty[[#This Row],[Stĺpec42]]</f>
        <v>2277.4</v>
      </c>
      <c r="AS76" s="20">
        <v>11347.5</v>
      </c>
      <c r="AT76" s="20">
        <v>0</v>
      </c>
      <c r="AU76" s="20">
        <f>projekty[[#This Row],[Stĺpec45]]</f>
        <v>11347.5</v>
      </c>
      <c r="AV76" s="20">
        <v>7.5</v>
      </c>
      <c r="AW76" s="20">
        <v>0</v>
      </c>
      <c r="AX76" s="20">
        <f>projekty[[#This Row],[Stĺpec48]]</f>
        <v>7.5</v>
      </c>
      <c r="AY76" s="20">
        <v>333022</v>
      </c>
      <c r="AZ76" s="20">
        <v>0</v>
      </c>
      <c r="BA76" s="20">
        <f>projekty[[#This Row],[Stĺpec51]]</f>
        <v>333022</v>
      </c>
      <c r="BB76" s="20">
        <v>0</v>
      </c>
      <c r="BC76" s="20">
        <v>0</v>
      </c>
      <c r="BD76" s="20">
        <f>projekty[[#This Row],[Stĺpec54]]</f>
        <v>0</v>
      </c>
      <c r="BE76" s="20">
        <v>0</v>
      </c>
      <c r="BF76" s="20">
        <v>0</v>
      </c>
      <c r="BG76" s="20">
        <f>projekty[[#This Row],[Stĺpec57]]</f>
        <v>0</v>
      </c>
      <c r="BH76" s="20">
        <v>0</v>
      </c>
      <c r="BI76" s="28">
        <v>0</v>
      </c>
      <c r="BJ76" s="20">
        <f>projekty[[#This Row],[Stĺpec60]]</f>
        <v>0</v>
      </c>
    </row>
    <row r="77" spans="1:62" ht="15" x14ac:dyDescent="0.25">
      <c r="A77" s="27" t="s">
        <v>735</v>
      </c>
      <c r="B77" s="14" t="s">
        <v>2393</v>
      </c>
      <c r="C77" s="1" t="s">
        <v>845</v>
      </c>
      <c r="D77" s="18" t="s">
        <v>846</v>
      </c>
      <c r="E77" s="1" t="s">
        <v>1544</v>
      </c>
      <c r="F77" s="15">
        <v>42826</v>
      </c>
      <c r="G77" s="15">
        <v>43405</v>
      </c>
      <c r="H77" s="15"/>
      <c r="I77" s="279">
        <v>398213.82</v>
      </c>
      <c r="J77" s="15"/>
      <c r="K77" s="306">
        <f>projekty[[#This Row],[Stĺpec9]]</f>
        <v>398213.82</v>
      </c>
      <c r="L77" s="20">
        <v>0</v>
      </c>
      <c r="M77" s="20">
        <v>0</v>
      </c>
      <c r="N77" s="20">
        <f>projekty[[#This Row],[Stĺpec12]]</f>
        <v>0</v>
      </c>
      <c r="O77" s="20">
        <v>10.199999999999999</v>
      </c>
      <c r="P77" s="20">
        <v>0</v>
      </c>
      <c r="Q77" s="20">
        <f>projekty[[#This Row],[Stĺpec15]]</f>
        <v>10.199999999999999</v>
      </c>
      <c r="R77" s="20">
        <v>61.753999999999998</v>
      </c>
      <c r="S77" s="20">
        <v>0</v>
      </c>
      <c r="T77" s="20">
        <f>projekty[[#This Row],[Stĺpec18]]</f>
        <v>61.753999999999998</v>
      </c>
      <c r="U77" s="20">
        <v>4</v>
      </c>
      <c r="V77" s="20">
        <v>0</v>
      </c>
      <c r="W77" s="20">
        <f>projekty[[#This Row],[Stĺpec21]]</f>
        <v>4</v>
      </c>
      <c r="X77" s="20">
        <v>1</v>
      </c>
      <c r="Y77" s="20">
        <v>0</v>
      </c>
      <c r="Z77" s="20">
        <f>projekty[[#This Row],[Stĺpec24]]</f>
        <v>1</v>
      </c>
      <c r="AA77" s="20">
        <v>1377</v>
      </c>
      <c r="AB77" s="20">
        <v>0</v>
      </c>
      <c r="AC77" s="20">
        <f>projekty[[#This Row],[Stĺpec27]]</f>
        <v>1377</v>
      </c>
      <c r="AD77" s="20">
        <v>52.2</v>
      </c>
      <c r="AE77" s="20">
        <v>0</v>
      </c>
      <c r="AF77" s="20">
        <f>projekty[[#This Row],[Stĺpec30]]</f>
        <v>52.2</v>
      </c>
      <c r="AG77" s="20">
        <v>273.10000000000002</v>
      </c>
      <c r="AH77" s="20">
        <v>0</v>
      </c>
      <c r="AI77" s="20">
        <f>projekty[[#This Row],[Stĺpec33]]</f>
        <v>273.10000000000002</v>
      </c>
      <c r="AJ77" s="20">
        <v>220914.45</v>
      </c>
      <c r="AK77" s="20">
        <v>0</v>
      </c>
      <c r="AL77" s="20">
        <f>projekty[[#This Row],[Stĺpec36]]</f>
        <v>220914.45</v>
      </c>
      <c r="AM77" s="20">
        <v>220914.45</v>
      </c>
      <c r="AN77" s="20">
        <v>0</v>
      </c>
      <c r="AO77" s="20">
        <f>projekty[[#This Row],[Stĺpec39]]</f>
        <v>220914.45</v>
      </c>
      <c r="AP77" s="20">
        <v>123</v>
      </c>
      <c r="AQ77" s="20">
        <v>0</v>
      </c>
      <c r="AR77" s="20">
        <f>projekty[[#This Row],[Stĺpec42]]</f>
        <v>123</v>
      </c>
      <c r="AS77" s="20">
        <v>6</v>
      </c>
      <c r="AT77" s="20">
        <v>0</v>
      </c>
      <c r="AU77" s="20">
        <f>projekty[[#This Row],[Stĺpec45]]</f>
        <v>6</v>
      </c>
      <c r="AV77" s="20">
        <v>31</v>
      </c>
      <c r="AW77" s="20">
        <v>0</v>
      </c>
      <c r="AX77" s="20">
        <f>projekty[[#This Row],[Stĺpec48]]</f>
        <v>31</v>
      </c>
      <c r="AY77" s="20">
        <v>349653</v>
      </c>
      <c r="AZ77" s="20">
        <v>0</v>
      </c>
      <c r="BA77" s="20">
        <f>projekty[[#This Row],[Stĺpec51]]</f>
        <v>349653</v>
      </c>
      <c r="BB77" s="20">
        <v>0</v>
      </c>
      <c r="BC77" s="20">
        <v>0</v>
      </c>
      <c r="BD77" s="20">
        <f>projekty[[#This Row],[Stĺpec54]]</f>
        <v>0</v>
      </c>
      <c r="BE77" s="20">
        <v>2.1000000000000001E-2</v>
      </c>
      <c r="BF77" s="20">
        <v>0</v>
      </c>
      <c r="BG77" s="20">
        <f>projekty[[#This Row],[Stĺpec57]]</f>
        <v>2.1000000000000001E-2</v>
      </c>
      <c r="BH77" s="20">
        <v>2.1000000000000001E-2</v>
      </c>
      <c r="BI77" s="28">
        <v>0</v>
      </c>
      <c r="BJ77" s="20">
        <f>projekty[[#This Row],[Stĺpec60]]</f>
        <v>2.1000000000000001E-2</v>
      </c>
    </row>
    <row r="78" spans="1:62" ht="15" x14ac:dyDescent="0.25">
      <c r="A78" s="27" t="s">
        <v>774</v>
      </c>
      <c r="B78" s="14" t="s">
        <v>2393</v>
      </c>
      <c r="C78" s="1" t="s">
        <v>923</v>
      </c>
      <c r="D78" s="18" t="s">
        <v>924</v>
      </c>
      <c r="E78" s="1" t="s">
        <v>1544</v>
      </c>
      <c r="F78" s="15">
        <v>42826</v>
      </c>
      <c r="G78" s="15">
        <v>43435</v>
      </c>
      <c r="H78" s="15"/>
      <c r="I78" s="279">
        <v>129615.11</v>
      </c>
      <c r="J78" s="15"/>
      <c r="K78" s="306">
        <f>projekty[[#This Row],[Stĺpec9]]</f>
        <v>129615.11</v>
      </c>
      <c r="L78" s="20">
        <v>0</v>
      </c>
      <c r="M78" s="20">
        <v>0</v>
      </c>
      <c r="N78" s="20">
        <f>projekty[[#This Row],[Stĺpec12]]</f>
        <v>0</v>
      </c>
      <c r="O78" s="20">
        <v>0</v>
      </c>
      <c r="P78" s="20">
        <v>0</v>
      </c>
      <c r="Q78" s="20">
        <f>projekty[[#This Row],[Stĺpec15]]</f>
        <v>0</v>
      </c>
      <c r="R78" s="20">
        <v>11.315300000000001</v>
      </c>
      <c r="S78" s="20">
        <v>0</v>
      </c>
      <c r="T78" s="20">
        <f>projekty[[#This Row],[Stĺpec18]]</f>
        <v>11.315300000000001</v>
      </c>
      <c r="U78" s="20">
        <v>2</v>
      </c>
      <c r="V78" s="20">
        <v>0</v>
      </c>
      <c r="W78" s="20">
        <f>projekty[[#This Row],[Stĺpec21]]</f>
        <v>2</v>
      </c>
      <c r="X78" s="20">
        <v>1</v>
      </c>
      <c r="Y78" s="20">
        <v>0</v>
      </c>
      <c r="Z78" s="20">
        <f>projekty[[#This Row],[Stĺpec24]]</f>
        <v>1</v>
      </c>
      <c r="AA78" s="20">
        <v>602.88</v>
      </c>
      <c r="AB78" s="20">
        <v>0</v>
      </c>
      <c r="AC78" s="20">
        <f>projekty[[#This Row],[Stĺpec27]]</f>
        <v>602.88</v>
      </c>
      <c r="AD78" s="20">
        <v>22.952100000000002</v>
      </c>
      <c r="AE78" s="20">
        <v>0</v>
      </c>
      <c r="AF78" s="20">
        <f>projekty[[#This Row],[Stĺpec30]]</f>
        <v>22.952100000000002</v>
      </c>
      <c r="AG78" s="20">
        <v>63.724299999999999</v>
      </c>
      <c r="AH78" s="20">
        <v>0</v>
      </c>
      <c r="AI78" s="20">
        <f>projekty[[#This Row],[Stĺpec33]]</f>
        <v>63.724299999999999</v>
      </c>
      <c r="AJ78" s="20">
        <v>40772.199999999997</v>
      </c>
      <c r="AK78" s="20">
        <v>0</v>
      </c>
      <c r="AL78" s="20">
        <f>projekty[[#This Row],[Stĺpec36]]</f>
        <v>40772.199999999997</v>
      </c>
      <c r="AM78" s="20">
        <v>47295.75</v>
      </c>
      <c r="AN78" s="20">
        <v>0</v>
      </c>
      <c r="AO78" s="20">
        <f>projekty[[#This Row],[Stĺpec39]]</f>
        <v>47295.75</v>
      </c>
      <c r="AP78" s="20">
        <v>6.423</v>
      </c>
      <c r="AQ78" s="20">
        <v>0</v>
      </c>
      <c r="AR78" s="20">
        <f>projekty[[#This Row],[Stĺpec42]]</f>
        <v>6.423</v>
      </c>
      <c r="AS78" s="20">
        <v>0</v>
      </c>
      <c r="AT78" s="20">
        <v>0</v>
      </c>
      <c r="AU78" s="20">
        <f>projekty[[#This Row],[Stĺpec45]]</f>
        <v>0</v>
      </c>
      <c r="AV78" s="20">
        <v>0.04</v>
      </c>
      <c r="AW78" s="20">
        <v>0</v>
      </c>
      <c r="AX78" s="20">
        <f>projekty[[#This Row],[Stĺpec48]]</f>
        <v>0.04</v>
      </c>
      <c r="AY78" s="20">
        <v>55806.81</v>
      </c>
      <c r="AZ78" s="20">
        <v>0</v>
      </c>
      <c r="BA78" s="20">
        <f>projekty[[#This Row],[Stĺpec51]]</f>
        <v>55806.81</v>
      </c>
      <c r="BB78" s="20">
        <v>0</v>
      </c>
      <c r="BC78" s="20">
        <v>0</v>
      </c>
      <c r="BD78" s="20">
        <f>projekty[[#This Row],[Stĺpec54]]</f>
        <v>0</v>
      </c>
      <c r="BE78" s="20">
        <v>0</v>
      </c>
      <c r="BF78" s="20">
        <v>0</v>
      </c>
      <c r="BG78" s="20">
        <f>projekty[[#This Row],[Stĺpec57]]</f>
        <v>0</v>
      </c>
      <c r="BH78" s="20">
        <v>0</v>
      </c>
      <c r="BI78" s="28">
        <v>0</v>
      </c>
      <c r="BJ78" s="20">
        <f>projekty[[#This Row],[Stĺpec60]]</f>
        <v>0</v>
      </c>
    </row>
    <row r="79" spans="1:62" ht="15" x14ac:dyDescent="0.25">
      <c r="A79" s="27" t="s">
        <v>736</v>
      </c>
      <c r="B79" s="14" t="s">
        <v>2393</v>
      </c>
      <c r="C79" s="1" t="s">
        <v>847</v>
      </c>
      <c r="D79" s="18" t="s">
        <v>848</v>
      </c>
      <c r="E79" s="1" t="s">
        <v>1544</v>
      </c>
      <c r="F79" s="15">
        <v>42826</v>
      </c>
      <c r="G79" s="15">
        <v>43435</v>
      </c>
      <c r="H79" s="15"/>
      <c r="I79" s="279">
        <v>331804.90999999997</v>
      </c>
      <c r="J79" s="15"/>
      <c r="K79" s="306">
        <f>projekty[[#This Row],[Stĺpec9]]</f>
        <v>331804.90999999997</v>
      </c>
      <c r="L79" s="20">
        <v>0</v>
      </c>
      <c r="M79" s="20">
        <v>0</v>
      </c>
      <c r="N79" s="20">
        <f>projekty[[#This Row],[Stĺpec12]]</f>
        <v>0</v>
      </c>
      <c r="O79" s="20">
        <v>0</v>
      </c>
      <c r="P79" s="20">
        <v>0</v>
      </c>
      <c r="Q79" s="20">
        <f>projekty[[#This Row],[Stĺpec15]]</f>
        <v>0</v>
      </c>
      <c r="R79" s="20">
        <v>4.7389999999999999</v>
      </c>
      <c r="S79" s="20">
        <v>0</v>
      </c>
      <c r="T79" s="20">
        <f>projekty[[#This Row],[Stĺpec18]]</f>
        <v>4.7389999999999999</v>
      </c>
      <c r="U79" s="20">
        <v>5</v>
      </c>
      <c r="V79" s="20">
        <v>0</v>
      </c>
      <c r="W79" s="20">
        <f>projekty[[#This Row],[Stĺpec21]]</f>
        <v>5</v>
      </c>
      <c r="X79" s="20">
        <v>1</v>
      </c>
      <c r="Y79" s="20">
        <v>0</v>
      </c>
      <c r="Z79" s="20">
        <f>projekty[[#This Row],[Stĺpec24]]</f>
        <v>1</v>
      </c>
      <c r="AA79" s="20">
        <v>933.13</v>
      </c>
      <c r="AB79" s="20">
        <v>0</v>
      </c>
      <c r="AC79" s="20">
        <f>projekty[[#This Row],[Stĺpec27]]</f>
        <v>933.13</v>
      </c>
      <c r="AD79" s="20">
        <v>24.69</v>
      </c>
      <c r="AE79" s="20">
        <v>0</v>
      </c>
      <c r="AF79" s="20">
        <f>projekty[[#This Row],[Stĺpec30]]</f>
        <v>24.69</v>
      </c>
      <c r="AG79" s="20">
        <v>99.7</v>
      </c>
      <c r="AH79" s="20">
        <v>0</v>
      </c>
      <c r="AI79" s="20">
        <f>projekty[[#This Row],[Stĺpec33]]</f>
        <v>99.7</v>
      </c>
      <c r="AJ79" s="20">
        <v>75.010000000000005</v>
      </c>
      <c r="AK79" s="20">
        <v>0</v>
      </c>
      <c r="AL79" s="20">
        <f>projekty[[#This Row],[Stĺpec36]]</f>
        <v>75.010000000000005</v>
      </c>
      <c r="AM79" s="20">
        <v>89627.1</v>
      </c>
      <c r="AN79" s="20">
        <v>0</v>
      </c>
      <c r="AO79" s="20">
        <f>projekty[[#This Row],[Stĺpec39]]</f>
        <v>89627.1</v>
      </c>
      <c r="AP79" s="20">
        <v>77.900000000000006</v>
      </c>
      <c r="AQ79" s="20">
        <v>0</v>
      </c>
      <c r="AR79" s="20">
        <f>projekty[[#This Row],[Stĺpec42]]</f>
        <v>77.900000000000006</v>
      </c>
      <c r="AS79" s="20">
        <v>379</v>
      </c>
      <c r="AT79" s="20">
        <v>0</v>
      </c>
      <c r="AU79" s="20">
        <f>projekty[[#This Row],[Stĺpec45]]</f>
        <v>379</v>
      </c>
      <c r="AV79" s="20">
        <v>0.46</v>
      </c>
      <c r="AW79" s="20">
        <v>0</v>
      </c>
      <c r="AX79" s="20">
        <f>projekty[[#This Row],[Stĺpec48]]</f>
        <v>0.46</v>
      </c>
      <c r="AY79" s="20">
        <v>25032.27</v>
      </c>
      <c r="AZ79" s="20">
        <v>0</v>
      </c>
      <c r="BA79" s="20">
        <f>projekty[[#This Row],[Stĺpec51]]</f>
        <v>25032.27</v>
      </c>
      <c r="BB79" s="20">
        <v>0</v>
      </c>
      <c r="BC79" s="20">
        <v>0</v>
      </c>
      <c r="BD79" s="20">
        <f>projekty[[#This Row],[Stĺpec54]]</f>
        <v>0</v>
      </c>
      <c r="BE79" s="20">
        <v>0</v>
      </c>
      <c r="BF79" s="20">
        <v>0</v>
      </c>
      <c r="BG79" s="20">
        <f>projekty[[#This Row],[Stĺpec57]]</f>
        <v>0</v>
      </c>
      <c r="BH79" s="20">
        <v>0</v>
      </c>
      <c r="BI79" s="28">
        <v>0</v>
      </c>
      <c r="BJ79" s="20">
        <f>projekty[[#This Row],[Stĺpec60]]</f>
        <v>0</v>
      </c>
    </row>
    <row r="80" spans="1:62" ht="15" x14ac:dyDescent="0.25">
      <c r="A80" s="27" t="s">
        <v>786</v>
      </c>
      <c r="B80" s="14" t="s">
        <v>2393</v>
      </c>
      <c r="C80" s="1" t="s">
        <v>945</v>
      </c>
      <c r="D80" s="18" t="s">
        <v>946</v>
      </c>
      <c r="E80" s="1" t="s">
        <v>1544</v>
      </c>
      <c r="F80" s="15">
        <v>42826</v>
      </c>
      <c r="G80" s="15">
        <v>43435</v>
      </c>
      <c r="H80" s="15"/>
      <c r="I80" s="279">
        <v>177038.44</v>
      </c>
      <c r="J80" s="15"/>
      <c r="K80" s="306">
        <f>projekty[[#This Row],[Stĺpec9]]</f>
        <v>177038.44</v>
      </c>
      <c r="L80" s="20">
        <v>0</v>
      </c>
      <c r="M80" s="20">
        <v>0</v>
      </c>
      <c r="N80" s="20">
        <f>projekty[[#This Row],[Stĺpec12]]</f>
        <v>0</v>
      </c>
      <c r="O80" s="20">
        <v>0</v>
      </c>
      <c r="P80" s="20">
        <v>0</v>
      </c>
      <c r="Q80" s="20">
        <f>projekty[[#This Row],[Stĺpec15]]</f>
        <v>0</v>
      </c>
      <c r="R80" s="20">
        <v>12.84</v>
      </c>
      <c r="S80" s="20">
        <v>0</v>
      </c>
      <c r="T80" s="20">
        <f>projekty[[#This Row],[Stĺpec18]]</f>
        <v>12.84</v>
      </c>
      <c r="U80" s="20">
        <v>2</v>
      </c>
      <c r="V80" s="20">
        <v>0</v>
      </c>
      <c r="W80" s="20">
        <f>projekty[[#This Row],[Stĺpec21]]</f>
        <v>2</v>
      </c>
      <c r="X80" s="20">
        <v>1</v>
      </c>
      <c r="Y80" s="20">
        <v>0</v>
      </c>
      <c r="Z80" s="20">
        <f>projekty[[#This Row],[Stĺpec24]]</f>
        <v>1</v>
      </c>
      <c r="AA80" s="20">
        <v>452.43</v>
      </c>
      <c r="AB80" s="20">
        <v>0</v>
      </c>
      <c r="AC80" s="20">
        <f>projekty[[#This Row],[Stĺpec27]]</f>
        <v>452.43</v>
      </c>
      <c r="AD80" s="20">
        <v>29.483799999999999</v>
      </c>
      <c r="AE80" s="20">
        <v>0</v>
      </c>
      <c r="AF80" s="20">
        <f>projekty[[#This Row],[Stĺpec30]]</f>
        <v>29.483799999999999</v>
      </c>
      <c r="AG80" s="20">
        <v>70.3</v>
      </c>
      <c r="AH80" s="20">
        <v>0</v>
      </c>
      <c r="AI80" s="20">
        <f>projekty[[#This Row],[Stĺpec33]]</f>
        <v>70.3</v>
      </c>
      <c r="AJ80" s="20">
        <v>40816.199999999997</v>
      </c>
      <c r="AK80" s="20">
        <v>0</v>
      </c>
      <c r="AL80" s="20">
        <f>projekty[[#This Row],[Stĺpec36]]</f>
        <v>40816.199999999997</v>
      </c>
      <c r="AM80" s="20">
        <v>53888.94</v>
      </c>
      <c r="AN80" s="20">
        <v>0</v>
      </c>
      <c r="AO80" s="20">
        <f>projekty[[#This Row],[Stĺpec39]]</f>
        <v>53888.94</v>
      </c>
      <c r="AP80" s="20">
        <v>14</v>
      </c>
      <c r="AQ80" s="20">
        <v>0</v>
      </c>
      <c r="AR80" s="20">
        <f>projekty[[#This Row],[Stĺpec42]]</f>
        <v>14</v>
      </c>
      <c r="AS80" s="20">
        <v>0</v>
      </c>
      <c r="AT80" s="20">
        <v>0</v>
      </c>
      <c r="AU80" s="20">
        <f>projekty[[#This Row],[Stĺpec45]]</f>
        <v>0</v>
      </c>
      <c r="AV80" s="20">
        <v>0</v>
      </c>
      <c r="AW80" s="20">
        <v>0</v>
      </c>
      <c r="AX80" s="20">
        <f>projekty[[#This Row],[Stĺpec48]]</f>
        <v>0</v>
      </c>
      <c r="AY80" s="20">
        <v>75144.100000000006</v>
      </c>
      <c r="AZ80" s="20">
        <v>0</v>
      </c>
      <c r="BA80" s="20">
        <f>projekty[[#This Row],[Stĺpec51]]</f>
        <v>75144.100000000006</v>
      </c>
      <c r="BB80" s="20">
        <v>0</v>
      </c>
      <c r="BC80" s="20">
        <v>0</v>
      </c>
      <c r="BD80" s="20">
        <f>projekty[[#This Row],[Stĺpec54]]</f>
        <v>0</v>
      </c>
      <c r="BE80" s="20">
        <v>0</v>
      </c>
      <c r="BF80" s="20">
        <v>0</v>
      </c>
      <c r="BG80" s="20">
        <f>projekty[[#This Row],[Stĺpec57]]</f>
        <v>0</v>
      </c>
      <c r="BH80" s="20">
        <v>0</v>
      </c>
      <c r="BI80" s="28">
        <v>0</v>
      </c>
      <c r="BJ80" s="20">
        <f>projekty[[#This Row],[Stĺpec60]]</f>
        <v>0</v>
      </c>
    </row>
    <row r="81" spans="1:62" ht="15" x14ac:dyDescent="0.25">
      <c r="A81" s="27" t="s">
        <v>759</v>
      </c>
      <c r="B81" s="14" t="s">
        <v>2393</v>
      </c>
      <c r="C81" s="1" t="s">
        <v>893</v>
      </c>
      <c r="D81" s="18" t="s">
        <v>894</v>
      </c>
      <c r="E81" s="1" t="s">
        <v>1544</v>
      </c>
      <c r="F81" s="15">
        <v>42826</v>
      </c>
      <c r="G81" s="15">
        <v>43435</v>
      </c>
      <c r="H81" s="15"/>
      <c r="I81" s="279">
        <v>277974.19</v>
      </c>
      <c r="J81" s="15"/>
      <c r="K81" s="306">
        <f>projekty[[#This Row],[Stĺpec9]]</f>
        <v>277974.19</v>
      </c>
      <c r="L81" s="20">
        <v>0</v>
      </c>
      <c r="M81" s="20">
        <v>0</v>
      </c>
      <c r="N81" s="20">
        <f>projekty[[#This Row],[Stĺpec12]]</f>
        <v>0</v>
      </c>
      <c r="O81" s="20">
        <v>0</v>
      </c>
      <c r="P81" s="20">
        <v>0</v>
      </c>
      <c r="Q81" s="20">
        <f>projekty[[#This Row],[Stĺpec15]]</f>
        <v>0</v>
      </c>
      <c r="R81" s="20">
        <v>39.269500000000001</v>
      </c>
      <c r="S81" s="20">
        <v>0</v>
      </c>
      <c r="T81" s="20">
        <f>projekty[[#This Row],[Stĺpec18]]</f>
        <v>39.269500000000001</v>
      </c>
      <c r="U81" s="20">
        <v>3</v>
      </c>
      <c r="V81" s="20">
        <v>0</v>
      </c>
      <c r="W81" s="20">
        <f>projekty[[#This Row],[Stĺpec21]]</f>
        <v>3</v>
      </c>
      <c r="X81" s="20">
        <v>1</v>
      </c>
      <c r="Y81" s="20">
        <v>0</v>
      </c>
      <c r="Z81" s="20">
        <f>projekty[[#This Row],[Stĺpec24]]</f>
        <v>1</v>
      </c>
      <c r="AA81" s="20">
        <v>820.17</v>
      </c>
      <c r="AB81" s="20">
        <v>0</v>
      </c>
      <c r="AC81" s="20">
        <f>projekty[[#This Row],[Stĺpec27]]</f>
        <v>820.17</v>
      </c>
      <c r="AD81" s="20">
        <v>33.115200000000002</v>
      </c>
      <c r="AE81" s="20">
        <v>0</v>
      </c>
      <c r="AF81" s="20">
        <f>projekty[[#This Row],[Stĺpec30]]</f>
        <v>33.115200000000002</v>
      </c>
      <c r="AG81" s="20">
        <v>111.44</v>
      </c>
      <c r="AH81" s="20">
        <v>0</v>
      </c>
      <c r="AI81" s="20">
        <f>projekty[[#This Row],[Stĺpec33]]</f>
        <v>111.44</v>
      </c>
      <c r="AJ81" s="20">
        <v>78324.800000000003</v>
      </c>
      <c r="AK81" s="20">
        <v>0</v>
      </c>
      <c r="AL81" s="20">
        <f>projekty[[#This Row],[Stĺpec36]]</f>
        <v>78324.800000000003</v>
      </c>
      <c r="AM81" s="20">
        <v>136664.92000000001</v>
      </c>
      <c r="AN81" s="20">
        <v>0</v>
      </c>
      <c r="AO81" s="20">
        <f>projekty[[#This Row],[Stĺpec39]]</f>
        <v>136664.92000000001</v>
      </c>
      <c r="AP81" s="20">
        <v>1</v>
      </c>
      <c r="AQ81" s="20">
        <v>0</v>
      </c>
      <c r="AR81" s="20">
        <f>projekty[[#This Row],[Stĺpec42]]</f>
        <v>1</v>
      </c>
      <c r="AS81" s="20">
        <v>0</v>
      </c>
      <c r="AT81" s="20">
        <v>0</v>
      </c>
      <c r="AU81" s="20">
        <f>projekty[[#This Row],[Stĺpec45]]</f>
        <v>0</v>
      </c>
      <c r="AV81" s="20">
        <v>2</v>
      </c>
      <c r="AW81" s="20">
        <v>0</v>
      </c>
      <c r="AX81" s="20">
        <f>projekty[[#This Row],[Stĺpec48]]</f>
        <v>2</v>
      </c>
      <c r="AY81" s="20">
        <v>224636.36</v>
      </c>
      <c r="AZ81" s="20">
        <v>0</v>
      </c>
      <c r="BA81" s="20">
        <f>projekty[[#This Row],[Stĺpec51]]</f>
        <v>224636.36</v>
      </c>
      <c r="BB81" s="20">
        <v>0</v>
      </c>
      <c r="BC81" s="20">
        <v>0</v>
      </c>
      <c r="BD81" s="20">
        <f>projekty[[#This Row],[Stĺpec54]]</f>
        <v>0</v>
      </c>
      <c r="BE81" s="20">
        <v>0</v>
      </c>
      <c r="BF81" s="20">
        <v>0</v>
      </c>
      <c r="BG81" s="20">
        <f>projekty[[#This Row],[Stĺpec57]]</f>
        <v>0</v>
      </c>
      <c r="BH81" s="20">
        <v>0</v>
      </c>
      <c r="BI81" s="28">
        <v>0</v>
      </c>
      <c r="BJ81" s="20">
        <f>projekty[[#This Row],[Stĺpec60]]</f>
        <v>0</v>
      </c>
    </row>
    <row r="82" spans="1:62" s="899" customFormat="1" ht="15" x14ac:dyDescent="0.25">
      <c r="A82" s="1247" t="s">
        <v>768</v>
      </c>
      <c r="B82" s="311" t="s">
        <v>2393</v>
      </c>
      <c r="C82" s="24" t="s">
        <v>911</v>
      </c>
      <c r="D82" s="18" t="s">
        <v>912</v>
      </c>
      <c r="E82" s="1" t="s">
        <v>1544</v>
      </c>
      <c r="F82" s="15">
        <v>42826</v>
      </c>
      <c r="G82" s="15">
        <v>43435</v>
      </c>
      <c r="H82" s="15"/>
      <c r="I82" s="1248">
        <v>478967.14</v>
      </c>
      <c r="J82" s="15"/>
      <c r="K82" s="306">
        <f>projekty[[#This Row],[Stĺpec9]]</f>
        <v>478967.14</v>
      </c>
      <c r="L82" s="21">
        <v>0</v>
      </c>
      <c r="M82" s="21">
        <v>0</v>
      </c>
      <c r="N82" s="21">
        <f>projekty[[#This Row],[Stĺpec12]]</f>
        <v>0</v>
      </c>
      <c r="O82" s="21">
        <v>3.6</v>
      </c>
      <c r="P82" s="21">
        <v>0</v>
      </c>
      <c r="Q82" s="21">
        <f>projekty[[#This Row],[Stĺpec15]]</f>
        <v>3.6</v>
      </c>
      <c r="R82" s="21">
        <v>6.78</v>
      </c>
      <c r="S82" s="21">
        <v>0</v>
      </c>
      <c r="T82" s="21">
        <f>projekty[[#This Row],[Stĺpec18]]</f>
        <v>6.78</v>
      </c>
      <c r="U82" s="21">
        <v>3</v>
      </c>
      <c r="V82" s="21">
        <v>0</v>
      </c>
      <c r="W82" s="21">
        <f>projekty[[#This Row],[Stĺpec21]]</f>
        <v>3</v>
      </c>
      <c r="X82" s="21">
        <v>1</v>
      </c>
      <c r="Y82" s="21">
        <v>0</v>
      </c>
      <c r="Z82" s="21">
        <f>projekty[[#This Row],[Stĺpec24]]</f>
        <v>1</v>
      </c>
      <c r="AA82" s="21">
        <v>1453.78</v>
      </c>
      <c r="AB82" s="21">
        <v>0</v>
      </c>
      <c r="AC82" s="21">
        <f>projekty[[#This Row],[Stĺpec27]]</f>
        <v>1453.78</v>
      </c>
      <c r="AD82" s="21">
        <v>55.5</v>
      </c>
      <c r="AE82" s="21">
        <v>0</v>
      </c>
      <c r="AF82" s="21">
        <f>projekty[[#This Row],[Stĺpec30]]</f>
        <v>55.5</v>
      </c>
      <c r="AG82" s="21">
        <v>167.3</v>
      </c>
      <c r="AH82" s="21">
        <v>0</v>
      </c>
      <c r="AI82" s="21">
        <f>projekty[[#This Row],[Stĺpec33]]</f>
        <v>167.3</v>
      </c>
      <c r="AJ82" s="21">
        <v>111839</v>
      </c>
      <c r="AK82" s="21">
        <v>0</v>
      </c>
      <c r="AL82" s="21">
        <f>projekty[[#This Row],[Stĺpec36]]</f>
        <v>111839</v>
      </c>
      <c r="AM82" s="21">
        <v>204351</v>
      </c>
      <c r="AN82" s="21">
        <v>0</v>
      </c>
      <c r="AO82" s="21">
        <f>projekty[[#This Row],[Stĺpec39]]</f>
        <v>204351</v>
      </c>
      <c r="AP82" s="21">
        <v>28.71</v>
      </c>
      <c r="AQ82" s="21">
        <v>0</v>
      </c>
      <c r="AR82" s="21">
        <f>projekty[[#This Row],[Stĺpec42]]</f>
        <v>28.71</v>
      </c>
      <c r="AS82" s="21">
        <v>1.65</v>
      </c>
      <c r="AT82" s="21">
        <v>0</v>
      </c>
      <c r="AU82" s="21">
        <f>projekty[[#This Row],[Stĺpec45]]</f>
        <v>1.65</v>
      </c>
      <c r="AV82" s="21">
        <v>1.42</v>
      </c>
      <c r="AW82" s="21">
        <v>0</v>
      </c>
      <c r="AX82" s="21">
        <f>projekty[[#This Row],[Stĺpec48]]</f>
        <v>1.42</v>
      </c>
      <c r="AY82" s="21">
        <v>349374</v>
      </c>
      <c r="AZ82" s="21">
        <v>0</v>
      </c>
      <c r="BA82" s="21">
        <f>projekty[[#This Row],[Stĺpec51]]</f>
        <v>349374</v>
      </c>
      <c r="BB82" s="21">
        <v>0</v>
      </c>
      <c r="BC82" s="21">
        <v>0</v>
      </c>
      <c r="BD82" s="21">
        <f>projekty[[#This Row],[Stĺpec54]]</f>
        <v>0</v>
      </c>
      <c r="BE82" s="21">
        <v>2.3999999999999998E-3</v>
      </c>
      <c r="BF82" s="21">
        <v>0</v>
      </c>
      <c r="BG82" s="21">
        <f>projekty[[#This Row],[Stĺpec57]]</f>
        <v>2.3999999999999998E-3</v>
      </c>
      <c r="BH82" s="21">
        <v>2.3999999999999998E-3</v>
      </c>
      <c r="BI82" s="1249">
        <v>0</v>
      </c>
      <c r="BJ82" s="21">
        <f>projekty[[#This Row],[Stĺpec60]]</f>
        <v>2.3999999999999998E-3</v>
      </c>
    </row>
    <row r="83" spans="1:62" ht="15" x14ac:dyDescent="0.25">
      <c r="A83" s="27" t="s">
        <v>754</v>
      </c>
      <c r="B83" s="14" t="s">
        <v>2393</v>
      </c>
      <c r="C83" s="1" t="s">
        <v>883</v>
      </c>
      <c r="D83" s="18" t="s">
        <v>884</v>
      </c>
      <c r="E83" s="1" t="s">
        <v>1544</v>
      </c>
      <c r="F83" s="15">
        <v>42767</v>
      </c>
      <c r="G83" s="15">
        <v>43466</v>
      </c>
      <c r="H83" s="15"/>
      <c r="I83" s="279">
        <v>1254396.53</v>
      </c>
      <c r="J83" s="15"/>
      <c r="K83" s="306"/>
      <c r="L83" s="20">
        <v>10.7</v>
      </c>
      <c r="M83" s="20">
        <v>0</v>
      </c>
      <c r="N83" s="20"/>
      <c r="O83" s="20">
        <v>4.9000000000000004</v>
      </c>
      <c r="P83" s="20"/>
      <c r="Q83" s="20">
        <f>projekty[[#This Row],[Stĺpec15]]</f>
        <v>4.9000000000000004</v>
      </c>
      <c r="R83" s="20">
        <v>92634</v>
      </c>
      <c r="S83" s="20">
        <v>0</v>
      </c>
      <c r="T83" s="20"/>
      <c r="U83" s="20">
        <v>5</v>
      </c>
      <c r="V83" s="20">
        <v>0</v>
      </c>
      <c r="W83" s="20"/>
      <c r="X83" s="20">
        <v>3</v>
      </c>
      <c r="Y83" s="20">
        <v>0</v>
      </c>
      <c r="Z83" s="20"/>
      <c r="AA83" s="20">
        <v>0</v>
      </c>
      <c r="AB83" s="20">
        <v>0</v>
      </c>
      <c r="AC83" s="20"/>
      <c r="AD83" s="20">
        <v>214</v>
      </c>
      <c r="AE83" s="20">
        <v>0</v>
      </c>
      <c r="AF83" s="20"/>
      <c r="AG83" s="20">
        <v>626</v>
      </c>
      <c r="AH83" s="20">
        <v>0</v>
      </c>
      <c r="AI83" s="20"/>
      <c r="AJ83" s="20">
        <v>411892</v>
      </c>
      <c r="AK83" s="20">
        <v>0</v>
      </c>
      <c r="AL83" s="20"/>
      <c r="AM83" s="20">
        <v>525000</v>
      </c>
      <c r="AN83" s="20">
        <v>0</v>
      </c>
      <c r="AO83" s="20"/>
      <c r="AP83" s="20">
        <v>67</v>
      </c>
      <c r="AQ83" s="20">
        <v>0</v>
      </c>
      <c r="AR83" s="20"/>
      <c r="AS83" s="20">
        <v>3.4</v>
      </c>
      <c r="AT83" s="20">
        <v>0</v>
      </c>
      <c r="AU83" s="20"/>
      <c r="AV83" s="20">
        <v>0.4</v>
      </c>
      <c r="AW83" s="20">
        <v>0</v>
      </c>
      <c r="AX83" s="20"/>
      <c r="AY83" s="20">
        <v>579688</v>
      </c>
      <c r="AZ83" s="20">
        <v>0</v>
      </c>
      <c r="BA83" s="20"/>
      <c r="BB83" s="20">
        <v>10.7</v>
      </c>
      <c r="BC83" s="20">
        <v>0</v>
      </c>
      <c r="BD83" s="20"/>
      <c r="BE83" s="20">
        <v>1.4E-2</v>
      </c>
      <c r="BF83" s="20">
        <v>0</v>
      </c>
      <c r="BG83" s="20"/>
      <c r="BH83" s="20">
        <v>4.9000000000000004</v>
      </c>
      <c r="BI83" s="28">
        <v>0</v>
      </c>
      <c r="BJ83" s="20"/>
    </row>
    <row r="84" spans="1:62" ht="15" x14ac:dyDescent="0.25">
      <c r="A84" s="27" t="s">
        <v>745</v>
      </c>
      <c r="B84" s="14" t="s">
        <v>2393</v>
      </c>
      <c r="C84" s="1" t="s">
        <v>865</v>
      </c>
      <c r="D84" s="18" t="s">
        <v>866</v>
      </c>
      <c r="E84" s="1" t="s">
        <v>1544</v>
      </c>
      <c r="F84" s="15">
        <v>42795</v>
      </c>
      <c r="G84" s="15">
        <v>43497</v>
      </c>
      <c r="H84" s="15"/>
      <c r="I84" s="279">
        <v>158647.03</v>
      </c>
      <c r="J84" s="15"/>
      <c r="K84" s="306"/>
      <c r="L84" s="20">
        <v>0</v>
      </c>
      <c r="M84" s="20">
        <v>0</v>
      </c>
      <c r="N84" s="20"/>
      <c r="O84" s="20">
        <v>10</v>
      </c>
      <c r="P84" s="20"/>
      <c r="Q84" s="20">
        <f>projekty[[#This Row],[Stĺpec15]]</f>
        <v>10</v>
      </c>
      <c r="R84" s="20">
        <v>12</v>
      </c>
      <c r="S84" s="20">
        <v>0</v>
      </c>
      <c r="T84" s="20"/>
      <c r="U84" s="20">
        <v>3</v>
      </c>
      <c r="V84" s="20">
        <v>0</v>
      </c>
      <c r="W84" s="20"/>
      <c r="X84" s="20">
        <v>1</v>
      </c>
      <c r="Y84" s="20">
        <v>0</v>
      </c>
      <c r="Z84" s="20"/>
      <c r="AA84" s="20">
        <v>534.5</v>
      </c>
      <c r="AB84" s="20">
        <v>0</v>
      </c>
      <c r="AC84" s="20"/>
      <c r="AD84" s="20">
        <v>7.2119999999999997</v>
      </c>
      <c r="AE84" s="20">
        <v>0</v>
      </c>
      <c r="AF84" s="20"/>
      <c r="AG84" s="20">
        <v>51.988999999999997</v>
      </c>
      <c r="AH84" s="20">
        <v>0</v>
      </c>
      <c r="AI84" s="20"/>
      <c r="AJ84" s="20">
        <v>44777</v>
      </c>
      <c r="AK84" s="20">
        <v>0</v>
      </c>
      <c r="AL84" s="20"/>
      <c r="AM84" s="20">
        <v>44848</v>
      </c>
      <c r="AN84" s="20">
        <v>0</v>
      </c>
      <c r="AO84" s="20"/>
      <c r="AP84" s="20">
        <v>0</v>
      </c>
      <c r="AQ84" s="20">
        <v>0</v>
      </c>
      <c r="AR84" s="20"/>
      <c r="AS84" s="20">
        <v>0</v>
      </c>
      <c r="AT84" s="20">
        <v>0</v>
      </c>
      <c r="AU84" s="20"/>
      <c r="AV84" s="20">
        <v>0</v>
      </c>
      <c r="AW84" s="20">
        <v>0</v>
      </c>
      <c r="AX84" s="20"/>
      <c r="AY84" s="20">
        <v>44777</v>
      </c>
      <c r="AZ84" s="20">
        <v>0</v>
      </c>
      <c r="BA84" s="20"/>
      <c r="BB84" s="20">
        <v>0</v>
      </c>
      <c r="BC84" s="20">
        <v>0</v>
      </c>
      <c r="BD84" s="20"/>
      <c r="BE84" s="20">
        <v>0.01</v>
      </c>
      <c r="BF84" s="20">
        <v>0</v>
      </c>
      <c r="BG84" s="20"/>
      <c r="BH84" s="20">
        <v>0.01</v>
      </c>
      <c r="BI84" s="28">
        <v>0</v>
      </c>
      <c r="BJ84" s="20"/>
    </row>
    <row r="85" spans="1:62" ht="15" x14ac:dyDescent="0.25">
      <c r="A85" s="27" t="s">
        <v>792</v>
      </c>
      <c r="B85" s="14" t="s">
        <v>2393</v>
      </c>
      <c r="C85" s="1" t="s">
        <v>957</v>
      </c>
      <c r="D85" s="18" t="s">
        <v>958</v>
      </c>
      <c r="E85" s="1" t="s">
        <v>1544</v>
      </c>
      <c r="F85" s="15">
        <v>42826</v>
      </c>
      <c r="G85" s="15">
        <v>43525</v>
      </c>
      <c r="H85" s="15"/>
      <c r="I85" s="279">
        <v>378017.39</v>
      </c>
      <c r="J85" s="15"/>
      <c r="K85" s="306"/>
      <c r="L85" s="20">
        <v>6.6018999999999997</v>
      </c>
      <c r="M85" s="20">
        <v>0</v>
      </c>
      <c r="N85" s="20"/>
      <c r="O85" s="20">
        <v>0</v>
      </c>
      <c r="P85" s="20"/>
      <c r="Q85" s="20">
        <f>projekty[[#This Row],[Stĺpec15]]</f>
        <v>0</v>
      </c>
      <c r="R85" s="20">
        <v>1.8499999999999999E-2</v>
      </c>
      <c r="S85" s="20">
        <v>0</v>
      </c>
      <c r="T85" s="20"/>
      <c r="U85" s="20">
        <v>3</v>
      </c>
      <c r="V85" s="20">
        <v>0</v>
      </c>
      <c r="W85" s="20"/>
      <c r="X85" s="20">
        <v>1</v>
      </c>
      <c r="Y85" s="20">
        <v>0</v>
      </c>
      <c r="Z85" s="20"/>
      <c r="AA85" s="20">
        <v>731.92</v>
      </c>
      <c r="AB85" s="20">
        <v>0</v>
      </c>
      <c r="AC85" s="20"/>
      <c r="AD85" s="20">
        <v>36.692900000000002</v>
      </c>
      <c r="AE85" s="20">
        <v>0</v>
      </c>
      <c r="AF85" s="20"/>
      <c r="AG85" s="20">
        <v>119.133</v>
      </c>
      <c r="AH85" s="20">
        <v>0</v>
      </c>
      <c r="AI85" s="20"/>
      <c r="AJ85" s="20">
        <v>82440.035999999993</v>
      </c>
      <c r="AK85" s="20">
        <v>0</v>
      </c>
      <c r="AL85" s="20"/>
      <c r="AM85" s="20">
        <v>70264.320000000007</v>
      </c>
      <c r="AN85" s="20">
        <v>0</v>
      </c>
      <c r="AO85" s="20"/>
      <c r="AP85" s="20">
        <v>15.65</v>
      </c>
      <c r="AQ85" s="20">
        <v>0</v>
      </c>
      <c r="AR85" s="20"/>
      <c r="AS85" s="20">
        <v>1.05</v>
      </c>
      <c r="AT85" s="20">
        <v>0</v>
      </c>
      <c r="AU85" s="20"/>
      <c r="AV85" s="20">
        <v>5.16</v>
      </c>
      <c r="AW85" s="20">
        <v>0</v>
      </c>
      <c r="AX85" s="20"/>
      <c r="AY85" s="20">
        <v>128817.92</v>
      </c>
      <c r="AZ85" s="20">
        <v>0</v>
      </c>
      <c r="BA85" s="20"/>
      <c r="BB85" s="20">
        <v>0</v>
      </c>
      <c r="BC85" s="20">
        <v>0</v>
      </c>
      <c r="BD85" s="20"/>
      <c r="BE85" s="20">
        <v>6.6</v>
      </c>
      <c r="BF85" s="20">
        <v>0</v>
      </c>
      <c r="BG85" s="20"/>
      <c r="BH85" s="20">
        <v>0</v>
      </c>
      <c r="BI85" s="28">
        <v>0</v>
      </c>
      <c r="BJ85" s="20"/>
    </row>
    <row r="86" spans="1:62" ht="15" x14ac:dyDescent="0.25">
      <c r="A86" s="27" t="s">
        <v>726</v>
      </c>
      <c r="B86" s="14" t="s">
        <v>2393</v>
      </c>
      <c r="C86" s="1" t="s">
        <v>827</v>
      </c>
      <c r="D86" s="18" t="s">
        <v>828</v>
      </c>
      <c r="E86" s="1" t="s">
        <v>1544</v>
      </c>
      <c r="F86" s="15">
        <v>42826</v>
      </c>
      <c r="G86" s="15">
        <v>43525</v>
      </c>
      <c r="H86" s="15"/>
      <c r="I86" s="279">
        <v>95661.94</v>
      </c>
      <c r="J86" s="15"/>
      <c r="K86" s="306"/>
      <c r="L86" s="20">
        <v>0</v>
      </c>
      <c r="M86" s="20">
        <v>0</v>
      </c>
      <c r="N86" s="20"/>
      <c r="O86" s="20">
        <v>0</v>
      </c>
      <c r="P86" s="20"/>
      <c r="Q86" s="20">
        <f>projekty[[#This Row],[Stĺpec15]]</f>
        <v>0</v>
      </c>
      <c r="R86" s="20">
        <v>14.65</v>
      </c>
      <c r="S86" s="20">
        <v>0</v>
      </c>
      <c r="T86" s="20"/>
      <c r="U86" s="20">
        <v>2</v>
      </c>
      <c r="V86" s="20">
        <v>0</v>
      </c>
      <c r="W86" s="20"/>
      <c r="X86" s="20">
        <v>1</v>
      </c>
      <c r="Y86" s="20">
        <v>0</v>
      </c>
      <c r="Z86" s="20"/>
      <c r="AA86" s="20">
        <v>596.6</v>
      </c>
      <c r="AB86" s="20">
        <v>0</v>
      </c>
      <c r="AC86" s="20"/>
      <c r="AD86" s="20">
        <v>54.847999999999999</v>
      </c>
      <c r="AE86" s="20">
        <v>0</v>
      </c>
      <c r="AF86" s="20"/>
      <c r="AG86" s="20">
        <v>116.548</v>
      </c>
      <c r="AH86" s="20">
        <v>0</v>
      </c>
      <c r="AI86" s="20"/>
      <c r="AJ86" s="20">
        <v>61700</v>
      </c>
      <c r="AK86" s="20">
        <v>0</v>
      </c>
      <c r="AL86" s="20"/>
      <c r="AM86" s="20">
        <v>61700</v>
      </c>
      <c r="AN86" s="20">
        <v>0</v>
      </c>
      <c r="AO86" s="20"/>
      <c r="AP86" s="20">
        <v>8.8999999999999999E-3</v>
      </c>
      <c r="AQ86" s="20">
        <v>0</v>
      </c>
      <c r="AR86" s="20"/>
      <c r="AS86" s="20">
        <v>4.0000000000000002E-4</v>
      </c>
      <c r="AT86" s="20">
        <v>0</v>
      </c>
      <c r="AU86" s="20"/>
      <c r="AV86" s="20">
        <v>7.7000000000000002E-3</v>
      </c>
      <c r="AW86" s="20">
        <v>0</v>
      </c>
      <c r="AX86" s="20"/>
      <c r="AY86" s="20">
        <v>56784.34</v>
      </c>
      <c r="AZ86" s="20">
        <v>0</v>
      </c>
      <c r="BA86" s="20"/>
      <c r="BB86" s="20">
        <v>0</v>
      </c>
      <c r="BC86" s="20">
        <v>0</v>
      </c>
      <c r="BD86" s="20"/>
      <c r="BE86" s="20">
        <v>0</v>
      </c>
      <c r="BF86" s="20">
        <v>0</v>
      </c>
      <c r="BG86" s="20"/>
      <c r="BH86" s="20">
        <v>0</v>
      </c>
      <c r="BI86" s="28">
        <v>0</v>
      </c>
      <c r="BJ86" s="20"/>
    </row>
    <row r="87" spans="1:62" ht="15" x14ac:dyDescent="0.25">
      <c r="A87" s="27" t="s">
        <v>741</v>
      </c>
      <c r="B87" s="14" t="s">
        <v>2393</v>
      </c>
      <c r="C87" s="1" t="s">
        <v>857</v>
      </c>
      <c r="D87" s="18" t="s">
        <v>858</v>
      </c>
      <c r="E87" s="1" t="s">
        <v>1544</v>
      </c>
      <c r="F87" s="15">
        <v>42826</v>
      </c>
      <c r="G87" s="15">
        <v>43525</v>
      </c>
      <c r="H87" s="15"/>
      <c r="I87" s="279">
        <v>369577.17</v>
      </c>
      <c r="J87" s="15"/>
      <c r="K87" s="306"/>
      <c r="L87" s="20">
        <v>0</v>
      </c>
      <c r="M87" s="20">
        <v>0</v>
      </c>
      <c r="N87" s="20"/>
      <c r="O87" s="20">
        <v>21.395</v>
      </c>
      <c r="P87" s="20"/>
      <c r="Q87" s="20">
        <f>projekty[[#This Row],[Stĺpec15]]</f>
        <v>21.395</v>
      </c>
      <c r="R87" s="20">
        <v>3.6400000000000002E-2</v>
      </c>
      <c r="S87" s="20">
        <v>0</v>
      </c>
      <c r="T87" s="20"/>
      <c r="U87" s="20">
        <v>3</v>
      </c>
      <c r="V87" s="20">
        <v>0</v>
      </c>
      <c r="W87" s="20"/>
      <c r="X87" s="20">
        <v>1</v>
      </c>
      <c r="Y87" s="20">
        <v>0</v>
      </c>
      <c r="Z87" s="20"/>
      <c r="AA87" s="20">
        <v>1528.22</v>
      </c>
      <c r="AB87" s="20">
        <v>0</v>
      </c>
      <c r="AC87" s="20"/>
      <c r="AD87" s="20">
        <v>73.129900000000006</v>
      </c>
      <c r="AE87" s="20">
        <v>0</v>
      </c>
      <c r="AF87" s="20"/>
      <c r="AG87" s="20">
        <v>244.09200000000001</v>
      </c>
      <c r="AH87" s="20">
        <v>0</v>
      </c>
      <c r="AI87" s="20"/>
      <c r="AJ87" s="20">
        <v>170962.0368</v>
      </c>
      <c r="AK87" s="20">
        <v>0</v>
      </c>
      <c r="AL87" s="20"/>
      <c r="AM87" s="20">
        <v>177273.52</v>
      </c>
      <c r="AN87" s="20">
        <v>0</v>
      </c>
      <c r="AO87" s="20"/>
      <c r="AP87" s="20">
        <v>80.87</v>
      </c>
      <c r="AQ87" s="20">
        <v>0</v>
      </c>
      <c r="AR87" s="20"/>
      <c r="AS87" s="20">
        <v>13.17</v>
      </c>
      <c r="AT87" s="20">
        <v>0</v>
      </c>
      <c r="AU87" s="20"/>
      <c r="AV87" s="20">
        <v>65.64</v>
      </c>
      <c r="AW87" s="20">
        <v>0</v>
      </c>
      <c r="AX87" s="20"/>
      <c r="AY87" s="20">
        <v>265910.28000000003</v>
      </c>
      <c r="AZ87" s="20">
        <v>0</v>
      </c>
      <c r="BA87" s="20"/>
      <c r="BB87" s="20">
        <v>0</v>
      </c>
      <c r="BC87" s="20">
        <v>0</v>
      </c>
      <c r="BD87" s="20"/>
      <c r="BE87" s="20">
        <v>0</v>
      </c>
      <c r="BF87" s="20">
        <v>0</v>
      </c>
      <c r="BG87" s="20"/>
      <c r="BH87" s="20">
        <v>0</v>
      </c>
      <c r="BI87" s="28">
        <v>0</v>
      </c>
      <c r="BJ87" s="20"/>
    </row>
    <row r="88" spans="1:62" ht="15" x14ac:dyDescent="0.25">
      <c r="A88" s="27" t="s">
        <v>732</v>
      </c>
      <c r="B88" s="14" t="s">
        <v>2393</v>
      </c>
      <c r="C88" s="1" t="s">
        <v>839</v>
      </c>
      <c r="D88" s="18" t="s">
        <v>840</v>
      </c>
      <c r="E88" s="1" t="s">
        <v>1544</v>
      </c>
      <c r="F88" s="15">
        <v>42826</v>
      </c>
      <c r="G88" s="15">
        <v>43525</v>
      </c>
      <c r="H88" s="15"/>
      <c r="I88" s="279">
        <v>426417.26</v>
      </c>
      <c r="J88" s="15"/>
      <c r="K88" s="306"/>
      <c r="L88" s="20">
        <v>4.0019</v>
      </c>
      <c r="M88" s="20">
        <v>0</v>
      </c>
      <c r="N88" s="20"/>
      <c r="O88" s="20">
        <v>19.899100000000001</v>
      </c>
      <c r="P88" s="20"/>
      <c r="Q88" s="20">
        <f>projekty[[#This Row],[Stĺpec15]]</f>
        <v>19.899100000000001</v>
      </c>
      <c r="R88" s="20">
        <v>2.3900000000000001E-2</v>
      </c>
      <c r="S88" s="20">
        <v>0</v>
      </c>
      <c r="T88" s="20"/>
      <c r="U88" s="20">
        <v>3</v>
      </c>
      <c r="V88" s="20">
        <v>0</v>
      </c>
      <c r="W88" s="20"/>
      <c r="X88" s="20">
        <v>1</v>
      </c>
      <c r="Y88" s="20">
        <v>0</v>
      </c>
      <c r="Z88" s="20"/>
      <c r="AA88" s="20">
        <v>1105.51</v>
      </c>
      <c r="AB88" s="20">
        <v>0</v>
      </c>
      <c r="AC88" s="20"/>
      <c r="AD88" s="20">
        <v>3.2263999999999999</v>
      </c>
      <c r="AE88" s="20">
        <v>0</v>
      </c>
      <c r="AF88" s="20"/>
      <c r="AG88" s="20">
        <v>21.567</v>
      </c>
      <c r="AH88" s="20">
        <v>0</v>
      </c>
      <c r="AI88" s="20"/>
      <c r="AJ88" s="20">
        <v>18340.576799999999</v>
      </c>
      <c r="AK88" s="20">
        <v>0</v>
      </c>
      <c r="AL88" s="20"/>
      <c r="AM88" s="20">
        <v>202308.33</v>
      </c>
      <c r="AN88" s="20">
        <v>0</v>
      </c>
      <c r="AO88" s="20"/>
      <c r="AP88" s="20">
        <v>80.069999999999993</v>
      </c>
      <c r="AQ88" s="20">
        <v>0</v>
      </c>
      <c r="AR88" s="20"/>
      <c r="AS88" s="20">
        <v>14.58</v>
      </c>
      <c r="AT88" s="20">
        <v>0</v>
      </c>
      <c r="AU88" s="20"/>
      <c r="AV88" s="20">
        <v>72.87</v>
      </c>
      <c r="AW88" s="20">
        <v>0</v>
      </c>
      <c r="AX88" s="20"/>
      <c r="AY88" s="20">
        <v>317281.37</v>
      </c>
      <c r="AZ88" s="20">
        <v>0</v>
      </c>
      <c r="BA88" s="20"/>
      <c r="BB88" s="20">
        <v>4.0019</v>
      </c>
      <c r="BC88" s="20">
        <v>0</v>
      </c>
      <c r="BD88" s="20"/>
      <c r="BE88" s="20">
        <v>23.9011</v>
      </c>
      <c r="BF88" s="20">
        <v>0</v>
      </c>
      <c r="BG88" s="20"/>
      <c r="BH88" s="20">
        <v>0</v>
      </c>
      <c r="BI88" s="28">
        <v>0</v>
      </c>
      <c r="BJ88" s="20"/>
    </row>
    <row r="89" spans="1:62" ht="15" x14ac:dyDescent="0.25">
      <c r="A89" s="29" t="s">
        <v>723</v>
      </c>
      <c r="B89" s="14" t="s">
        <v>2393</v>
      </c>
      <c r="C89" s="32" t="s">
        <v>821</v>
      </c>
      <c r="D89" s="50" t="s">
        <v>822</v>
      </c>
      <c r="E89" s="32" t="s">
        <v>1544</v>
      </c>
      <c r="F89" s="51">
        <v>42826</v>
      </c>
      <c r="G89" s="51">
        <v>43800</v>
      </c>
      <c r="H89" s="51"/>
      <c r="I89" s="279">
        <v>215823.48</v>
      </c>
      <c r="J89" s="51"/>
      <c r="K89" s="319"/>
      <c r="L89" s="34">
        <v>0</v>
      </c>
      <c r="M89" s="34">
        <v>0</v>
      </c>
      <c r="N89" s="34"/>
      <c r="O89" s="34">
        <v>0</v>
      </c>
      <c r="P89" s="34"/>
      <c r="Q89" s="34">
        <f>projekty[[#This Row],[Stĺpec15]]</f>
        <v>0</v>
      </c>
      <c r="R89" s="34">
        <v>8.3825000000000003</v>
      </c>
      <c r="S89" s="34">
        <v>0</v>
      </c>
      <c r="T89" s="34"/>
      <c r="U89" s="34">
        <v>5</v>
      </c>
      <c r="V89" s="34">
        <v>0</v>
      </c>
      <c r="W89" s="34"/>
      <c r="X89" s="34">
        <v>1</v>
      </c>
      <c r="Y89" s="34">
        <v>0</v>
      </c>
      <c r="Z89" s="34"/>
      <c r="AA89" s="34">
        <v>639.9</v>
      </c>
      <c r="AB89" s="34">
        <v>0</v>
      </c>
      <c r="AC89" s="34"/>
      <c r="AD89" s="34">
        <v>39.384999999999998</v>
      </c>
      <c r="AE89" s="34">
        <v>0</v>
      </c>
      <c r="AF89" s="34"/>
      <c r="AG89" s="34">
        <v>127.512</v>
      </c>
      <c r="AH89" s="34">
        <v>0</v>
      </c>
      <c r="AI89" s="34"/>
      <c r="AJ89" s="34">
        <v>88127</v>
      </c>
      <c r="AK89" s="34">
        <v>0</v>
      </c>
      <c r="AL89" s="34"/>
      <c r="AM89" s="34">
        <v>88127</v>
      </c>
      <c r="AN89" s="34">
        <v>0</v>
      </c>
      <c r="AO89" s="34"/>
      <c r="AP89" s="34">
        <v>66.5</v>
      </c>
      <c r="AQ89" s="34">
        <v>0</v>
      </c>
      <c r="AR89" s="34"/>
      <c r="AS89" s="34">
        <v>0</v>
      </c>
      <c r="AT89" s="34">
        <v>0</v>
      </c>
      <c r="AU89" s="34"/>
      <c r="AV89" s="34">
        <v>0.7</v>
      </c>
      <c r="AW89" s="34">
        <v>0</v>
      </c>
      <c r="AX89" s="34"/>
      <c r="AY89" s="34">
        <v>0</v>
      </c>
      <c r="AZ89" s="34">
        <v>0</v>
      </c>
      <c r="BA89" s="34"/>
      <c r="BB89" s="34">
        <v>0</v>
      </c>
      <c r="BC89" s="34">
        <v>0</v>
      </c>
      <c r="BD89" s="34"/>
      <c r="BE89" s="34">
        <v>0</v>
      </c>
      <c r="BF89" s="34">
        <v>0</v>
      </c>
      <c r="BG89" s="34"/>
      <c r="BH89" s="34">
        <v>0</v>
      </c>
      <c r="BI89" s="35">
        <v>0</v>
      </c>
      <c r="BJ89" s="34"/>
    </row>
    <row r="90" spans="1:62" x14ac:dyDescent="0.2">
      <c r="A90" s="29"/>
      <c r="B90" s="30"/>
      <c r="C90" s="97"/>
      <c r="D90" s="98"/>
      <c r="E90" s="97"/>
      <c r="F90" s="99"/>
      <c r="G90" s="99"/>
      <c r="H90" s="99"/>
      <c r="I90" s="318">
        <f>SUBTOTAL(109,projekty[Stĺpec9])</f>
        <v>37736007.679999992</v>
      </c>
      <c r="J90" s="318">
        <f>SUBTOTAL(109,projekty[Stĺpec10])</f>
        <v>0</v>
      </c>
      <c r="K90" s="318">
        <f>SUBTOTAL(109,projekty[Stĺpec11])</f>
        <v>34837466.879999995</v>
      </c>
      <c r="L90" s="100">
        <f>SUBTOTAL(109,projekty[Stĺpec12])</f>
        <v>126.8476</v>
      </c>
      <c r="M90" s="100">
        <f>SUBTOTAL(109,projekty[Stĺpec13])</f>
        <v>0</v>
      </c>
      <c r="N90" s="100">
        <f>SUM(projekty[Stĺpec14])</f>
        <v>105.54379999999999</v>
      </c>
      <c r="O90" s="100">
        <f>SUBTOTAL(109,projekty[Stĺpec15])</f>
        <v>27502.4791</v>
      </c>
      <c r="P90" s="100">
        <f>SUBTOTAL(109,projekty[Stĺpec16])</f>
        <v>0</v>
      </c>
      <c r="Q90" s="100"/>
      <c r="R90" s="100">
        <f>SUBTOTAL(109,projekty[Stĺpec18])</f>
        <v>97941.867400000003</v>
      </c>
      <c r="S90" s="100">
        <f>SUBTOTAL(109,projekty[Stĺpec19])</f>
        <v>0</v>
      </c>
      <c r="T90" s="100">
        <f>SUM(projekty[Stĺpec20])</f>
        <v>5272.7560999999996</v>
      </c>
      <c r="U90" s="100">
        <f>SUBTOTAL(109,projekty[Stĺpec21])</f>
        <v>313</v>
      </c>
      <c r="V90" s="100">
        <f>SUBTOTAL(109,projekty[Stĺpec22])</f>
        <v>3</v>
      </c>
      <c r="W90" s="100">
        <f>SUM(projekty[Stĺpec23])</f>
        <v>289</v>
      </c>
      <c r="X90" s="100">
        <f>SUBTOTAL(109,projekty[Stĺpec24])</f>
        <v>97</v>
      </c>
      <c r="Y90" s="100">
        <f>SUBTOTAL(109,projekty[Stĺpec25])</f>
        <v>0</v>
      </c>
      <c r="Z90" s="100">
        <f>SUM(projekty[Stĺpec26])</f>
        <v>88</v>
      </c>
      <c r="AA90" s="100">
        <f>SUBTOTAL(109,projekty[Stĺpec27])</f>
        <v>135430.45499999996</v>
      </c>
      <c r="AB90" s="100">
        <f>SUBTOTAL(109,projekty[Stĺpec28])</f>
        <v>553.91</v>
      </c>
      <c r="AC90" s="100">
        <f>SUM(projekty[Stĺpec29])</f>
        <v>130293.80499999995</v>
      </c>
      <c r="AD90" s="100">
        <f>SUBTOTAL(109,projekty[Stĺpec30])</f>
        <v>186522.46389999997</v>
      </c>
      <c r="AE90" s="100">
        <f>SUBTOTAL(109,projekty[Stĺpec31])</f>
        <v>0</v>
      </c>
      <c r="AF90" s="100">
        <f>SUM(projekty[Stĺpec32])</f>
        <v>186093.96969999996</v>
      </c>
      <c r="AG90" s="100">
        <f>SUBTOTAL(109,projekty[Stĺpec33])</f>
        <v>362872.37930000003</v>
      </c>
      <c r="AH90" s="100">
        <f>SUBTOTAL(109,projekty[Stĺpec34])</f>
        <v>1698.1179999999999</v>
      </c>
      <c r="AI90" s="100">
        <f>SUM(projekty[Stĺpec35])</f>
        <v>361565.53830000007</v>
      </c>
      <c r="AJ90" s="100">
        <f>SUBTOTAL(109,projekty[Stĺpec36])</f>
        <v>11008686.432799999</v>
      </c>
      <c r="AK90" s="100">
        <f>SUBTOTAL(109,projekty[Stĺpec37])</f>
        <v>47.008099999999999</v>
      </c>
      <c r="AL90" s="100">
        <f>SUM(projekty[Stĺpec38])</f>
        <v>10130447.783199998</v>
      </c>
      <c r="AM90" s="100">
        <f>SUBTOTAL(109,projekty[Stĺpec39])</f>
        <v>14791510.444699995</v>
      </c>
      <c r="AN90" s="100">
        <f>SUBTOTAL(109,projekty[Stĺpec40])</f>
        <v>47.008099999999999</v>
      </c>
      <c r="AO90" s="100">
        <f>SUM(projekty[Stĺpec41])</f>
        <v>13621989.274699995</v>
      </c>
      <c r="AP90" s="100">
        <f>SUBTOTAL(109,projekty[Stĺpec42])</f>
        <v>60069.185500000007</v>
      </c>
      <c r="AQ90" s="100">
        <f>SUBTOTAL(109,projekty[Stĺpec43])</f>
        <v>0</v>
      </c>
      <c r="AR90" s="100">
        <f>SUM(projekty[Stĺpec44])</f>
        <v>59759.086600000002</v>
      </c>
      <c r="AS90" s="100">
        <f>SUBTOTAL(109,projekty[Stĺpec45])</f>
        <v>16940.403100000003</v>
      </c>
      <c r="AT90" s="100">
        <f>SUBTOTAL(109,projekty[Stĺpec46])</f>
        <v>0</v>
      </c>
      <c r="AU90" s="100">
        <f>SUM(projekty[Stĺpec47])</f>
        <v>16908.202700000002</v>
      </c>
      <c r="AV90" s="100">
        <f>SUBTOTAL(109,projekty[Stĺpec48])</f>
        <v>4940.8222999999998</v>
      </c>
      <c r="AW90" s="100">
        <f>SUBTOTAL(109,projekty[Stĺpec49])</f>
        <v>0</v>
      </c>
      <c r="AX90" s="100">
        <f>SUM(projekty[Stĺpec50])</f>
        <v>4796.0446000000002</v>
      </c>
      <c r="AY90" s="100">
        <f>SUBTOTAL(109,projekty[Stĺpec51])</f>
        <v>19938636.003400002</v>
      </c>
      <c r="AZ90" s="100">
        <f>SUBTOTAL(109,projekty[Stĺpec52])</f>
        <v>47.008099999999999</v>
      </c>
      <c r="BA90" s="100">
        <f>SUM(projekty[Stĺpec53])</f>
        <v>18545377.093399998</v>
      </c>
      <c r="BB90" s="100">
        <f>SUBTOTAL(109,projekty[Stĺpec54])</f>
        <v>27.739799999999995</v>
      </c>
      <c r="BC90" s="100">
        <f>SUBTOTAL(109,projekty[Stĺpec55])</f>
        <v>0</v>
      </c>
      <c r="BD90" s="100">
        <f>SUM(projekty[Stĺpec56])</f>
        <v>13.037899999999999</v>
      </c>
      <c r="BE90" s="100">
        <f>SUBTOTAL(109,projekty[Stĺpec57])</f>
        <v>243.68139999999994</v>
      </c>
      <c r="BF90" s="100">
        <f>SUBTOTAL(109,projekty[Stĺpec58])</f>
        <v>0</v>
      </c>
      <c r="BG90" s="100">
        <f>SUM(projekty[Stĺpec59])</f>
        <v>213.15629999999993</v>
      </c>
      <c r="BH90" s="100">
        <f>SUBTOTAL(109,projekty[Stĺpec60])</f>
        <v>175.09350000000001</v>
      </c>
      <c r="BI90" s="100">
        <f>SUBTOTAL(109,projekty[Stĺpec61])</f>
        <v>0</v>
      </c>
      <c r="BJ90" s="579">
        <f>SUM(projekty[Stĺpec62])</f>
        <v>170.18350000000001</v>
      </c>
    </row>
  </sheetData>
  <sheetProtection algorithmName="SHA-512" hashValue="dytZ/G2x2y4Jsria+iVKL08FrhGkHs1aWUOkI1fcTpNLqtYXrO/V06vhsIBPeyaiP0Tv+3mRW9nSOYbgcl+OPA==" saltValue="DU3d/y1UxmZfb/dK5S7IpQ==" spinCount="100000" sheet="1" objects="1" scenarios="1" autoFilter="0"/>
  <sortState ref="L2:AS2">
    <sortCondition ref="L2"/>
  </sortState>
  <mergeCells count="62">
    <mergeCell ref="U1:W1"/>
    <mergeCell ref="X1:Z1"/>
    <mergeCell ref="BH3:BJ3"/>
    <mergeCell ref="BH1:BJ1"/>
    <mergeCell ref="BH2:BJ2"/>
    <mergeCell ref="AA1:AC1"/>
    <mergeCell ref="AJ3:AL3"/>
    <mergeCell ref="AM3:AO3"/>
    <mergeCell ref="AP3:AR3"/>
    <mergeCell ref="AA2:AC2"/>
    <mergeCell ref="AA3:AC3"/>
    <mergeCell ref="X2:Z2"/>
    <mergeCell ref="X3:Z3"/>
    <mergeCell ref="AJ1:AL1"/>
    <mergeCell ref="AM1:AO1"/>
    <mergeCell ref="AP1:AR1"/>
    <mergeCell ref="G1:G4"/>
    <mergeCell ref="A1:A4"/>
    <mergeCell ref="B1:B4"/>
    <mergeCell ref="C1:C4"/>
    <mergeCell ref="D1:D4"/>
    <mergeCell ref="E1:E4"/>
    <mergeCell ref="F1:F4"/>
    <mergeCell ref="H1:H3"/>
    <mergeCell ref="I1:I3"/>
    <mergeCell ref="J1:J3"/>
    <mergeCell ref="K1:K3"/>
    <mergeCell ref="L1:N1"/>
    <mergeCell ref="O1:Q1"/>
    <mergeCell ref="R1:T1"/>
    <mergeCell ref="L2:N2"/>
    <mergeCell ref="L3:N3"/>
    <mergeCell ref="AG1:AI1"/>
    <mergeCell ref="AG2:AI2"/>
    <mergeCell ref="AG3:AI3"/>
    <mergeCell ref="AD2:AF2"/>
    <mergeCell ref="AD3:AF3"/>
    <mergeCell ref="U2:W2"/>
    <mergeCell ref="U3:W3"/>
    <mergeCell ref="R2:T2"/>
    <mergeCell ref="R3:T3"/>
    <mergeCell ref="O2:Q2"/>
    <mergeCell ref="O3:Q3"/>
    <mergeCell ref="AD1:AF1"/>
    <mergeCell ref="AM2:AO2"/>
    <mergeCell ref="AJ2:AL2"/>
    <mergeCell ref="AP2:AR2"/>
    <mergeCell ref="AS1:AU1"/>
    <mergeCell ref="AS2:AU2"/>
    <mergeCell ref="AS3:AU3"/>
    <mergeCell ref="AV2:AX2"/>
    <mergeCell ref="AV1:AX1"/>
    <mergeCell ref="AV3:AX3"/>
    <mergeCell ref="BE1:BG1"/>
    <mergeCell ref="BE2:BG2"/>
    <mergeCell ref="BE3:BG3"/>
    <mergeCell ref="AY1:BA1"/>
    <mergeCell ref="AY2:BA2"/>
    <mergeCell ref="AY3:BA3"/>
    <mergeCell ref="BB1:BD1"/>
    <mergeCell ref="BB2:BD2"/>
    <mergeCell ref="BB3:BD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R220"/>
  <sheetViews>
    <sheetView topLeftCell="L1" zoomScale="70" zoomScaleNormal="70" workbookViewId="0">
      <pane ySplit="5" topLeftCell="A172" activePane="bottomLeft" state="frozen"/>
      <selection pane="bottomLeft" activeCell="K196" sqref="K196"/>
    </sheetView>
  </sheetViews>
  <sheetFormatPr defaultRowHeight="15" x14ac:dyDescent="0.25"/>
  <cols>
    <col min="1" max="1" width="18.42578125" style="6" customWidth="1"/>
    <col min="2" max="2" width="22.42578125" customWidth="1"/>
    <col min="3" max="3" width="30.7109375" style="6" customWidth="1"/>
    <col min="4" max="4" width="61.7109375" customWidth="1"/>
    <col min="5" max="5" width="13.42578125" customWidth="1"/>
    <col min="6" max="10" width="9.7109375" customWidth="1"/>
    <col min="11" max="44" width="11.42578125" customWidth="1"/>
  </cols>
  <sheetData>
    <row r="1" spans="1:44" ht="65.25" customHeight="1" x14ac:dyDescent="0.25">
      <c r="A1" s="1622" t="s">
        <v>709</v>
      </c>
      <c r="B1" s="1622" t="s">
        <v>477</v>
      </c>
      <c r="C1" s="1622" t="s">
        <v>710</v>
      </c>
      <c r="D1" s="1622" t="s">
        <v>711</v>
      </c>
      <c r="E1" s="1622" t="s">
        <v>712</v>
      </c>
      <c r="F1" s="1622" t="s">
        <v>684</v>
      </c>
      <c r="G1" s="1615" t="s">
        <v>2020</v>
      </c>
      <c r="H1" s="1615" t="s">
        <v>2021</v>
      </c>
      <c r="I1" s="1615" t="s">
        <v>2032</v>
      </c>
      <c r="J1" s="1615" t="s">
        <v>2022</v>
      </c>
      <c r="K1" s="1631" t="s">
        <v>326</v>
      </c>
      <c r="L1" s="1627"/>
      <c r="M1" s="1631" t="s">
        <v>328</v>
      </c>
      <c r="N1" s="1627"/>
      <c r="O1" s="1631" t="s">
        <v>85</v>
      </c>
      <c r="P1" s="1627"/>
      <c r="Q1" s="1631" t="s">
        <v>354</v>
      </c>
      <c r="R1" s="1627"/>
      <c r="S1" s="1631" t="s">
        <v>705</v>
      </c>
      <c r="T1" s="1627"/>
      <c r="U1" s="1631" t="s">
        <v>108</v>
      </c>
      <c r="V1" s="1627"/>
      <c r="W1" s="1631" t="s">
        <v>358</v>
      </c>
      <c r="X1" s="1627"/>
      <c r="Y1" s="1631" t="s">
        <v>360</v>
      </c>
      <c r="Z1" s="1627"/>
      <c r="AA1" s="1631" t="s">
        <v>110</v>
      </c>
      <c r="AB1" s="1627"/>
      <c r="AC1" s="1631" t="s">
        <v>363</v>
      </c>
      <c r="AD1" s="1627"/>
      <c r="AE1" s="1631" t="s">
        <v>239</v>
      </c>
      <c r="AF1" s="1627"/>
      <c r="AG1" s="1631" t="s">
        <v>241</v>
      </c>
      <c r="AH1" s="1627"/>
      <c r="AI1" s="1631" t="s">
        <v>245</v>
      </c>
      <c r="AJ1" s="1627"/>
      <c r="AK1" s="1631" t="s">
        <v>706</v>
      </c>
      <c r="AL1" s="1627"/>
      <c r="AM1" s="1631" t="s">
        <v>88</v>
      </c>
      <c r="AN1" s="1627"/>
      <c r="AO1" s="1631" t="s">
        <v>83</v>
      </c>
      <c r="AP1" s="1627"/>
      <c r="AQ1" s="1631" t="s">
        <v>90</v>
      </c>
      <c r="AR1" s="1627"/>
    </row>
    <row r="2" spans="1:44" x14ac:dyDescent="0.25">
      <c r="A2" s="1623"/>
      <c r="B2" s="1623"/>
      <c r="C2" s="1623"/>
      <c r="D2" s="1623"/>
      <c r="E2" s="1623"/>
      <c r="F2" s="1623"/>
      <c r="G2" s="1615"/>
      <c r="H2" s="1615"/>
      <c r="I2" s="1615"/>
      <c r="J2" s="1615"/>
      <c r="K2" s="1629" t="s">
        <v>325</v>
      </c>
      <c r="L2" s="1628"/>
      <c r="M2" s="1629" t="s">
        <v>327</v>
      </c>
      <c r="N2" s="1628"/>
      <c r="O2" s="1629" t="s">
        <v>331</v>
      </c>
      <c r="P2" s="1628"/>
      <c r="Q2" s="1629" t="s">
        <v>353</v>
      </c>
      <c r="R2" s="1628"/>
      <c r="S2" s="1629" t="s">
        <v>355</v>
      </c>
      <c r="T2" s="1628"/>
      <c r="U2" s="1629" t="s">
        <v>356</v>
      </c>
      <c r="V2" s="1628"/>
      <c r="W2" s="1629" t="s">
        <v>357</v>
      </c>
      <c r="X2" s="1628"/>
      <c r="Y2" s="1629" t="s">
        <v>359</v>
      </c>
      <c r="Z2" s="1628"/>
      <c r="AA2" s="1629" t="s">
        <v>361</v>
      </c>
      <c r="AB2" s="1628"/>
      <c r="AC2" s="1629" t="s">
        <v>362</v>
      </c>
      <c r="AD2" s="1628"/>
      <c r="AE2" s="1629" t="s">
        <v>238</v>
      </c>
      <c r="AF2" s="1628"/>
      <c r="AG2" s="1629" t="s">
        <v>240</v>
      </c>
      <c r="AH2" s="1628"/>
      <c r="AI2" s="1629" t="s">
        <v>244</v>
      </c>
      <c r="AJ2" s="1628"/>
      <c r="AK2" s="1629" t="s">
        <v>364</v>
      </c>
      <c r="AL2" s="1628"/>
      <c r="AM2" s="1629" t="s">
        <v>335</v>
      </c>
      <c r="AN2" s="1628"/>
      <c r="AO2" s="1629" t="s">
        <v>336</v>
      </c>
      <c r="AP2" s="1628"/>
      <c r="AQ2" s="1629" t="s">
        <v>337</v>
      </c>
      <c r="AR2" s="1628"/>
    </row>
    <row r="3" spans="1:44" x14ac:dyDescent="0.25">
      <c r="A3" s="1623"/>
      <c r="B3" s="1623"/>
      <c r="C3" s="1623"/>
      <c r="D3" s="1623"/>
      <c r="E3" s="1623"/>
      <c r="F3" s="1623"/>
      <c r="G3" s="1615"/>
      <c r="H3" s="1615"/>
      <c r="I3" s="1615"/>
      <c r="J3" s="1615"/>
      <c r="K3" s="1629" t="s">
        <v>447</v>
      </c>
      <c r="L3" s="1628"/>
      <c r="M3" s="1629" t="s">
        <v>447</v>
      </c>
      <c r="N3" s="1628"/>
      <c r="O3" s="1629" t="s">
        <v>447</v>
      </c>
      <c r="P3" s="1628"/>
      <c r="Q3" s="1629" t="s">
        <v>447</v>
      </c>
      <c r="R3" s="1628"/>
      <c r="S3" s="1629" t="s">
        <v>447</v>
      </c>
      <c r="T3" s="1628"/>
      <c r="U3" s="1629" t="s">
        <v>447</v>
      </c>
      <c r="V3" s="1628"/>
      <c r="W3" s="1629" t="s">
        <v>447</v>
      </c>
      <c r="X3" s="1628"/>
      <c r="Y3" s="1629" t="s">
        <v>447</v>
      </c>
      <c r="Z3" s="1628"/>
      <c r="AA3" s="1629" t="s">
        <v>447</v>
      </c>
      <c r="AB3" s="1628"/>
      <c r="AC3" s="1629" t="s">
        <v>447</v>
      </c>
      <c r="AD3" s="1628"/>
      <c r="AE3" s="1629" t="s">
        <v>447</v>
      </c>
      <c r="AF3" s="1628"/>
      <c r="AG3" s="1629" t="s">
        <v>447</v>
      </c>
      <c r="AH3" s="1628"/>
      <c r="AI3" s="1629" t="s">
        <v>447</v>
      </c>
      <c r="AJ3" s="1628"/>
      <c r="AK3" s="1629" t="s">
        <v>447</v>
      </c>
      <c r="AL3" s="1628"/>
      <c r="AM3" s="1629" t="s">
        <v>447</v>
      </c>
      <c r="AN3" s="1628"/>
      <c r="AO3" s="1629" t="s">
        <v>447</v>
      </c>
      <c r="AP3" s="1628"/>
      <c r="AQ3" s="1629" t="s">
        <v>447</v>
      </c>
      <c r="AR3" s="1628"/>
    </row>
    <row r="4" spans="1:44" ht="25.5" x14ac:dyDescent="0.25">
      <c r="A4" s="1624"/>
      <c r="B4" s="1624"/>
      <c r="C4" s="1624"/>
      <c r="D4" s="1624"/>
      <c r="E4" s="1624"/>
      <c r="F4" s="1624"/>
      <c r="G4" s="232" t="s">
        <v>410</v>
      </c>
      <c r="H4" s="232" t="s">
        <v>410</v>
      </c>
      <c r="I4" s="232" t="s">
        <v>410</v>
      </c>
      <c r="J4" s="232" t="s">
        <v>410</v>
      </c>
      <c r="K4" s="41"/>
      <c r="L4" s="41" t="s">
        <v>713</v>
      </c>
      <c r="M4" s="41"/>
      <c r="N4" s="41" t="s">
        <v>713</v>
      </c>
      <c r="O4" s="41"/>
      <c r="P4" s="41" t="s">
        <v>713</v>
      </c>
      <c r="Q4" s="41"/>
      <c r="R4" s="41" t="s">
        <v>713</v>
      </c>
      <c r="S4" s="41"/>
      <c r="T4" s="41" t="s">
        <v>713</v>
      </c>
      <c r="U4" s="41"/>
      <c r="V4" s="41" t="s">
        <v>713</v>
      </c>
      <c r="W4" s="41"/>
      <c r="X4" s="41" t="s">
        <v>713</v>
      </c>
      <c r="Y4" s="41"/>
      <c r="Z4" s="41" t="s">
        <v>713</v>
      </c>
      <c r="AA4" s="41"/>
      <c r="AB4" s="41" t="s">
        <v>713</v>
      </c>
      <c r="AC4" s="41"/>
      <c r="AD4" s="41" t="s">
        <v>713</v>
      </c>
      <c r="AE4" s="41"/>
      <c r="AF4" s="41" t="s">
        <v>713</v>
      </c>
      <c r="AG4" s="41"/>
      <c r="AH4" s="41" t="s">
        <v>713</v>
      </c>
      <c r="AI4" s="41"/>
      <c r="AJ4" s="41" t="s">
        <v>713</v>
      </c>
      <c r="AK4" s="41"/>
      <c r="AL4" s="41" t="s">
        <v>713</v>
      </c>
      <c r="AM4" s="41"/>
      <c r="AN4" s="41" t="s">
        <v>713</v>
      </c>
      <c r="AO4" s="41"/>
      <c r="AP4" s="41" t="s">
        <v>713</v>
      </c>
      <c r="AQ4" s="41"/>
      <c r="AR4" s="41" t="s">
        <v>713</v>
      </c>
    </row>
    <row r="5" spans="1:44" ht="12.75" customHeight="1" x14ac:dyDescent="0.25">
      <c r="A5" s="36" t="s">
        <v>1546</v>
      </c>
      <c r="B5" s="37" t="s">
        <v>1547</v>
      </c>
      <c r="C5" s="38" t="s">
        <v>1548</v>
      </c>
      <c r="D5" s="37" t="s">
        <v>1549</v>
      </c>
      <c r="E5" s="39" t="s">
        <v>1550</v>
      </c>
      <c r="F5" s="39" t="s">
        <v>1551</v>
      </c>
      <c r="G5" s="39" t="s">
        <v>1552</v>
      </c>
      <c r="H5" s="39" t="s">
        <v>1553</v>
      </c>
      <c r="I5" s="39" t="s">
        <v>1554</v>
      </c>
      <c r="J5" s="39" t="s">
        <v>1555</v>
      </c>
      <c r="K5" s="39" t="s">
        <v>1556</v>
      </c>
      <c r="L5" s="39" t="s">
        <v>1557</v>
      </c>
      <c r="M5" s="39" t="s">
        <v>1558</v>
      </c>
      <c r="N5" s="39" t="s">
        <v>1559</v>
      </c>
      <c r="O5" s="39" t="s">
        <v>1560</v>
      </c>
      <c r="P5" s="39" t="s">
        <v>1561</v>
      </c>
      <c r="Q5" s="39" t="s">
        <v>1562</v>
      </c>
      <c r="R5" s="39" t="s">
        <v>1563</v>
      </c>
      <c r="S5" s="39" t="s">
        <v>1564</v>
      </c>
      <c r="T5" s="39" t="s">
        <v>1565</v>
      </c>
      <c r="U5" s="39" t="s">
        <v>1566</v>
      </c>
      <c r="V5" s="39" t="s">
        <v>1567</v>
      </c>
      <c r="W5" s="39" t="s">
        <v>1568</v>
      </c>
      <c r="X5" s="39" t="s">
        <v>1569</v>
      </c>
      <c r="Y5" s="39" t="s">
        <v>1570</v>
      </c>
      <c r="Z5" s="39" t="s">
        <v>1571</v>
      </c>
      <c r="AA5" s="39" t="s">
        <v>1572</v>
      </c>
      <c r="AB5" s="39" t="s">
        <v>1573</v>
      </c>
      <c r="AC5" s="39" t="s">
        <v>1574</v>
      </c>
      <c r="AD5" s="39" t="s">
        <v>1575</v>
      </c>
      <c r="AE5" s="39" t="s">
        <v>1576</v>
      </c>
      <c r="AF5" s="39" t="s">
        <v>1577</v>
      </c>
      <c r="AG5" s="39" t="s">
        <v>1578</v>
      </c>
      <c r="AH5" s="39" t="s">
        <v>1579</v>
      </c>
      <c r="AI5" s="39" t="s">
        <v>1580</v>
      </c>
      <c r="AJ5" s="39" t="s">
        <v>1581</v>
      </c>
      <c r="AK5" s="39" t="s">
        <v>1582</v>
      </c>
      <c r="AL5" s="39" t="s">
        <v>1583</v>
      </c>
      <c r="AM5" s="39" t="s">
        <v>1584</v>
      </c>
      <c r="AN5" s="39" t="s">
        <v>1585</v>
      </c>
      <c r="AO5" s="39" t="s">
        <v>1586</v>
      </c>
      <c r="AP5" s="39" t="s">
        <v>1587</v>
      </c>
      <c r="AQ5" s="39" t="s">
        <v>1588</v>
      </c>
      <c r="AR5" s="39" t="s">
        <v>1589</v>
      </c>
    </row>
    <row r="6" spans="1:44" ht="12.75" customHeight="1" x14ac:dyDescent="0.25">
      <c r="A6" s="27" t="s">
        <v>1205</v>
      </c>
      <c r="B6" s="14" t="s">
        <v>802</v>
      </c>
      <c r="C6" s="26" t="s">
        <v>1419</v>
      </c>
      <c r="D6" s="14" t="s">
        <v>1469</v>
      </c>
      <c r="E6" s="1" t="s">
        <v>1545</v>
      </c>
      <c r="F6" s="353">
        <v>43009</v>
      </c>
      <c r="G6" s="2"/>
      <c r="H6" s="354">
        <v>383592.65</v>
      </c>
      <c r="I6" s="2"/>
      <c r="J6" s="2">
        <f>zonfp[[#This Row],[Stĺpec8]]</f>
        <v>383592.65</v>
      </c>
      <c r="K6" s="19">
        <v>0</v>
      </c>
      <c r="L6" s="19">
        <v>8.9885000000000002</v>
      </c>
      <c r="M6" s="19">
        <v>0</v>
      </c>
      <c r="N6" s="19">
        <v>0</v>
      </c>
      <c r="O6" s="19">
        <v>0</v>
      </c>
      <c r="P6" s="19">
        <v>8.9800000000000005E-2</v>
      </c>
      <c r="Q6" s="19">
        <v>0</v>
      </c>
      <c r="R6" s="19">
        <v>4</v>
      </c>
      <c r="S6" s="19">
        <v>0</v>
      </c>
      <c r="T6" s="19">
        <v>1</v>
      </c>
      <c r="U6" s="19">
        <v>0</v>
      </c>
      <c r="V6" s="19">
        <v>523.80999999999995</v>
      </c>
      <c r="W6" s="19">
        <v>0</v>
      </c>
      <c r="X6" s="19">
        <v>11.9641</v>
      </c>
      <c r="Y6" s="19">
        <v>0</v>
      </c>
      <c r="Z6" s="19">
        <v>79.760999999999996</v>
      </c>
      <c r="AA6" s="19">
        <v>0</v>
      </c>
      <c r="AB6" s="19">
        <v>67.796800000000005</v>
      </c>
      <c r="AC6" s="19">
        <v>0</v>
      </c>
      <c r="AD6" s="20">
        <v>161333.48000000001</v>
      </c>
      <c r="AE6" s="19">
        <v>0</v>
      </c>
      <c r="AF6" s="20">
        <v>496</v>
      </c>
      <c r="AG6" s="19">
        <v>0</v>
      </c>
      <c r="AH6" s="20">
        <v>4.0999999999999996</v>
      </c>
      <c r="AI6" s="19">
        <v>0</v>
      </c>
      <c r="AJ6" s="20">
        <v>11</v>
      </c>
      <c r="AK6" s="19">
        <v>0</v>
      </c>
      <c r="AL6" s="20">
        <v>251428.8</v>
      </c>
      <c r="AM6" s="19">
        <v>0</v>
      </c>
      <c r="AN6" s="20">
        <v>4.0000000000000001E-3</v>
      </c>
      <c r="AO6" s="19">
        <v>0</v>
      </c>
      <c r="AP6" s="20">
        <v>8.9885000000000002</v>
      </c>
      <c r="AQ6" s="19">
        <v>0</v>
      </c>
      <c r="AR6" s="28">
        <v>0</v>
      </c>
    </row>
    <row r="7" spans="1:44" ht="12.75" customHeight="1" x14ac:dyDescent="0.25">
      <c r="A7" s="27" t="s">
        <v>1206</v>
      </c>
      <c r="B7" s="14" t="s">
        <v>802</v>
      </c>
      <c r="C7" s="26" t="s">
        <v>1420</v>
      </c>
      <c r="D7" s="14" t="s">
        <v>1470</v>
      </c>
      <c r="E7" s="1" t="s">
        <v>1545</v>
      </c>
      <c r="F7" s="353">
        <v>42887</v>
      </c>
      <c r="G7" s="2"/>
      <c r="H7" s="354">
        <v>316714.23999999999</v>
      </c>
      <c r="I7" s="2"/>
      <c r="J7" s="2">
        <f>zonfp[[#This Row],[Stĺpec8]]</f>
        <v>316714.23999999999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7.8410000000000002</v>
      </c>
      <c r="Q7" s="19">
        <v>0</v>
      </c>
      <c r="R7" s="19">
        <v>3</v>
      </c>
      <c r="S7" s="19">
        <v>0</v>
      </c>
      <c r="T7" s="19">
        <v>1</v>
      </c>
      <c r="U7" s="19">
        <v>0</v>
      </c>
      <c r="V7" s="19">
        <v>3316.9</v>
      </c>
      <c r="W7" s="19">
        <v>0</v>
      </c>
      <c r="X7" s="19">
        <v>0.14979999999999999</v>
      </c>
      <c r="Y7" s="19">
        <v>0</v>
      </c>
      <c r="Z7" s="19">
        <v>0.58360000000000001</v>
      </c>
      <c r="AA7" s="19">
        <v>0</v>
      </c>
      <c r="AB7" s="19">
        <v>76165</v>
      </c>
      <c r="AC7" s="19">
        <v>0</v>
      </c>
      <c r="AD7" s="20">
        <v>520600</v>
      </c>
      <c r="AE7" s="19">
        <v>0</v>
      </c>
      <c r="AF7" s="20">
        <v>75</v>
      </c>
      <c r="AG7" s="19">
        <v>0</v>
      </c>
      <c r="AH7" s="20">
        <v>13</v>
      </c>
      <c r="AI7" s="19">
        <v>0</v>
      </c>
      <c r="AJ7" s="20">
        <v>68</v>
      </c>
      <c r="AK7" s="19">
        <v>0</v>
      </c>
      <c r="AL7" s="20">
        <v>1425735</v>
      </c>
      <c r="AM7" s="19">
        <v>0</v>
      </c>
      <c r="AN7" s="20">
        <v>0</v>
      </c>
      <c r="AO7" s="19">
        <v>0</v>
      </c>
      <c r="AP7" s="20">
        <v>0</v>
      </c>
      <c r="AQ7" s="19">
        <v>0</v>
      </c>
      <c r="AR7" s="28">
        <v>0</v>
      </c>
    </row>
    <row r="8" spans="1:44" ht="12.75" customHeight="1" x14ac:dyDescent="0.25">
      <c r="A8" s="27" t="s">
        <v>1207</v>
      </c>
      <c r="B8" s="14" t="s">
        <v>802</v>
      </c>
      <c r="C8" s="26" t="s">
        <v>992</v>
      </c>
      <c r="D8" s="14" t="s">
        <v>1089</v>
      </c>
      <c r="E8" s="1" t="s">
        <v>1545</v>
      </c>
      <c r="F8" s="353">
        <v>42948</v>
      </c>
      <c r="G8" s="305"/>
      <c r="H8" s="355">
        <v>609524.77</v>
      </c>
      <c r="I8" s="305"/>
      <c r="J8" s="2">
        <f>zonfp[[#This Row],[Stĺpec8]]</f>
        <v>609524.77</v>
      </c>
      <c r="K8" s="19">
        <v>0</v>
      </c>
      <c r="L8" s="19">
        <v>0</v>
      </c>
      <c r="M8" s="19">
        <v>0</v>
      </c>
      <c r="N8" s="19">
        <v>40.715000000000003</v>
      </c>
      <c r="O8" s="19">
        <v>0</v>
      </c>
      <c r="P8" s="19">
        <v>58.96</v>
      </c>
      <c r="Q8" s="19">
        <v>0</v>
      </c>
      <c r="R8" s="19">
        <v>6</v>
      </c>
      <c r="S8" s="19">
        <v>0</v>
      </c>
      <c r="T8" s="19">
        <v>3</v>
      </c>
      <c r="U8" s="19">
        <v>0</v>
      </c>
      <c r="V8" s="19">
        <v>1102.42</v>
      </c>
      <c r="W8" s="19">
        <v>0</v>
      </c>
      <c r="X8" s="19">
        <v>24.82</v>
      </c>
      <c r="Y8" s="19">
        <v>0</v>
      </c>
      <c r="Z8" s="19">
        <v>155.36000000000001</v>
      </c>
      <c r="AA8" s="19">
        <v>0</v>
      </c>
      <c r="AB8" s="19">
        <v>130540</v>
      </c>
      <c r="AC8" s="19">
        <v>0</v>
      </c>
      <c r="AD8" s="20">
        <v>212355.19</v>
      </c>
      <c r="AE8" s="19">
        <v>0</v>
      </c>
      <c r="AF8" s="20">
        <v>41.96</v>
      </c>
      <c r="AG8" s="19">
        <v>0</v>
      </c>
      <c r="AH8" s="20">
        <v>3.28</v>
      </c>
      <c r="AI8" s="19">
        <v>0</v>
      </c>
      <c r="AJ8" s="20">
        <v>8.0500000000000007</v>
      </c>
      <c r="AK8" s="19">
        <v>0</v>
      </c>
      <c r="AL8" s="20">
        <v>301172.2</v>
      </c>
      <c r="AM8" s="19">
        <v>0</v>
      </c>
      <c r="AN8" s="20">
        <v>0</v>
      </c>
      <c r="AO8" s="19">
        <v>0</v>
      </c>
      <c r="AP8" s="20">
        <v>3.8300000000000001E-2</v>
      </c>
      <c r="AQ8" s="19">
        <v>0</v>
      </c>
      <c r="AR8" s="28">
        <v>3.8300000000000001E-2</v>
      </c>
    </row>
    <row r="9" spans="1:44" ht="12.75" customHeight="1" x14ac:dyDescent="0.25">
      <c r="A9" s="27" t="s">
        <v>1208</v>
      </c>
      <c r="B9" s="14" t="s">
        <v>802</v>
      </c>
      <c r="C9" s="26" t="s">
        <v>1421</v>
      </c>
      <c r="D9" s="14" t="s">
        <v>1471</v>
      </c>
      <c r="E9" s="1" t="s">
        <v>1545</v>
      </c>
      <c r="F9" s="353">
        <v>42583</v>
      </c>
      <c r="G9" s="305"/>
      <c r="H9" s="355">
        <v>260502</v>
      </c>
      <c r="I9" s="305"/>
      <c r="J9" s="2">
        <f>zonfp[[#This Row],[Stĺpec8]]</f>
        <v>260502</v>
      </c>
      <c r="K9" s="19">
        <v>0</v>
      </c>
      <c r="L9" s="19">
        <v>0</v>
      </c>
      <c r="M9" s="19">
        <v>0</v>
      </c>
      <c r="N9" s="19">
        <v>1.0500000000000001E-2</v>
      </c>
      <c r="O9" s="19">
        <v>0</v>
      </c>
      <c r="P9" s="19">
        <v>81.756</v>
      </c>
      <c r="Q9" s="19">
        <v>0</v>
      </c>
      <c r="R9" s="19">
        <v>4</v>
      </c>
      <c r="S9" s="19">
        <v>0</v>
      </c>
      <c r="T9" s="19">
        <v>1</v>
      </c>
      <c r="U9" s="19">
        <v>0</v>
      </c>
      <c r="V9" s="19">
        <v>743</v>
      </c>
      <c r="W9" s="19">
        <v>0</v>
      </c>
      <c r="X9" s="19">
        <v>7.97</v>
      </c>
      <c r="Y9" s="19">
        <v>0</v>
      </c>
      <c r="Z9" s="19">
        <v>61.45</v>
      </c>
      <c r="AA9" s="19">
        <v>0</v>
      </c>
      <c r="AB9" s="19">
        <v>53472</v>
      </c>
      <c r="AC9" s="19">
        <v>0</v>
      </c>
      <c r="AD9" s="20">
        <v>294542.59999999998</v>
      </c>
      <c r="AE9" s="19">
        <v>0</v>
      </c>
      <c r="AF9" s="20">
        <v>56.76</v>
      </c>
      <c r="AG9" s="19">
        <v>0</v>
      </c>
      <c r="AH9" s="20">
        <v>4.24</v>
      </c>
      <c r="AI9" s="19">
        <v>0</v>
      </c>
      <c r="AJ9" s="20">
        <v>9.59</v>
      </c>
      <c r="AK9" s="19">
        <v>0</v>
      </c>
      <c r="AL9" s="20">
        <v>443862</v>
      </c>
      <c r="AM9" s="19">
        <v>0</v>
      </c>
      <c r="AN9" s="20">
        <v>0</v>
      </c>
      <c r="AO9" s="19">
        <v>0</v>
      </c>
      <c r="AP9" s="20">
        <v>1.0500000000000001E-2</v>
      </c>
      <c r="AQ9" s="19">
        <v>0</v>
      </c>
      <c r="AR9" s="28">
        <v>0</v>
      </c>
    </row>
    <row r="10" spans="1:44" ht="12.75" customHeight="1" x14ac:dyDescent="0.25">
      <c r="A10" s="27" t="s">
        <v>1209</v>
      </c>
      <c r="B10" s="14" t="s">
        <v>802</v>
      </c>
      <c r="C10" s="26" t="s">
        <v>859</v>
      </c>
      <c r="D10" s="14" t="s">
        <v>1204</v>
      </c>
      <c r="E10" s="1" t="s">
        <v>1545</v>
      </c>
      <c r="F10" s="5"/>
      <c r="G10" s="305"/>
      <c r="H10" s="296">
        <v>198688.34</v>
      </c>
      <c r="I10" s="305"/>
      <c r="J10" s="305"/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19.443000000000001</v>
      </c>
      <c r="Q10" s="19">
        <v>0</v>
      </c>
      <c r="R10" s="19">
        <v>3</v>
      </c>
      <c r="S10" s="19">
        <v>0</v>
      </c>
      <c r="T10" s="19">
        <v>1</v>
      </c>
      <c r="U10" s="19">
        <v>0</v>
      </c>
      <c r="V10" s="19">
        <v>1269.48</v>
      </c>
      <c r="W10" s="19">
        <v>0</v>
      </c>
      <c r="X10" s="19">
        <v>83</v>
      </c>
      <c r="Y10" s="19">
        <v>0</v>
      </c>
      <c r="Z10" s="19">
        <v>152.5</v>
      </c>
      <c r="AA10" s="19">
        <v>0</v>
      </c>
      <c r="AB10" s="19">
        <v>69503.41</v>
      </c>
      <c r="AC10" s="19">
        <v>0</v>
      </c>
      <c r="AD10" s="20">
        <v>69503.41</v>
      </c>
      <c r="AE10" s="19">
        <v>0</v>
      </c>
      <c r="AF10" s="20">
        <v>39</v>
      </c>
      <c r="AG10" s="19">
        <v>0</v>
      </c>
      <c r="AH10" s="20">
        <v>2</v>
      </c>
      <c r="AI10" s="19">
        <v>0</v>
      </c>
      <c r="AJ10" s="20">
        <v>11</v>
      </c>
      <c r="AK10" s="19">
        <v>0</v>
      </c>
      <c r="AL10" s="20">
        <v>111240</v>
      </c>
      <c r="AM10" s="19">
        <v>0</v>
      </c>
      <c r="AN10" s="20">
        <v>0</v>
      </c>
      <c r="AO10" s="19">
        <v>0</v>
      </c>
      <c r="AP10" s="20">
        <v>0</v>
      </c>
      <c r="AQ10" s="19">
        <v>0</v>
      </c>
      <c r="AR10" s="28">
        <v>0</v>
      </c>
    </row>
    <row r="11" spans="1:44" ht="12.75" customHeight="1" x14ac:dyDescent="0.25">
      <c r="A11" s="27" t="s">
        <v>1210</v>
      </c>
      <c r="B11" s="14" t="s">
        <v>802</v>
      </c>
      <c r="C11" s="26" t="s">
        <v>979</v>
      </c>
      <c r="D11" s="14" t="s">
        <v>1160</v>
      </c>
      <c r="E11" s="1" t="s">
        <v>1545</v>
      </c>
      <c r="F11" s="17"/>
      <c r="G11" s="320"/>
      <c r="H11" s="296">
        <v>290127.77</v>
      </c>
      <c r="I11" s="320"/>
      <c r="J11" s="320"/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11.66</v>
      </c>
      <c r="Q11" s="19">
        <v>0</v>
      </c>
      <c r="R11" s="19">
        <v>7</v>
      </c>
      <c r="S11" s="19">
        <v>0</v>
      </c>
      <c r="T11" s="19">
        <v>1</v>
      </c>
      <c r="U11" s="19">
        <v>0</v>
      </c>
      <c r="V11" s="19">
        <v>907</v>
      </c>
      <c r="W11" s="19">
        <v>0</v>
      </c>
      <c r="X11" s="19">
        <v>62.56</v>
      </c>
      <c r="Y11" s="19">
        <v>0</v>
      </c>
      <c r="Z11" s="19">
        <v>142.66</v>
      </c>
      <c r="AA11" s="19">
        <v>0</v>
      </c>
      <c r="AB11" s="19">
        <v>108840</v>
      </c>
      <c r="AC11" s="19">
        <v>0</v>
      </c>
      <c r="AD11" s="20">
        <v>120</v>
      </c>
      <c r="AE11" s="19">
        <v>0</v>
      </c>
      <c r="AF11" s="20">
        <v>8.1999999999999993</v>
      </c>
      <c r="AG11" s="19">
        <v>0</v>
      </c>
      <c r="AH11" s="20">
        <v>0.42</v>
      </c>
      <c r="AI11" s="19">
        <v>0</v>
      </c>
      <c r="AJ11" s="20">
        <v>0.05</v>
      </c>
      <c r="AK11" s="19">
        <v>0</v>
      </c>
      <c r="AL11" s="20">
        <v>120</v>
      </c>
      <c r="AM11" s="19">
        <v>0</v>
      </c>
      <c r="AN11" s="20">
        <v>0</v>
      </c>
      <c r="AO11" s="19">
        <v>0</v>
      </c>
      <c r="AP11" s="20">
        <v>0</v>
      </c>
      <c r="AQ11" s="19">
        <v>0</v>
      </c>
      <c r="AR11" s="28">
        <v>0</v>
      </c>
    </row>
    <row r="12" spans="1:44" ht="12.75" customHeight="1" x14ac:dyDescent="0.25">
      <c r="A12" s="27" t="s">
        <v>1211</v>
      </c>
      <c r="B12" s="14" t="s">
        <v>802</v>
      </c>
      <c r="C12" s="26" t="s">
        <v>979</v>
      </c>
      <c r="D12" s="14" t="s">
        <v>1202</v>
      </c>
      <c r="E12" s="1" t="s">
        <v>1545</v>
      </c>
      <c r="F12" s="17"/>
      <c r="G12" s="320"/>
      <c r="H12" s="296">
        <v>144855.57</v>
      </c>
      <c r="I12" s="320"/>
      <c r="J12" s="320"/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10.84</v>
      </c>
      <c r="Q12" s="19">
        <v>0</v>
      </c>
      <c r="R12" s="19">
        <v>7</v>
      </c>
      <c r="S12" s="19">
        <v>0</v>
      </c>
      <c r="T12" s="19">
        <v>1</v>
      </c>
      <c r="U12" s="19">
        <v>0</v>
      </c>
      <c r="V12" s="19">
        <v>771.84</v>
      </c>
      <c r="W12" s="19">
        <v>0</v>
      </c>
      <c r="X12" s="19">
        <v>50.17</v>
      </c>
      <c r="Y12" s="19">
        <v>0</v>
      </c>
      <c r="Z12" s="19">
        <v>112.43</v>
      </c>
      <c r="AA12" s="19">
        <v>0</v>
      </c>
      <c r="AB12" s="19">
        <v>85674.240000000005</v>
      </c>
      <c r="AC12" s="19">
        <v>0</v>
      </c>
      <c r="AD12" s="20">
        <v>111</v>
      </c>
      <c r="AE12" s="19">
        <v>0</v>
      </c>
      <c r="AF12" s="20">
        <v>7.6</v>
      </c>
      <c r="AG12" s="19">
        <v>0</v>
      </c>
      <c r="AH12" s="20">
        <v>0.4</v>
      </c>
      <c r="AI12" s="19">
        <v>0</v>
      </c>
      <c r="AJ12" s="20">
        <v>0.05</v>
      </c>
      <c r="AK12" s="19">
        <v>0</v>
      </c>
      <c r="AL12" s="20">
        <v>111</v>
      </c>
      <c r="AM12" s="19">
        <v>0</v>
      </c>
      <c r="AN12" s="20">
        <v>0</v>
      </c>
      <c r="AO12" s="19">
        <v>0</v>
      </c>
      <c r="AP12" s="20">
        <v>0</v>
      </c>
      <c r="AQ12" s="19">
        <v>0</v>
      </c>
      <c r="AR12" s="28">
        <v>0</v>
      </c>
    </row>
    <row r="13" spans="1:44" ht="12.75" customHeight="1" x14ac:dyDescent="0.25">
      <c r="A13" s="27" t="s">
        <v>1212</v>
      </c>
      <c r="B13" s="14" t="s">
        <v>802</v>
      </c>
      <c r="C13" s="26" t="s">
        <v>979</v>
      </c>
      <c r="D13" s="14" t="s">
        <v>1079</v>
      </c>
      <c r="E13" s="1" t="s">
        <v>1545</v>
      </c>
      <c r="F13" s="14"/>
      <c r="G13" s="296"/>
      <c r="H13" s="296">
        <v>206900.97</v>
      </c>
      <c r="I13" s="296"/>
      <c r="J13" s="296"/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5.7160000000000002</v>
      </c>
      <c r="Q13" s="19">
        <v>0</v>
      </c>
      <c r="R13" s="19">
        <v>8</v>
      </c>
      <c r="S13" s="19">
        <v>0</v>
      </c>
      <c r="T13" s="19">
        <v>1</v>
      </c>
      <c r="U13" s="19">
        <v>0</v>
      </c>
      <c r="V13" s="19">
        <v>721.45</v>
      </c>
      <c r="W13" s="19">
        <v>0</v>
      </c>
      <c r="X13" s="19">
        <v>47.98</v>
      </c>
      <c r="Y13" s="19">
        <v>0</v>
      </c>
      <c r="Z13" s="19">
        <v>141.57</v>
      </c>
      <c r="AA13" s="19">
        <v>0</v>
      </c>
      <c r="AB13" s="19">
        <v>80109.81</v>
      </c>
      <c r="AC13" s="19">
        <v>0</v>
      </c>
      <c r="AD13" s="20">
        <v>111</v>
      </c>
      <c r="AE13" s="19">
        <v>0</v>
      </c>
      <c r="AF13" s="20">
        <v>12</v>
      </c>
      <c r="AG13" s="19">
        <v>0</v>
      </c>
      <c r="AH13" s="20">
        <v>1</v>
      </c>
      <c r="AI13" s="19">
        <v>0</v>
      </c>
      <c r="AJ13" s="20">
        <v>0</v>
      </c>
      <c r="AK13" s="19">
        <v>0</v>
      </c>
      <c r="AL13" s="20">
        <v>111.04</v>
      </c>
      <c r="AM13" s="19">
        <v>0</v>
      </c>
      <c r="AN13" s="20">
        <v>0</v>
      </c>
      <c r="AO13" s="19">
        <v>0</v>
      </c>
      <c r="AP13" s="20">
        <v>0</v>
      </c>
      <c r="AQ13" s="19">
        <v>0</v>
      </c>
      <c r="AR13" s="28">
        <v>0</v>
      </c>
    </row>
    <row r="14" spans="1:44" ht="12.75" customHeight="1" x14ac:dyDescent="0.25">
      <c r="A14" s="27" t="s">
        <v>1213</v>
      </c>
      <c r="B14" s="14" t="s">
        <v>802</v>
      </c>
      <c r="C14" s="26" t="s">
        <v>979</v>
      </c>
      <c r="D14" s="14" t="s">
        <v>1180</v>
      </c>
      <c r="E14" s="1" t="s">
        <v>1545</v>
      </c>
      <c r="F14" s="14"/>
      <c r="G14" s="296"/>
      <c r="H14" s="296">
        <v>141805.78</v>
      </c>
      <c r="I14" s="296"/>
      <c r="J14" s="296"/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42.027000000000001</v>
      </c>
      <c r="Q14" s="19">
        <v>0</v>
      </c>
      <c r="R14" s="19">
        <v>5</v>
      </c>
      <c r="S14" s="19">
        <v>0</v>
      </c>
      <c r="T14" s="19">
        <v>1</v>
      </c>
      <c r="U14" s="19">
        <v>0</v>
      </c>
      <c r="V14" s="19">
        <v>738.67</v>
      </c>
      <c r="W14" s="19">
        <v>0</v>
      </c>
      <c r="X14" s="19">
        <v>47.32</v>
      </c>
      <c r="Y14" s="19">
        <v>0</v>
      </c>
      <c r="Z14" s="19">
        <v>94.54</v>
      </c>
      <c r="AA14" s="19">
        <v>0</v>
      </c>
      <c r="AB14" s="19">
        <v>47215</v>
      </c>
      <c r="AC14" s="19">
        <v>0</v>
      </c>
      <c r="AD14" s="20">
        <v>157998.96</v>
      </c>
      <c r="AE14" s="19">
        <v>0</v>
      </c>
      <c r="AF14" s="20">
        <v>22.03</v>
      </c>
      <c r="AG14" s="19">
        <v>0</v>
      </c>
      <c r="AH14" s="20">
        <v>1.1299999999999999</v>
      </c>
      <c r="AI14" s="19">
        <v>0</v>
      </c>
      <c r="AJ14" s="20">
        <v>0.14000000000000001</v>
      </c>
      <c r="AK14" s="19">
        <v>0</v>
      </c>
      <c r="AL14" s="20">
        <v>284.38</v>
      </c>
      <c r="AM14" s="19">
        <v>0</v>
      </c>
      <c r="AN14" s="20">
        <v>0</v>
      </c>
      <c r="AO14" s="19">
        <v>0</v>
      </c>
      <c r="AP14" s="20">
        <v>0</v>
      </c>
      <c r="AQ14" s="19">
        <v>0</v>
      </c>
      <c r="AR14" s="28">
        <v>0</v>
      </c>
    </row>
    <row r="15" spans="1:44" ht="12.75" customHeight="1" x14ac:dyDescent="0.25">
      <c r="A15" s="27" t="s">
        <v>1214</v>
      </c>
      <c r="B15" s="14" t="s">
        <v>802</v>
      </c>
      <c r="C15" s="26" t="s">
        <v>979</v>
      </c>
      <c r="D15" s="14" t="s">
        <v>1157</v>
      </c>
      <c r="E15" s="1" t="s">
        <v>1545</v>
      </c>
      <c r="F15" s="14"/>
      <c r="G15" s="296"/>
      <c r="H15" s="296">
        <v>165850.56</v>
      </c>
      <c r="I15" s="296"/>
      <c r="J15" s="296"/>
      <c r="K15" s="19">
        <v>0</v>
      </c>
      <c r="L15" s="19">
        <v>0</v>
      </c>
      <c r="M15" s="19">
        <v>0</v>
      </c>
      <c r="N15" s="19">
        <v>1.65</v>
      </c>
      <c r="O15" s="19">
        <v>0</v>
      </c>
      <c r="P15" s="19">
        <v>7.1479999999999997</v>
      </c>
      <c r="Q15" s="19">
        <v>0</v>
      </c>
      <c r="R15" s="19">
        <v>7</v>
      </c>
      <c r="S15" s="19">
        <v>0</v>
      </c>
      <c r="T15" s="19">
        <v>1</v>
      </c>
      <c r="U15" s="19">
        <v>0</v>
      </c>
      <c r="V15" s="19">
        <v>374.53</v>
      </c>
      <c r="W15" s="19">
        <v>0</v>
      </c>
      <c r="X15" s="19">
        <v>24.55</v>
      </c>
      <c r="Y15" s="19">
        <v>0</v>
      </c>
      <c r="Z15" s="19">
        <v>123.15</v>
      </c>
      <c r="AA15" s="19">
        <v>0</v>
      </c>
      <c r="AB15" s="19">
        <v>98596</v>
      </c>
      <c r="AC15" s="19">
        <v>0</v>
      </c>
      <c r="AD15" s="20">
        <v>40438.35</v>
      </c>
      <c r="AE15" s="19">
        <v>0</v>
      </c>
      <c r="AF15" s="20">
        <v>5.8398000000000003</v>
      </c>
      <c r="AG15" s="19">
        <v>0</v>
      </c>
      <c r="AH15" s="20">
        <v>0.29949999999999999</v>
      </c>
      <c r="AI15" s="19">
        <v>0</v>
      </c>
      <c r="AJ15" s="20">
        <v>3.5900000000000001E-2</v>
      </c>
      <c r="AK15" s="19">
        <v>0</v>
      </c>
      <c r="AL15" s="20">
        <v>107.27</v>
      </c>
      <c r="AM15" s="19">
        <v>0</v>
      </c>
      <c r="AN15" s="20">
        <v>4.8000000000000001E-2</v>
      </c>
      <c r="AO15" s="19">
        <v>0</v>
      </c>
      <c r="AP15" s="20">
        <v>1.65</v>
      </c>
      <c r="AQ15" s="19">
        <v>0</v>
      </c>
      <c r="AR15" s="28">
        <v>4.8000000000000001E-2</v>
      </c>
    </row>
    <row r="16" spans="1:44" ht="12.75" customHeight="1" x14ac:dyDescent="0.25">
      <c r="A16" s="27" t="s">
        <v>1215</v>
      </c>
      <c r="B16" s="14" t="s">
        <v>802</v>
      </c>
      <c r="C16" s="26" t="s">
        <v>979</v>
      </c>
      <c r="D16" s="14" t="s">
        <v>1163</v>
      </c>
      <c r="E16" s="1" t="s">
        <v>1545</v>
      </c>
      <c r="F16" s="14"/>
      <c r="G16" s="296"/>
      <c r="H16" s="296">
        <v>126837.08</v>
      </c>
      <c r="I16" s="296"/>
      <c r="J16" s="296"/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13.56</v>
      </c>
      <c r="Q16" s="19">
        <v>0</v>
      </c>
      <c r="R16" s="19">
        <v>7</v>
      </c>
      <c r="S16" s="19">
        <v>0</v>
      </c>
      <c r="T16" s="19">
        <v>1</v>
      </c>
      <c r="U16" s="19">
        <v>0</v>
      </c>
      <c r="V16" s="19">
        <v>451.4</v>
      </c>
      <c r="W16" s="19">
        <v>0</v>
      </c>
      <c r="X16" s="19">
        <v>31.59</v>
      </c>
      <c r="Y16" s="19">
        <v>0</v>
      </c>
      <c r="Z16" s="19">
        <v>96.42</v>
      </c>
      <c r="AA16" s="19">
        <v>0</v>
      </c>
      <c r="AB16" s="19">
        <v>64829</v>
      </c>
      <c r="AC16" s="19">
        <v>0</v>
      </c>
      <c r="AD16" s="20">
        <v>75751.72</v>
      </c>
      <c r="AE16" s="19">
        <v>0</v>
      </c>
      <c r="AF16" s="20">
        <v>8.43</v>
      </c>
      <c r="AG16" s="19">
        <v>0</v>
      </c>
      <c r="AH16" s="20">
        <v>0.432</v>
      </c>
      <c r="AI16" s="19">
        <v>0</v>
      </c>
      <c r="AJ16" s="20">
        <v>5.1999999999999998E-2</v>
      </c>
      <c r="AK16" s="19">
        <v>0</v>
      </c>
      <c r="AL16" s="20">
        <v>220.2</v>
      </c>
      <c r="AM16" s="19">
        <v>0</v>
      </c>
      <c r="AN16" s="20">
        <v>0</v>
      </c>
      <c r="AO16" s="19">
        <v>0</v>
      </c>
      <c r="AP16" s="20">
        <v>0</v>
      </c>
      <c r="AQ16" s="19">
        <v>0</v>
      </c>
      <c r="AR16" s="28">
        <v>0</v>
      </c>
    </row>
    <row r="17" spans="1:44" ht="12.75" customHeight="1" x14ac:dyDescent="0.25">
      <c r="A17" s="27" t="s">
        <v>1216</v>
      </c>
      <c r="B17" s="14" t="s">
        <v>802</v>
      </c>
      <c r="C17" s="26" t="s">
        <v>979</v>
      </c>
      <c r="D17" s="14" t="s">
        <v>1077</v>
      </c>
      <c r="E17" s="1" t="s">
        <v>1545</v>
      </c>
      <c r="F17" s="14"/>
      <c r="G17" s="296"/>
      <c r="H17" s="296">
        <v>103373.57</v>
      </c>
      <c r="I17" s="296"/>
      <c r="J17" s="296"/>
      <c r="K17" s="19">
        <v>0</v>
      </c>
      <c r="L17" s="19">
        <v>0</v>
      </c>
      <c r="M17" s="19">
        <v>0</v>
      </c>
      <c r="N17" s="19">
        <v>1.45</v>
      </c>
      <c r="O17" s="19">
        <v>0</v>
      </c>
      <c r="P17" s="19">
        <v>17.271999999999998</v>
      </c>
      <c r="Q17" s="19">
        <v>0</v>
      </c>
      <c r="R17" s="19">
        <v>4</v>
      </c>
      <c r="S17" s="19">
        <v>0</v>
      </c>
      <c r="T17" s="19">
        <v>1</v>
      </c>
      <c r="U17" s="19">
        <v>0</v>
      </c>
      <c r="V17" s="19">
        <v>493.2</v>
      </c>
      <c r="W17" s="19">
        <v>0</v>
      </c>
      <c r="X17" s="19">
        <v>35.770000000000003</v>
      </c>
      <c r="Y17" s="19">
        <v>0</v>
      </c>
      <c r="Z17" s="19">
        <v>108.45</v>
      </c>
      <c r="AA17" s="19">
        <v>0</v>
      </c>
      <c r="AB17" s="19">
        <v>72689</v>
      </c>
      <c r="AC17" s="19">
        <v>0</v>
      </c>
      <c r="AD17" s="20">
        <v>74095</v>
      </c>
      <c r="AE17" s="19">
        <v>0</v>
      </c>
      <c r="AF17" s="20">
        <v>10.3</v>
      </c>
      <c r="AG17" s="19">
        <v>0</v>
      </c>
      <c r="AH17" s="20">
        <v>0.56000000000000005</v>
      </c>
      <c r="AI17" s="19">
        <v>0</v>
      </c>
      <c r="AJ17" s="20">
        <v>0.06</v>
      </c>
      <c r="AK17" s="19">
        <v>0</v>
      </c>
      <c r="AL17" s="20">
        <v>202.81</v>
      </c>
      <c r="AM17" s="19">
        <v>0</v>
      </c>
      <c r="AN17" s="20">
        <v>0</v>
      </c>
      <c r="AO17" s="19">
        <v>0</v>
      </c>
      <c r="AP17" s="20">
        <v>1.619</v>
      </c>
      <c r="AQ17" s="19">
        <v>0</v>
      </c>
      <c r="AR17" s="28">
        <v>2.1949999999999998</v>
      </c>
    </row>
    <row r="18" spans="1:44" ht="12.75" customHeight="1" x14ac:dyDescent="0.25">
      <c r="A18" s="27" t="s">
        <v>1217</v>
      </c>
      <c r="B18" s="14" t="s">
        <v>802</v>
      </c>
      <c r="C18" s="26" t="s">
        <v>979</v>
      </c>
      <c r="D18" s="14" t="s">
        <v>1137</v>
      </c>
      <c r="E18" s="1" t="s">
        <v>1545</v>
      </c>
      <c r="F18" s="14"/>
      <c r="G18" s="296"/>
      <c r="H18" s="296">
        <v>224346.29</v>
      </c>
      <c r="I18" s="296"/>
      <c r="J18" s="296"/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12.01</v>
      </c>
      <c r="Q18" s="19">
        <v>0</v>
      </c>
      <c r="R18" s="19">
        <v>7</v>
      </c>
      <c r="S18" s="19">
        <v>0</v>
      </c>
      <c r="T18" s="19">
        <v>1</v>
      </c>
      <c r="U18" s="19">
        <v>0</v>
      </c>
      <c r="V18" s="19">
        <v>500.22</v>
      </c>
      <c r="W18" s="19">
        <v>0</v>
      </c>
      <c r="X18" s="19">
        <v>35.520000000000003</v>
      </c>
      <c r="Y18" s="19">
        <v>0</v>
      </c>
      <c r="Z18" s="19">
        <v>135.08000000000001</v>
      </c>
      <c r="AA18" s="19">
        <v>0</v>
      </c>
      <c r="AB18" s="19">
        <v>109548.18</v>
      </c>
      <c r="AC18" s="19">
        <v>0</v>
      </c>
      <c r="AD18" s="20">
        <v>219</v>
      </c>
      <c r="AE18" s="19">
        <v>0</v>
      </c>
      <c r="AF18" s="20">
        <v>8.6999999999999993</v>
      </c>
      <c r="AG18" s="19">
        <v>0</v>
      </c>
      <c r="AH18" s="20">
        <v>0.44</v>
      </c>
      <c r="AI18" s="19">
        <v>0</v>
      </c>
      <c r="AJ18" s="20">
        <v>0.05</v>
      </c>
      <c r="AK18" s="19">
        <v>0</v>
      </c>
      <c r="AL18" s="20">
        <v>219</v>
      </c>
      <c r="AM18" s="19">
        <v>0</v>
      </c>
      <c r="AN18" s="20">
        <v>0</v>
      </c>
      <c r="AO18" s="19">
        <v>0</v>
      </c>
      <c r="AP18" s="20">
        <v>0</v>
      </c>
      <c r="AQ18" s="19">
        <v>0</v>
      </c>
      <c r="AR18" s="28">
        <v>0</v>
      </c>
    </row>
    <row r="19" spans="1:44" ht="12.75" customHeight="1" x14ac:dyDescent="0.25">
      <c r="A19" s="27" t="s">
        <v>1218</v>
      </c>
      <c r="B19" s="14" t="s">
        <v>802</v>
      </c>
      <c r="C19" s="26" t="s">
        <v>979</v>
      </c>
      <c r="D19" s="14" t="s">
        <v>1108</v>
      </c>
      <c r="E19" s="1" t="s">
        <v>1545</v>
      </c>
      <c r="F19" s="14"/>
      <c r="G19" s="296"/>
      <c r="H19" s="296">
        <v>155402.54999999999</v>
      </c>
      <c r="I19" s="296"/>
      <c r="J19" s="296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27.748000000000001</v>
      </c>
      <c r="Q19" s="19">
        <v>0</v>
      </c>
      <c r="R19" s="19">
        <v>6</v>
      </c>
      <c r="S19" s="19">
        <v>0</v>
      </c>
      <c r="T19" s="19">
        <v>1</v>
      </c>
      <c r="U19" s="19">
        <v>0</v>
      </c>
      <c r="V19" s="19">
        <v>693.81</v>
      </c>
      <c r="W19" s="19">
        <v>0</v>
      </c>
      <c r="X19" s="19">
        <v>51.63</v>
      </c>
      <c r="Y19" s="19">
        <v>0</v>
      </c>
      <c r="Z19" s="19">
        <v>155.87</v>
      </c>
      <c r="AA19" s="19">
        <v>0</v>
      </c>
      <c r="AB19" s="19">
        <v>104233</v>
      </c>
      <c r="AC19" s="19">
        <v>0</v>
      </c>
      <c r="AD19" s="20">
        <v>95622.66</v>
      </c>
      <c r="AE19" s="19">
        <v>0</v>
      </c>
      <c r="AF19" s="20">
        <v>7.4535999999999998</v>
      </c>
      <c r="AG19" s="19">
        <v>0</v>
      </c>
      <c r="AH19" s="20">
        <v>0.38179999999999997</v>
      </c>
      <c r="AI19" s="19">
        <v>0</v>
      </c>
      <c r="AJ19" s="20">
        <v>4.58E-2</v>
      </c>
      <c r="AK19" s="19">
        <v>0</v>
      </c>
      <c r="AL19" s="20">
        <v>165.19</v>
      </c>
      <c r="AM19" s="19">
        <v>0</v>
      </c>
      <c r="AN19" s="20">
        <v>0</v>
      </c>
      <c r="AO19" s="19">
        <v>0</v>
      </c>
      <c r="AP19" s="20">
        <v>0</v>
      </c>
      <c r="AQ19" s="19">
        <v>0</v>
      </c>
      <c r="AR19" s="28">
        <v>0</v>
      </c>
    </row>
    <row r="20" spans="1:44" ht="12.75" customHeight="1" x14ac:dyDescent="0.25">
      <c r="A20" s="27" t="s">
        <v>1219</v>
      </c>
      <c r="B20" s="14" t="s">
        <v>802</v>
      </c>
      <c r="C20" s="26" t="s">
        <v>1023</v>
      </c>
      <c r="D20" s="14" t="s">
        <v>1131</v>
      </c>
      <c r="E20" s="1" t="s">
        <v>1545</v>
      </c>
      <c r="F20" s="14"/>
      <c r="G20" s="296"/>
      <c r="H20" s="322">
        <v>342325</v>
      </c>
      <c r="I20" s="296"/>
      <c r="J20" s="296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61.307000000000002</v>
      </c>
      <c r="Q20" s="19">
        <v>0</v>
      </c>
      <c r="R20" s="19">
        <v>6</v>
      </c>
      <c r="S20" s="19">
        <v>0</v>
      </c>
      <c r="T20" s="19">
        <v>1</v>
      </c>
      <c r="U20" s="19">
        <v>0</v>
      </c>
      <c r="V20" s="19">
        <v>1437</v>
      </c>
      <c r="W20" s="19">
        <v>0</v>
      </c>
      <c r="X20" s="19">
        <v>60</v>
      </c>
      <c r="Y20" s="19">
        <v>0</v>
      </c>
      <c r="Z20" s="19">
        <v>286</v>
      </c>
      <c r="AA20" s="19">
        <v>0</v>
      </c>
      <c r="AB20" s="19">
        <v>225505</v>
      </c>
      <c r="AC20" s="19">
        <v>0</v>
      </c>
      <c r="AD20" s="20">
        <v>180350</v>
      </c>
      <c r="AE20" s="19">
        <v>0</v>
      </c>
      <c r="AF20" s="20">
        <v>109</v>
      </c>
      <c r="AG20" s="19">
        <v>0</v>
      </c>
      <c r="AH20" s="20">
        <v>1</v>
      </c>
      <c r="AI20" s="19">
        <v>0</v>
      </c>
      <c r="AJ20" s="20">
        <v>7</v>
      </c>
      <c r="AK20" s="19">
        <v>0</v>
      </c>
      <c r="AL20" s="20">
        <v>290897</v>
      </c>
      <c r="AM20" s="19">
        <v>0</v>
      </c>
      <c r="AN20" s="20">
        <v>0</v>
      </c>
      <c r="AO20" s="19">
        <v>0</v>
      </c>
      <c r="AP20" s="20">
        <v>0</v>
      </c>
      <c r="AQ20" s="19">
        <v>0</v>
      </c>
      <c r="AR20" s="28">
        <v>0</v>
      </c>
    </row>
    <row r="21" spans="1:44" ht="12.75" customHeight="1" x14ac:dyDescent="0.25">
      <c r="A21" s="27" t="s">
        <v>1220</v>
      </c>
      <c r="B21" s="14" t="s">
        <v>802</v>
      </c>
      <c r="C21" s="26" t="s">
        <v>979</v>
      </c>
      <c r="D21" s="14" t="s">
        <v>1194</v>
      </c>
      <c r="E21" s="1" t="s">
        <v>1545</v>
      </c>
      <c r="F21" s="14"/>
      <c r="G21" s="296"/>
      <c r="H21" s="323">
        <v>67726.06</v>
      </c>
      <c r="I21" s="296"/>
      <c r="J21" s="296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13.6</v>
      </c>
      <c r="Q21" s="19">
        <v>0</v>
      </c>
      <c r="R21" s="19">
        <v>4</v>
      </c>
      <c r="S21" s="19">
        <v>0</v>
      </c>
      <c r="T21" s="19">
        <v>1</v>
      </c>
      <c r="U21" s="19">
        <v>0</v>
      </c>
      <c r="V21" s="19">
        <v>212.42</v>
      </c>
      <c r="W21" s="19">
        <v>0</v>
      </c>
      <c r="X21" s="19">
        <v>12.15</v>
      </c>
      <c r="Y21" s="19">
        <v>0</v>
      </c>
      <c r="Z21" s="19">
        <v>39.35</v>
      </c>
      <c r="AA21" s="19">
        <v>0</v>
      </c>
      <c r="AB21" s="19">
        <v>27200</v>
      </c>
      <c r="AC21" s="19">
        <v>0</v>
      </c>
      <c r="AD21" s="20">
        <v>45900</v>
      </c>
      <c r="AE21" s="19">
        <v>0</v>
      </c>
      <c r="AF21" s="20">
        <v>0</v>
      </c>
      <c r="AG21" s="19">
        <v>0</v>
      </c>
      <c r="AH21" s="20">
        <v>0</v>
      </c>
      <c r="AI21" s="19">
        <v>0</v>
      </c>
      <c r="AJ21" s="20">
        <v>0</v>
      </c>
      <c r="AK21" s="19">
        <v>0</v>
      </c>
      <c r="AL21" s="20">
        <v>564.11</v>
      </c>
      <c r="AM21" s="19">
        <v>0</v>
      </c>
      <c r="AN21" s="20">
        <v>0</v>
      </c>
      <c r="AO21" s="19">
        <v>0</v>
      </c>
      <c r="AP21" s="20">
        <v>0</v>
      </c>
      <c r="AQ21" s="19">
        <v>0</v>
      </c>
      <c r="AR21" s="28">
        <v>0</v>
      </c>
    </row>
    <row r="22" spans="1:44" ht="12.75" customHeight="1" x14ac:dyDescent="0.25">
      <c r="A22" s="27" t="s">
        <v>1221</v>
      </c>
      <c r="B22" s="14" t="s">
        <v>802</v>
      </c>
      <c r="C22" s="26" t="s">
        <v>979</v>
      </c>
      <c r="D22" s="14" t="s">
        <v>1072</v>
      </c>
      <c r="E22" s="1" t="s">
        <v>1545</v>
      </c>
      <c r="F22" s="14"/>
      <c r="G22" s="296"/>
      <c r="H22" s="296">
        <v>186836.11</v>
      </c>
      <c r="I22" s="296"/>
      <c r="J22" s="296"/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36.1965</v>
      </c>
      <c r="Q22" s="19">
        <v>0</v>
      </c>
      <c r="R22" s="19">
        <v>7</v>
      </c>
      <c r="S22" s="19">
        <v>0</v>
      </c>
      <c r="T22" s="19">
        <v>1</v>
      </c>
      <c r="U22" s="19">
        <v>0</v>
      </c>
      <c r="V22" s="19">
        <v>414</v>
      </c>
      <c r="W22" s="19">
        <v>0</v>
      </c>
      <c r="X22" s="19">
        <v>21.58</v>
      </c>
      <c r="Y22" s="19">
        <v>0</v>
      </c>
      <c r="Z22" s="19">
        <v>91.65</v>
      </c>
      <c r="AA22" s="19">
        <v>0</v>
      </c>
      <c r="AB22" s="19">
        <v>70066</v>
      </c>
      <c r="AC22" s="19">
        <v>0</v>
      </c>
      <c r="AD22" s="20">
        <v>56980.43</v>
      </c>
      <c r="AE22" s="19">
        <v>0</v>
      </c>
      <c r="AF22" s="20">
        <v>6.6710000000000003</v>
      </c>
      <c r="AG22" s="19">
        <v>0</v>
      </c>
      <c r="AH22" s="20">
        <v>0.34200000000000003</v>
      </c>
      <c r="AI22" s="19">
        <v>0</v>
      </c>
      <c r="AJ22" s="20">
        <v>4.1000000000000002E-2</v>
      </c>
      <c r="AK22" s="19">
        <v>0</v>
      </c>
      <c r="AL22" s="20">
        <v>184.21</v>
      </c>
      <c r="AM22" s="19">
        <v>0</v>
      </c>
      <c r="AN22" s="20">
        <v>0</v>
      </c>
      <c r="AO22" s="19">
        <v>0</v>
      </c>
      <c r="AP22" s="20">
        <v>0</v>
      </c>
      <c r="AQ22" s="19">
        <v>0</v>
      </c>
      <c r="AR22" s="28">
        <v>0</v>
      </c>
    </row>
    <row r="23" spans="1:44" ht="12.75" customHeight="1" x14ac:dyDescent="0.25">
      <c r="A23" s="27" t="s">
        <v>1222</v>
      </c>
      <c r="B23" s="14" t="s">
        <v>802</v>
      </c>
      <c r="C23" s="26" t="s">
        <v>979</v>
      </c>
      <c r="D23" s="14" t="s">
        <v>1084</v>
      </c>
      <c r="E23" s="1" t="s">
        <v>1545</v>
      </c>
      <c r="F23" s="14"/>
      <c r="G23" s="296"/>
      <c r="H23" s="296">
        <v>177224.24</v>
      </c>
      <c r="I23" s="296"/>
      <c r="J23" s="296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9.3010000000000002</v>
      </c>
      <c r="Q23" s="19">
        <v>0</v>
      </c>
      <c r="R23" s="19">
        <v>6</v>
      </c>
      <c r="S23" s="19">
        <v>0</v>
      </c>
      <c r="T23" s="19">
        <v>1</v>
      </c>
      <c r="U23" s="19">
        <v>0</v>
      </c>
      <c r="V23" s="19">
        <v>748.02</v>
      </c>
      <c r="W23" s="19">
        <v>0</v>
      </c>
      <c r="X23" s="19">
        <v>52.55</v>
      </c>
      <c r="Y23" s="19">
        <v>0</v>
      </c>
      <c r="Z23" s="19">
        <v>181.37</v>
      </c>
      <c r="AA23" s="19">
        <v>0</v>
      </c>
      <c r="AB23" s="19">
        <v>128815</v>
      </c>
      <c r="AC23" s="19">
        <v>0</v>
      </c>
      <c r="AD23" s="20">
        <v>60549.41</v>
      </c>
      <c r="AE23" s="19">
        <v>0</v>
      </c>
      <c r="AF23" s="20">
        <v>7.5990000000000002</v>
      </c>
      <c r="AG23" s="19">
        <v>0</v>
      </c>
      <c r="AH23" s="20">
        <v>0.3896</v>
      </c>
      <c r="AI23" s="19">
        <v>0</v>
      </c>
      <c r="AJ23" s="20">
        <v>4.6699999999999998E-2</v>
      </c>
      <c r="AK23" s="19">
        <v>0</v>
      </c>
      <c r="AL23" s="20">
        <v>150.63999999999999</v>
      </c>
      <c r="AM23" s="19">
        <v>0</v>
      </c>
      <c r="AN23" s="20">
        <v>0</v>
      </c>
      <c r="AO23" s="19">
        <v>0</v>
      </c>
      <c r="AP23" s="20">
        <v>0</v>
      </c>
      <c r="AQ23" s="19">
        <v>0</v>
      </c>
      <c r="AR23" s="28">
        <v>0</v>
      </c>
    </row>
    <row r="24" spans="1:44" ht="12.75" customHeight="1" x14ac:dyDescent="0.25">
      <c r="A24" s="27" t="s">
        <v>1223</v>
      </c>
      <c r="B24" s="14" t="s">
        <v>802</v>
      </c>
      <c r="C24" s="26" t="s">
        <v>979</v>
      </c>
      <c r="D24" s="14" t="s">
        <v>1181</v>
      </c>
      <c r="E24" s="1" t="s">
        <v>1545</v>
      </c>
      <c r="F24" s="14"/>
      <c r="G24" s="296"/>
      <c r="H24" s="296">
        <v>219327.11</v>
      </c>
      <c r="I24" s="296"/>
      <c r="J24" s="296"/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32.469900000000003</v>
      </c>
      <c r="Q24" s="19">
        <v>0</v>
      </c>
      <c r="R24" s="19">
        <v>6</v>
      </c>
      <c r="S24" s="19">
        <v>0</v>
      </c>
      <c r="T24" s="19">
        <v>1</v>
      </c>
      <c r="U24" s="19">
        <v>0</v>
      </c>
      <c r="V24" s="19">
        <v>751</v>
      </c>
      <c r="W24" s="19">
        <v>0</v>
      </c>
      <c r="X24" s="19">
        <v>45.99</v>
      </c>
      <c r="Y24" s="19">
        <v>0</v>
      </c>
      <c r="Z24" s="19">
        <v>168.69</v>
      </c>
      <c r="AA24" s="19">
        <v>0</v>
      </c>
      <c r="AB24" s="19">
        <v>122700</v>
      </c>
      <c r="AC24" s="19">
        <v>0</v>
      </c>
      <c r="AD24" s="20">
        <v>64320</v>
      </c>
      <c r="AE24" s="19">
        <v>0</v>
      </c>
      <c r="AF24" s="20">
        <v>2.5966</v>
      </c>
      <c r="AG24" s="19">
        <v>0</v>
      </c>
      <c r="AH24" s="20">
        <v>0.1328</v>
      </c>
      <c r="AI24" s="19">
        <v>0</v>
      </c>
      <c r="AJ24" s="20">
        <v>1.5800000000000002E-2</v>
      </c>
      <c r="AK24" s="19">
        <v>0</v>
      </c>
      <c r="AL24" s="20">
        <v>119.62</v>
      </c>
      <c r="AM24" s="19">
        <v>0</v>
      </c>
      <c r="AN24" s="20">
        <v>0</v>
      </c>
      <c r="AO24" s="19">
        <v>0</v>
      </c>
      <c r="AP24" s="20">
        <v>0</v>
      </c>
      <c r="AQ24" s="19">
        <v>0</v>
      </c>
      <c r="AR24" s="28">
        <v>0</v>
      </c>
    </row>
    <row r="25" spans="1:44" ht="12.75" customHeight="1" x14ac:dyDescent="0.25">
      <c r="A25" s="27" t="s">
        <v>1224</v>
      </c>
      <c r="B25" s="14" t="s">
        <v>802</v>
      </c>
      <c r="C25" s="26" t="s">
        <v>979</v>
      </c>
      <c r="D25" s="14" t="s">
        <v>1140</v>
      </c>
      <c r="E25" s="1" t="s">
        <v>1545</v>
      </c>
      <c r="F25" s="14"/>
      <c r="G25" s="296"/>
      <c r="H25" s="296">
        <v>177751.88</v>
      </c>
      <c r="I25" s="296"/>
      <c r="J25" s="296"/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12.619400000000001</v>
      </c>
      <c r="Q25" s="19">
        <v>0</v>
      </c>
      <c r="R25" s="19">
        <v>5</v>
      </c>
      <c r="S25" s="19">
        <v>0</v>
      </c>
      <c r="T25" s="19">
        <v>1</v>
      </c>
      <c r="U25" s="19">
        <v>0</v>
      </c>
      <c r="V25" s="19">
        <v>924.87</v>
      </c>
      <c r="W25" s="19">
        <v>0</v>
      </c>
      <c r="X25" s="19">
        <v>56.7</v>
      </c>
      <c r="Y25" s="19">
        <v>0</v>
      </c>
      <c r="Z25" s="19">
        <v>115.71</v>
      </c>
      <c r="AA25" s="19">
        <v>0</v>
      </c>
      <c r="AB25" s="19">
        <v>59008</v>
      </c>
      <c r="AC25" s="19">
        <v>0</v>
      </c>
      <c r="AD25" s="20">
        <v>72074.25</v>
      </c>
      <c r="AE25" s="19">
        <v>0</v>
      </c>
      <c r="AF25" s="20">
        <v>10.6221</v>
      </c>
      <c r="AG25" s="19">
        <v>0</v>
      </c>
      <c r="AH25" s="20">
        <v>0.54469999999999996</v>
      </c>
      <c r="AI25" s="19">
        <v>0</v>
      </c>
      <c r="AJ25" s="20">
        <v>6.54E-2</v>
      </c>
      <c r="AK25" s="19">
        <v>0</v>
      </c>
      <c r="AL25" s="20">
        <v>123</v>
      </c>
      <c r="AM25" s="19">
        <v>0</v>
      </c>
      <c r="AN25" s="20">
        <v>0</v>
      </c>
      <c r="AO25" s="19">
        <v>0</v>
      </c>
      <c r="AP25" s="20">
        <v>0</v>
      </c>
      <c r="AQ25" s="19">
        <v>0</v>
      </c>
      <c r="AR25" s="28">
        <v>0</v>
      </c>
    </row>
    <row r="26" spans="1:44" ht="12.75" customHeight="1" x14ac:dyDescent="0.25">
      <c r="A26" s="27" t="s">
        <v>1225</v>
      </c>
      <c r="B26" s="14" t="s">
        <v>802</v>
      </c>
      <c r="C26" s="26" t="s">
        <v>979</v>
      </c>
      <c r="D26" s="14" t="s">
        <v>1076</v>
      </c>
      <c r="E26" s="1" t="s">
        <v>1545</v>
      </c>
      <c r="F26" s="14"/>
      <c r="G26" s="296"/>
      <c r="H26" s="296">
        <v>85868.4</v>
      </c>
      <c r="I26" s="296"/>
      <c r="J26" s="296"/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18.02</v>
      </c>
      <c r="Q26" s="19">
        <v>0</v>
      </c>
      <c r="R26" s="19">
        <v>5</v>
      </c>
      <c r="S26" s="19">
        <v>0</v>
      </c>
      <c r="T26" s="19">
        <v>1</v>
      </c>
      <c r="U26" s="19">
        <v>0</v>
      </c>
      <c r="V26" s="19">
        <v>936.24</v>
      </c>
      <c r="W26" s="19">
        <v>0</v>
      </c>
      <c r="X26" s="19">
        <v>70.08</v>
      </c>
      <c r="Y26" s="19">
        <v>0</v>
      </c>
      <c r="Z26" s="19">
        <v>147.66999999999999</v>
      </c>
      <c r="AA26" s="19">
        <v>0</v>
      </c>
      <c r="AB26" s="19">
        <v>64413.31</v>
      </c>
      <c r="AC26" s="19">
        <v>0</v>
      </c>
      <c r="AD26" s="20">
        <v>69</v>
      </c>
      <c r="AE26" s="19">
        <v>0</v>
      </c>
      <c r="AF26" s="20">
        <v>4.5</v>
      </c>
      <c r="AG26" s="19">
        <v>0</v>
      </c>
      <c r="AH26" s="20">
        <v>0.48</v>
      </c>
      <c r="AI26" s="19">
        <v>0</v>
      </c>
      <c r="AJ26" s="20">
        <v>0.1</v>
      </c>
      <c r="AK26" s="19">
        <v>0</v>
      </c>
      <c r="AL26" s="20">
        <v>68.8</v>
      </c>
      <c r="AM26" s="19">
        <v>0</v>
      </c>
      <c r="AN26" s="20">
        <v>0</v>
      </c>
      <c r="AO26" s="19">
        <v>0</v>
      </c>
      <c r="AP26" s="20">
        <v>0</v>
      </c>
      <c r="AQ26" s="19">
        <v>0</v>
      </c>
      <c r="AR26" s="28">
        <v>0</v>
      </c>
    </row>
    <row r="27" spans="1:44" ht="12.75" customHeight="1" x14ac:dyDescent="0.25">
      <c r="A27" s="27" t="s">
        <v>1226</v>
      </c>
      <c r="B27" s="14" t="s">
        <v>802</v>
      </c>
      <c r="C27" s="26" t="s">
        <v>979</v>
      </c>
      <c r="D27" s="14" t="s">
        <v>1143</v>
      </c>
      <c r="E27" s="1" t="s">
        <v>1545</v>
      </c>
      <c r="F27" s="14"/>
      <c r="G27" s="296"/>
      <c r="H27" s="296">
        <v>255284.94</v>
      </c>
      <c r="I27" s="296"/>
      <c r="J27" s="296"/>
      <c r="K27" s="19">
        <v>0</v>
      </c>
      <c r="L27" s="19">
        <v>4.1449999999999996</v>
      </c>
      <c r="M27" s="19">
        <v>0</v>
      </c>
      <c r="N27" s="19">
        <v>0</v>
      </c>
      <c r="O27" s="19">
        <v>0</v>
      </c>
      <c r="P27" s="19">
        <v>36.619999999999997</v>
      </c>
      <c r="Q27" s="19">
        <v>0</v>
      </c>
      <c r="R27" s="19">
        <v>7</v>
      </c>
      <c r="S27" s="19">
        <v>0</v>
      </c>
      <c r="T27" s="19">
        <v>1</v>
      </c>
      <c r="U27" s="19">
        <v>0</v>
      </c>
      <c r="V27" s="19">
        <v>1029.5999999999999</v>
      </c>
      <c r="W27" s="19">
        <v>0</v>
      </c>
      <c r="X27" s="19">
        <v>51.17</v>
      </c>
      <c r="Y27" s="19">
        <v>0</v>
      </c>
      <c r="Z27" s="19">
        <v>207.12</v>
      </c>
      <c r="AA27" s="19">
        <v>0</v>
      </c>
      <c r="AB27" s="19">
        <v>155951</v>
      </c>
      <c r="AC27" s="19">
        <v>0</v>
      </c>
      <c r="AD27" s="20">
        <v>131871.76</v>
      </c>
      <c r="AE27" s="19">
        <v>0</v>
      </c>
      <c r="AF27" s="20">
        <v>31.532</v>
      </c>
      <c r="AG27" s="19">
        <v>0</v>
      </c>
      <c r="AH27" s="20">
        <v>3.3809999999999998</v>
      </c>
      <c r="AI27" s="19">
        <v>0</v>
      </c>
      <c r="AJ27" s="20">
        <v>12.387</v>
      </c>
      <c r="AK27" s="19">
        <v>0</v>
      </c>
      <c r="AL27" s="20">
        <v>187.99</v>
      </c>
      <c r="AM27" s="19">
        <v>0</v>
      </c>
      <c r="AN27" s="20">
        <v>5.0000000000000001E-3</v>
      </c>
      <c r="AO27" s="19">
        <v>0</v>
      </c>
      <c r="AP27" s="20">
        <v>5.0000000000000001E-3</v>
      </c>
      <c r="AQ27" s="19">
        <v>0</v>
      </c>
      <c r="AR27" s="28">
        <v>0</v>
      </c>
    </row>
    <row r="28" spans="1:44" ht="12.75" customHeight="1" x14ac:dyDescent="0.25">
      <c r="A28" s="27" t="s">
        <v>1227</v>
      </c>
      <c r="B28" s="14" t="s">
        <v>802</v>
      </c>
      <c r="C28" s="26" t="s">
        <v>979</v>
      </c>
      <c r="D28" s="14" t="s">
        <v>1096</v>
      </c>
      <c r="E28" s="1" t="s">
        <v>1545</v>
      </c>
      <c r="F28" s="14"/>
      <c r="G28" s="296"/>
      <c r="H28" s="296">
        <v>180845.66</v>
      </c>
      <c r="I28" s="296"/>
      <c r="J28" s="296"/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14.84</v>
      </c>
      <c r="Q28" s="19">
        <v>0</v>
      </c>
      <c r="R28" s="19">
        <v>6</v>
      </c>
      <c r="S28" s="19">
        <v>0</v>
      </c>
      <c r="T28" s="19">
        <v>1</v>
      </c>
      <c r="U28" s="19">
        <v>0</v>
      </c>
      <c r="V28" s="19">
        <v>724</v>
      </c>
      <c r="W28" s="19">
        <v>0</v>
      </c>
      <c r="X28" s="19">
        <v>41.97</v>
      </c>
      <c r="Y28" s="19">
        <v>0</v>
      </c>
      <c r="Z28" s="19">
        <v>132.52000000000001</v>
      </c>
      <c r="AA28" s="19">
        <v>0</v>
      </c>
      <c r="AB28" s="19">
        <v>90546</v>
      </c>
      <c r="AC28" s="19">
        <v>0</v>
      </c>
      <c r="AD28" s="20">
        <v>81642.240000000005</v>
      </c>
      <c r="AE28" s="19">
        <v>0</v>
      </c>
      <c r="AF28" s="20">
        <v>16.9237</v>
      </c>
      <c r="AG28" s="19">
        <v>0</v>
      </c>
      <c r="AH28" s="20">
        <v>0.8679</v>
      </c>
      <c r="AI28" s="19">
        <v>0</v>
      </c>
      <c r="AJ28" s="20">
        <v>0.1041</v>
      </c>
      <c r="AK28" s="19">
        <v>0</v>
      </c>
      <c r="AL28" s="20">
        <v>156.30000000000001</v>
      </c>
      <c r="AM28" s="19">
        <v>0</v>
      </c>
      <c r="AN28" s="20">
        <v>0</v>
      </c>
      <c r="AO28" s="19">
        <v>0</v>
      </c>
      <c r="AP28" s="20">
        <v>0</v>
      </c>
      <c r="AQ28" s="19">
        <v>0</v>
      </c>
      <c r="AR28" s="28">
        <v>0</v>
      </c>
    </row>
    <row r="29" spans="1:44" ht="12.75" customHeight="1" x14ac:dyDescent="0.25">
      <c r="A29" s="27" t="s">
        <v>1228</v>
      </c>
      <c r="B29" s="14" t="s">
        <v>802</v>
      </c>
      <c r="C29" s="26" t="s">
        <v>979</v>
      </c>
      <c r="D29" s="14" t="s">
        <v>1172</v>
      </c>
      <c r="E29" s="1" t="s">
        <v>1545</v>
      </c>
      <c r="F29" s="14"/>
      <c r="G29" s="296"/>
      <c r="H29" s="323">
        <v>90072.01</v>
      </c>
      <c r="I29" s="296"/>
      <c r="J29" s="296"/>
      <c r="K29" s="19">
        <v>0</v>
      </c>
      <c r="L29" s="19">
        <v>0</v>
      </c>
      <c r="M29" s="19">
        <v>0</v>
      </c>
      <c r="N29" s="19">
        <v>1.891</v>
      </c>
      <c r="O29" s="19">
        <v>0</v>
      </c>
      <c r="P29" s="19">
        <v>8.1739999999999995</v>
      </c>
      <c r="Q29" s="19">
        <v>0</v>
      </c>
      <c r="R29" s="19">
        <v>5</v>
      </c>
      <c r="S29" s="19">
        <v>0</v>
      </c>
      <c r="T29" s="19">
        <v>1</v>
      </c>
      <c r="U29" s="19">
        <v>0</v>
      </c>
      <c r="V29" s="19">
        <v>474</v>
      </c>
      <c r="W29" s="19">
        <v>0</v>
      </c>
      <c r="X29" s="19">
        <v>27.78</v>
      </c>
      <c r="Y29" s="19">
        <v>0</v>
      </c>
      <c r="Z29" s="19">
        <v>99.94</v>
      </c>
      <c r="AA29" s="19">
        <v>0</v>
      </c>
      <c r="AB29" s="19">
        <v>72165</v>
      </c>
      <c r="AC29" s="19">
        <v>0</v>
      </c>
      <c r="AD29" s="20">
        <v>45813.22</v>
      </c>
      <c r="AE29" s="19">
        <v>0</v>
      </c>
      <c r="AF29" s="20">
        <v>3.9491000000000001</v>
      </c>
      <c r="AG29" s="19">
        <v>0</v>
      </c>
      <c r="AH29" s="20">
        <v>0.34210000000000002</v>
      </c>
      <c r="AI29" s="19">
        <v>0</v>
      </c>
      <c r="AJ29" s="20">
        <v>4.1099999999999998E-2</v>
      </c>
      <c r="AK29" s="19">
        <v>0</v>
      </c>
      <c r="AL29" s="20">
        <v>100.05800000000001</v>
      </c>
      <c r="AM29" s="19">
        <v>0</v>
      </c>
      <c r="AN29" s="20">
        <v>0.68</v>
      </c>
      <c r="AO29" s="19">
        <v>0</v>
      </c>
      <c r="AP29" s="20">
        <v>0.68</v>
      </c>
      <c r="AQ29" s="19">
        <v>0</v>
      </c>
      <c r="AR29" s="28">
        <v>1.24</v>
      </c>
    </row>
    <row r="30" spans="1:44" ht="12.75" customHeight="1" x14ac:dyDescent="0.25">
      <c r="A30" s="27" t="s">
        <v>1229</v>
      </c>
      <c r="B30" s="14" t="s">
        <v>802</v>
      </c>
      <c r="C30" s="26" t="s">
        <v>979</v>
      </c>
      <c r="D30" s="14" t="s">
        <v>1189</v>
      </c>
      <c r="E30" s="1" t="s">
        <v>1545</v>
      </c>
      <c r="F30" s="14"/>
      <c r="G30" s="296"/>
      <c r="H30" s="296">
        <v>204429.23</v>
      </c>
      <c r="I30" s="296"/>
      <c r="J30" s="296"/>
      <c r="K30" s="19">
        <v>0</v>
      </c>
      <c r="L30" s="19">
        <v>0</v>
      </c>
      <c r="M30" s="19">
        <v>0</v>
      </c>
      <c r="N30" s="19">
        <v>2.15</v>
      </c>
      <c r="O30" s="19">
        <v>0</v>
      </c>
      <c r="P30" s="19">
        <v>16.05</v>
      </c>
      <c r="Q30" s="19">
        <v>0</v>
      </c>
      <c r="R30" s="19">
        <v>8</v>
      </c>
      <c r="S30" s="19">
        <v>0</v>
      </c>
      <c r="T30" s="19">
        <v>1</v>
      </c>
      <c r="U30" s="19">
        <v>0</v>
      </c>
      <c r="V30" s="19">
        <v>481.86</v>
      </c>
      <c r="W30" s="19">
        <v>0</v>
      </c>
      <c r="X30" s="19">
        <v>29.95</v>
      </c>
      <c r="Y30" s="19">
        <v>0</v>
      </c>
      <c r="Z30" s="19">
        <v>104.04</v>
      </c>
      <c r="AA30" s="19">
        <v>0</v>
      </c>
      <c r="AB30" s="19">
        <v>74091</v>
      </c>
      <c r="AC30" s="19">
        <v>0</v>
      </c>
      <c r="AD30" s="20">
        <v>89599.08</v>
      </c>
      <c r="AE30" s="19">
        <v>0</v>
      </c>
      <c r="AF30" s="20">
        <v>24.273599999999998</v>
      </c>
      <c r="AG30" s="19">
        <v>0</v>
      </c>
      <c r="AH30" s="20">
        <v>1.2447999999999999</v>
      </c>
      <c r="AI30" s="19">
        <v>0</v>
      </c>
      <c r="AJ30" s="20">
        <v>0.14929999999999999</v>
      </c>
      <c r="AK30" s="19">
        <v>0</v>
      </c>
      <c r="AL30" s="20">
        <v>249.33</v>
      </c>
      <c r="AM30" s="19">
        <v>0</v>
      </c>
      <c r="AN30" s="20">
        <v>5.7000000000000002E-2</v>
      </c>
      <c r="AO30" s="19">
        <v>0</v>
      </c>
      <c r="AP30" s="20">
        <v>2.15</v>
      </c>
      <c r="AQ30" s="19">
        <v>0</v>
      </c>
      <c r="AR30" s="28">
        <v>5.7000000000000002E-2</v>
      </c>
    </row>
    <row r="31" spans="1:44" ht="12.75" customHeight="1" x14ac:dyDescent="0.25">
      <c r="A31" s="27" t="s">
        <v>1230</v>
      </c>
      <c r="B31" s="14" t="s">
        <v>802</v>
      </c>
      <c r="C31" s="26" t="s">
        <v>979</v>
      </c>
      <c r="D31" s="14" t="s">
        <v>1117</v>
      </c>
      <c r="E31" s="1" t="s">
        <v>1545</v>
      </c>
      <c r="F31" s="14"/>
      <c r="G31" s="296"/>
      <c r="H31" s="296">
        <v>145097.98000000001</v>
      </c>
      <c r="I31" s="296"/>
      <c r="J31" s="296"/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7.16</v>
      </c>
      <c r="Q31" s="19">
        <v>0</v>
      </c>
      <c r="R31" s="19">
        <v>7</v>
      </c>
      <c r="S31" s="19">
        <v>0</v>
      </c>
      <c r="T31" s="19">
        <v>1</v>
      </c>
      <c r="U31" s="19">
        <v>0</v>
      </c>
      <c r="V31" s="19">
        <v>657</v>
      </c>
      <c r="W31" s="19">
        <v>0</v>
      </c>
      <c r="X31" s="19">
        <v>46.26</v>
      </c>
      <c r="Y31" s="19">
        <v>0</v>
      </c>
      <c r="Z31" s="19">
        <v>121.62</v>
      </c>
      <c r="AA31" s="19">
        <v>0</v>
      </c>
      <c r="AB31" s="19">
        <v>75356</v>
      </c>
      <c r="AC31" s="19">
        <v>0</v>
      </c>
      <c r="AD31" s="20">
        <v>50977.919999999998</v>
      </c>
      <c r="AE31" s="19">
        <v>0</v>
      </c>
      <c r="AF31" s="20">
        <v>8.3537999999999997</v>
      </c>
      <c r="AG31" s="19">
        <v>0</v>
      </c>
      <c r="AH31" s="20">
        <v>0.4284</v>
      </c>
      <c r="AI31" s="19">
        <v>0</v>
      </c>
      <c r="AJ31" s="20">
        <v>5.1400000000000001E-2</v>
      </c>
      <c r="AK31" s="19">
        <v>0</v>
      </c>
      <c r="AL31" s="20">
        <v>112.72</v>
      </c>
      <c r="AM31" s="19">
        <v>0</v>
      </c>
      <c r="AN31" s="20">
        <v>0</v>
      </c>
      <c r="AO31" s="19">
        <v>0</v>
      </c>
      <c r="AP31" s="20">
        <v>0</v>
      </c>
      <c r="AQ31" s="19">
        <v>0</v>
      </c>
      <c r="AR31" s="28">
        <v>0</v>
      </c>
    </row>
    <row r="32" spans="1:44" ht="12.75" customHeight="1" x14ac:dyDescent="0.25">
      <c r="A32" s="27" t="s">
        <v>1231</v>
      </c>
      <c r="B32" s="14" t="s">
        <v>802</v>
      </c>
      <c r="C32" s="26" t="s">
        <v>979</v>
      </c>
      <c r="D32" s="14" t="s">
        <v>1129</v>
      </c>
      <c r="E32" s="1" t="s">
        <v>1545</v>
      </c>
      <c r="F32" s="14"/>
      <c r="G32" s="296"/>
      <c r="H32" s="296">
        <v>173899.47</v>
      </c>
      <c r="I32" s="296"/>
      <c r="J32" s="296"/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6.09</v>
      </c>
      <c r="Q32" s="19">
        <v>0</v>
      </c>
      <c r="R32" s="19">
        <v>6</v>
      </c>
      <c r="S32" s="19">
        <v>0</v>
      </c>
      <c r="T32" s="19">
        <v>1</v>
      </c>
      <c r="U32" s="19">
        <v>0</v>
      </c>
      <c r="V32" s="19">
        <v>728.19</v>
      </c>
      <c r="W32" s="19">
        <v>0</v>
      </c>
      <c r="X32" s="19">
        <v>40.479999999999997</v>
      </c>
      <c r="Y32" s="19">
        <v>0</v>
      </c>
      <c r="Z32" s="19">
        <v>152.47</v>
      </c>
      <c r="AA32" s="19">
        <v>0</v>
      </c>
      <c r="AB32" s="19">
        <v>111990</v>
      </c>
      <c r="AC32" s="19">
        <v>0</v>
      </c>
      <c r="AD32" s="20">
        <v>33999.74</v>
      </c>
      <c r="AE32" s="19">
        <v>0</v>
      </c>
      <c r="AF32" s="20">
        <v>3.4398</v>
      </c>
      <c r="AG32" s="19">
        <v>0</v>
      </c>
      <c r="AH32" s="20">
        <v>5.2499999999999998E-2</v>
      </c>
      <c r="AI32" s="19">
        <v>0</v>
      </c>
      <c r="AJ32" s="20">
        <v>8.5175999999999998</v>
      </c>
      <c r="AK32" s="19">
        <v>0</v>
      </c>
      <c r="AL32" s="20">
        <v>78.23</v>
      </c>
      <c r="AM32" s="19">
        <v>0</v>
      </c>
      <c r="AN32" s="20">
        <v>0</v>
      </c>
      <c r="AO32" s="19">
        <v>0</v>
      </c>
      <c r="AP32" s="20">
        <v>0</v>
      </c>
      <c r="AQ32" s="19">
        <v>0</v>
      </c>
      <c r="AR32" s="28">
        <v>0</v>
      </c>
    </row>
    <row r="33" spans="1:44" ht="12.75" customHeight="1" x14ac:dyDescent="0.25">
      <c r="A33" s="27" t="s">
        <v>1232</v>
      </c>
      <c r="B33" s="14" t="s">
        <v>2393</v>
      </c>
      <c r="C33" s="26" t="s">
        <v>979</v>
      </c>
      <c r="D33" s="14" t="s">
        <v>1472</v>
      </c>
      <c r="E33" s="1" t="s">
        <v>1545</v>
      </c>
      <c r="F33" s="14"/>
      <c r="G33" s="296"/>
      <c r="H33" s="296">
        <v>205519.02</v>
      </c>
      <c r="I33" s="296"/>
      <c r="J33" s="296"/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15.22</v>
      </c>
      <c r="Q33" s="19">
        <v>0</v>
      </c>
      <c r="R33" s="19">
        <v>6</v>
      </c>
      <c r="S33" s="19">
        <v>0</v>
      </c>
      <c r="T33" s="19">
        <v>1</v>
      </c>
      <c r="U33" s="19">
        <v>0</v>
      </c>
      <c r="V33" s="19">
        <v>649.44000000000005</v>
      </c>
      <c r="W33" s="19">
        <v>0</v>
      </c>
      <c r="X33" s="19">
        <v>44.64</v>
      </c>
      <c r="Y33" s="19">
        <v>0</v>
      </c>
      <c r="Z33" s="19">
        <v>148.12</v>
      </c>
      <c r="AA33" s="19">
        <v>0</v>
      </c>
      <c r="AB33" s="19">
        <v>103483</v>
      </c>
      <c r="AC33" s="19">
        <v>0</v>
      </c>
      <c r="AD33" s="20">
        <v>85220.1</v>
      </c>
      <c r="AE33" s="19">
        <v>0</v>
      </c>
      <c r="AF33" s="20">
        <v>13.6</v>
      </c>
      <c r="AG33" s="19">
        <v>0</v>
      </c>
      <c r="AH33" s="20">
        <v>0.7</v>
      </c>
      <c r="AI33" s="19">
        <v>0</v>
      </c>
      <c r="AJ33" s="20">
        <v>0.08</v>
      </c>
      <c r="AK33" s="19">
        <v>0</v>
      </c>
      <c r="AL33" s="20">
        <v>193</v>
      </c>
      <c r="AM33" s="19">
        <v>0</v>
      </c>
      <c r="AN33" s="20">
        <v>0</v>
      </c>
      <c r="AO33" s="19">
        <v>0</v>
      </c>
      <c r="AP33" s="20">
        <v>0</v>
      </c>
      <c r="AQ33" s="19">
        <v>0</v>
      </c>
      <c r="AR33" s="28">
        <v>0</v>
      </c>
    </row>
    <row r="34" spans="1:44" ht="12.75" customHeight="1" x14ac:dyDescent="0.25">
      <c r="A34" s="27" t="s">
        <v>1233</v>
      </c>
      <c r="B34" s="14" t="s">
        <v>2393</v>
      </c>
      <c r="C34" s="26" t="s">
        <v>979</v>
      </c>
      <c r="D34" s="14" t="s">
        <v>1135</v>
      </c>
      <c r="E34" s="1" t="s">
        <v>1545</v>
      </c>
      <c r="F34" s="14"/>
      <c r="G34" s="296"/>
      <c r="H34" s="296">
        <v>274510.86</v>
      </c>
      <c r="I34" s="296"/>
      <c r="J34" s="296"/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27.67</v>
      </c>
      <c r="Q34" s="19">
        <v>0</v>
      </c>
      <c r="R34" s="19">
        <v>5</v>
      </c>
      <c r="S34" s="19">
        <v>0</v>
      </c>
      <c r="T34" s="19">
        <v>1</v>
      </c>
      <c r="U34" s="19">
        <v>0</v>
      </c>
      <c r="V34" s="19">
        <v>1490.4</v>
      </c>
      <c r="W34" s="19">
        <v>0</v>
      </c>
      <c r="X34" s="19">
        <v>80.48</v>
      </c>
      <c r="Y34" s="19">
        <v>0</v>
      </c>
      <c r="Z34" s="19">
        <v>142.09</v>
      </c>
      <c r="AA34" s="19">
        <v>0</v>
      </c>
      <c r="AB34" s="19">
        <v>244425.60000000001</v>
      </c>
      <c r="AC34" s="19">
        <v>0</v>
      </c>
      <c r="AD34" s="20">
        <v>164</v>
      </c>
      <c r="AE34" s="19">
        <v>0</v>
      </c>
      <c r="AF34" s="20">
        <v>22.6</v>
      </c>
      <c r="AG34" s="19">
        <v>0</v>
      </c>
      <c r="AH34" s="20">
        <v>1.1200000000000001</v>
      </c>
      <c r="AI34" s="19">
        <v>0</v>
      </c>
      <c r="AJ34" s="20">
        <v>0.15</v>
      </c>
      <c r="AK34" s="19">
        <v>0</v>
      </c>
      <c r="AL34" s="20">
        <v>164</v>
      </c>
      <c r="AM34" s="19">
        <v>0</v>
      </c>
      <c r="AN34" s="20">
        <v>0</v>
      </c>
      <c r="AO34" s="19">
        <v>0</v>
      </c>
      <c r="AP34" s="20">
        <v>0</v>
      </c>
      <c r="AQ34" s="19">
        <v>0</v>
      </c>
      <c r="AR34" s="28">
        <v>0</v>
      </c>
    </row>
    <row r="35" spans="1:44" ht="12.75" customHeight="1" x14ac:dyDescent="0.25">
      <c r="A35" s="27" t="s">
        <v>1234</v>
      </c>
      <c r="B35" s="14" t="s">
        <v>2393</v>
      </c>
      <c r="C35" s="26" t="s">
        <v>979</v>
      </c>
      <c r="D35" s="14" t="s">
        <v>1200</v>
      </c>
      <c r="E35" s="1" t="s">
        <v>1545</v>
      </c>
      <c r="F35" s="14"/>
      <c r="G35" s="296"/>
      <c r="H35" s="296"/>
      <c r="I35" s="296"/>
      <c r="J35" s="296"/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15.3</v>
      </c>
      <c r="Q35" s="19">
        <v>0</v>
      </c>
      <c r="R35" s="19">
        <v>5</v>
      </c>
      <c r="S35" s="19">
        <v>0</v>
      </c>
      <c r="T35" s="19">
        <v>1</v>
      </c>
      <c r="U35" s="19">
        <v>0</v>
      </c>
      <c r="V35" s="19">
        <v>844.1</v>
      </c>
      <c r="W35" s="19">
        <v>0</v>
      </c>
      <c r="X35" s="19">
        <v>58.14</v>
      </c>
      <c r="Y35" s="19">
        <v>0</v>
      </c>
      <c r="Z35" s="19">
        <v>115.72</v>
      </c>
      <c r="AA35" s="19">
        <v>0</v>
      </c>
      <c r="AB35" s="19">
        <v>256606.4</v>
      </c>
      <c r="AC35" s="19">
        <v>0</v>
      </c>
      <c r="AD35" s="20">
        <v>304</v>
      </c>
      <c r="AE35" s="19">
        <v>0</v>
      </c>
      <c r="AF35" s="20">
        <v>11.1</v>
      </c>
      <c r="AG35" s="19">
        <v>0</v>
      </c>
      <c r="AH35" s="20">
        <v>0.6</v>
      </c>
      <c r="AI35" s="19">
        <v>0</v>
      </c>
      <c r="AJ35" s="20">
        <v>7.0000000000000007E-2</v>
      </c>
      <c r="AK35" s="19">
        <v>0</v>
      </c>
      <c r="AL35" s="20">
        <v>304</v>
      </c>
      <c r="AM35" s="19">
        <v>0</v>
      </c>
      <c r="AN35" s="20">
        <v>0</v>
      </c>
      <c r="AO35" s="19">
        <v>0</v>
      </c>
      <c r="AP35" s="20">
        <v>0</v>
      </c>
      <c r="AQ35" s="19">
        <v>0</v>
      </c>
      <c r="AR35" s="28">
        <v>0</v>
      </c>
    </row>
    <row r="36" spans="1:44" ht="12.75" customHeight="1" x14ac:dyDescent="0.25">
      <c r="A36" s="27" t="s">
        <v>1235</v>
      </c>
      <c r="B36" s="14" t="s">
        <v>2393</v>
      </c>
      <c r="C36" s="26" t="s">
        <v>981</v>
      </c>
      <c r="D36" s="14" t="s">
        <v>1191</v>
      </c>
      <c r="E36" s="1" t="s">
        <v>1545</v>
      </c>
      <c r="F36" s="14"/>
      <c r="G36" s="296"/>
      <c r="H36" s="296">
        <v>496243</v>
      </c>
      <c r="I36" s="296"/>
      <c r="J36" s="296"/>
      <c r="K36" s="19">
        <v>0</v>
      </c>
      <c r="L36" s="19">
        <v>0</v>
      </c>
      <c r="M36" s="19">
        <v>0</v>
      </c>
      <c r="N36" s="19">
        <v>6.0380000000000003</v>
      </c>
      <c r="O36" s="19">
        <v>0</v>
      </c>
      <c r="P36" s="19">
        <v>41.91</v>
      </c>
      <c r="Q36" s="19">
        <v>0</v>
      </c>
      <c r="R36" s="19">
        <v>7</v>
      </c>
      <c r="S36" s="19">
        <v>0</v>
      </c>
      <c r="T36" s="19">
        <v>1</v>
      </c>
      <c r="U36" s="19">
        <v>0</v>
      </c>
      <c r="V36" s="19">
        <v>1477</v>
      </c>
      <c r="W36" s="19">
        <v>0</v>
      </c>
      <c r="X36" s="19">
        <v>58.834000000000003</v>
      </c>
      <c r="Y36" s="19">
        <v>0</v>
      </c>
      <c r="Z36" s="19">
        <v>262.13400000000001</v>
      </c>
      <c r="AA36" s="19">
        <v>0</v>
      </c>
      <c r="AB36" s="19">
        <v>203300</v>
      </c>
      <c r="AC36" s="19">
        <v>0</v>
      </c>
      <c r="AD36" s="20">
        <v>163144</v>
      </c>
      <c r="AE36" s="19">
        <v>0</v>
      </c>
      <c r="AF36" s="20">
        <v>22</v>
      </c>
      <c r="AG36" s="19">
        <v>0</v>
      </c>
      <c r="AH36" s="20">
        <v>0</v>
      </c>
      <c r="AI36" s="19">
        <v>0</v>
      </c>
      <c r="AJ36" s="20">
        <v>0</v>
      </c>
      <c r="AK36" s="19">
        <v>0</v>
      </c>
      <c r="AL36" s="20">
        <v>307038.76</v>
      </c>
      <c r="AM36" s="19">
        <v>0</v>
      </c>
      <c r="AN36" s="20">
        <v>0</v>
      </c>
      <c r="AO36" s="19">
        <v>0</v>
      </c>
      <c r="AP36" s="20">
        <v>5.4000000000000003E-3</v>
      </c>
      <c r="AQ36" s="19">
        <v>0</v>
      </c>
      <c r="AR36" s="28">
        <v>5.4000000000000003E-3</v>
      </c>
    </row>
    <row r="37" spans="1:44" ht="12.75" customHeight="1" x14ac:dyDescent="0.25">
      <c r="A37" s="27" t="s">
        <v>1236</v>
      </c>
      <c r="B37" s="14" t="s">
        <v>2393</v>
      </c>
      <c r="C37" s="26" t="s">
        <v>981</v>
      </c>
      <c r="D37" s="14" t="s">
        <v>1070</v>
      </c>
      <c r="E37" s="1" t="s">
        <v>1545</v>
      </c>
      <c r="F37" s="14"/>
      <c r="G37" s="296"/>
      <c r="H37" s="296">
        <v>377628.26</v>
      </c>
      <c r="I37" s="296"/>
      <c r="J37" s="296"/>
      <c r="K37" s="19">
        <v>0</v>
      </c>
      <c r="L37" s="19">
        <v>0</v>
      </c>
      <c r="M37" s="19">
        <v>0</v>
      </c>
      <c r="N37" s="19">
        <v>6.0380000000000003</v>
      </c>
      <c r="O37" s="19">
        <v>0</v>
      </c>
      <c r="P37" s="19">
        <v>35.31</v>
      </c>
      <c r="Q37" s="19">
        <v>0</v>
      </c>
      <c r="R37" s="19">
        <v>7</v>
      </c>
      <c r="S37" s="19">
        <v>0</v>
      </c>
      <c r="T37" s="19">
        <v>1</v>
      </c>
      <c r="U37" s="19">
        <v>0</v>
      </c>
      <c r="V37" s="19">
        <v>1007</v>
      </c>
      <c r="W37" s="19">
        <v>0</v>
      </c>
      <c r="X37" s="19">
        <v>39.445999999999998</v>
      </c>
      <c r="Y37" s="19">
        <v>0</v>
      </c>
      <c r="Z37" s="19">
        <v>285.34699999999998</v>
      </c>
      <c r="AA37" s="19">
        <v>0</v>
      </c>
      <c r="AB37" s="19">
        <v>245901</v>
      </c>
      <c r="AC37" s="19">
        <v>0</v>
      </c>
      <c r="AD37" s="20">
        <v>164369</v>
      </c>
      <c r="AE37" s="19">
        <v>0</v>
      </c>
      <c r="AF37" s="20">
        <v>19</v>
      </c>
      <c r="AG37" s="19">
        <v>0</v>
      </c>
      <c r="AH37" s="20">
        <v>0</v>
      </c>
      <c r="AI37" s="19">
        <v>0</v>
      </c>
      <c r="AJ37" s="20">
        <v>1</v>
      </c>
      <c r="AK37" s="19">
        <v>0</v>
      </c>
      <c r="AL37" s="20">
        <v>269845.78999999998</v>
      </c>
      <c r="AM37" s="19">
        <v>0</v>
      </c>
      <c r="AN37" s="20">
        <v>0</v>
      </c>
      <c r="AO37" s="19">
        <v>0</v>
      </c>
      <c r="AP37" s="20">
        <v>5.4000000000000003E-3</v>
      </c>
      <c r="AQ37" s="19">
        <v>0</v>
      </c>
      <c r="AR37" s="28">
        <v>5.4000000000000003E-3</v>
      </c>
    </row>
    <row r="38" spans="1:44" ht="12.75" customHeight="1" x14ac:dyDescent="0.25">
      <c r="A38" s="27" t="s">
        <v>1237</v>
      </c>
      <c r="B38" s="14" t="s">
        <v>2393</v>
      </c>
      <c r="C38" s="26" t="s">
        <v>1052</v>
      </c>
      <c r="D38" s="14" t="s">
        <v>1182</v>
      </c>
      <c r="E38" s="1" t="s">
        <v>1545</v>
      </c>
      <c r="F38" s="14"/>
      <c r="G38" s="296"/>
      <c r="H38" s="356">
        <v>219989.82</v>
      </c>
      <c r="I38" s="296"/>
      <c r="J38" s="296"/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2.3199999999999998</v>
      </c>
      <c r="Q38" s="19">
        <v>0</v>
      </c>
      <c r="R38" s="19">
        <v>1</v>
      </c>
      <c r="S38" s="19">
        <v>0</v>
      </c>
      <c r="T38" s="19">
        <v>1</v>
      </c>
      <c r="U38" s="19">
        <v>0</v>
      </c>
      <c r="V38" s="19">
        <v>1541.96</v>
      </c>
      <c r="W38" s="19">
        <v>0</v>
      </c>
      <c r="X38" s="19">
        <v>113.06</v>
      </c>
      <c r="Y38" s="19">
        <v>0</v>
      </c>
      <c r="Z38" s="19">
        <v>228.79</v>
      </c>
      <c r="AA38" s="19">
        <v>0</v>
      </c>
      <c r="AB38" s="19">
        <v>115730</v>
      </c>
      <c r="AC38" s="19">
        <v>0</v>
      </c>
      <c r="AD38" s="20">
        <v>115730</v>
      </c>
      <c r="AE38" s="19">
        <v>0</v>
      </c>
      <c r="AF38" s="20">
        <v>0.10100000000000001</v>
      </c>
      <c r="AG38" s="19">
        <v>0</v>
      </c>
      <c r="AH38" s="20">
        <v>0</v>
      </c>
      <c r="AI38" s="19">
        <v>0</v>
      </c>
      <c r="AJ38" s="20">
        <v>0</v>
      </c>
      <c r="AK38" s="19">
        <v>0</v>
      </c>
      <c r="AL38" s="20">
        <v>23170</v>
      </c>
      <c r="AM38" s="19">
        <v>0</v>
      </c>
      <c r="AN38" s="20">
        <v>0</v>
      </c>
      <c r="AO38" s="19">
        <v>0</v>
      </c>
      <c r="AP38" s="20">
        <v>0</v>
      </c>
      <c r="AQ38" s="19">
        <v>0</v>
      </c>
      <c r="AR38" s="28">
        <v>0</v>
      </c>
    </row>
    <row r="39" spans="1:44" ht="12.75" customHeight="1" x14ac:dyDescent="0.25">
      <c r="A39" s="27" t="s">
        <v>1238</v>
      </c>
      <c r="B39" s="14" t="s">
        <v>2393</v>
      </c>
      <c r="C39" s="26" t="s">
        <v>979</v>
      </c>
      <c r="D39" s="14" t="s">
        <v>1122</v>
      </c>
      <c r="E39" s="1" t="s">
        <v>1545</v>
      </c>
      <c r="F39" s="14"/>
      <c r="G39" s="296"/>
      <c r="H39" s="296">
        <v>134476.32</v>
      </c>
      <c r="I39" s="296"/>
      <c r="J39" s="296"/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18.670000000000002</v>
      </c>
      <c r="Q39" s="19">
        <v>0</v>
      </c>
      <c r="R39" s="19">
        <v>6</v>
      </c>
      <c r="S39" s="19">
        <v>0</v>
      </c>
      <c r="T39" s="19">
        <v>1</v>
      </c>
      <c r="U39" s="19">
        <v>0</v>
      </c>
      <c r="V39" s="19">
        <v>650.70000000000005</v>
      </c>
      <c r="W39" s="19">
        <v>0</v>
      </c>
      <c r="X39" s="19">
        <v>43.51</v>
      </c>
      <c r="Y39" s="19">
        <v>0</v>
      </c>
      <c r="Z39" s="19">
        <v>84.91</v>
      </c>
      <c r="AA39" s="19">
        <v>0</v>
      </c>
      <c r="AB39" s="19">
        <v>41394</v>
      </c>
      <c r="AC39" s="19">
        <v>0</v>
      </c>
      <c r="AD39" s="20">
        <v>101985</v>
      </c>
      <c r="AE39" s="19">
        <v>0</v>
      </c>
      <c r="AF39" s="20">
        <v>13.5</v>
      </c>
      <c r="AG39" s="19">
        <v>0</v>
      </c>
      <c r="AH39" s="20">
        <v>0.7</v>
      </c>
      <c r="AI39" s="19">
        <v>0</v>
      </c>
      <c r="AJ39" s="20">
        <v>0.08</v>
      </c>
      <c r="AK39" s="19">
        <v>0</v>
      </c>
      <c r="AL39" s="20">
        <v>247</v>
      </c>
      <c r="AM39" s="19">
        <v>0</v>
      </c>
      <c r="AN39" s="20">
        <v>0</v>
      </c>
      <c r="AO39" s="19">
        <v>0</v>
      </c>
      <c r="AP39" s="20">
        <v>0</v>
      </c>
      <c r="AQ39" s="19">
        <v>0</v>
      </c>
      <c r="AR39" s="28">
        <v>0</v>
      </c>
    </row>
    <row r="40" spans="1:44" ht="12.75" customHeight="1" x14ac:dyDescent="0.25">
      <c r="A40" s="27" t="s">
        <v>1239</v>
      </c>
      <c r="B40" s="14" t="s">
        <v>2393</v>
      </c>
      <c r="C40" s="26" t="s">
        <v>979</v>
      </c>
      <c r="D40" s="14" t="s">
        <v>1473</v>
      </c>
      <c r="E40" s="1" t="s">
        <v>1545</v>
      </c>
      <c r="F40" s="14"/>
      <c r="G40" s="296"/>
      <c r="H40" s="323">
        <v>186057.63</v>
      </c>
      <c r="I40" s="296"/>
      <c r="J40" s="296"/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8.6869999999999994</v>
      </c>
      <c r="Q40" s="19">
        <v>0</v>
      </c>
      <c r="R40" s="19">
        <v>8</v>
      </c>
      <c r="S40" s="19">
        <v>0</v>
      </c>
      <c r="T40" s="19">
        <v>1</v>
      </c>
      <c r="U40" s="19">
        <v>0</v>
      </c>
      <c r="V40" s="19">
        <v>589.4</v>
      </c>
      <c r="W40" s="19">
        <v>0</v>
      </c>
      <c r="X40" s="19">
        <v>35.29</v>
      </c>
      <c r="Y40" s="19">
        <v>0</v>
      </c>
      <c r="Z40" s="19">
        <v>106.64</v>
      </c>
      <c r="AA40" s="19">
        <v>0</v>
      </c>
      <c r="AB40" s="19">
        <v>66678.820000000007</v>
      </c>
      <c r="AC40" s="19">
        <v>0</v>
      </c>
      <c r="AD40" s="20">
        <v>113</v>
      </c>
      <c r="AE40" s="19">
        <v>0</v>
      </c>
      <c r="AF40" s="20">
        <v>6</v>
      </c>
      <c r="AG40" s="19">
        <v>0</v>
      </c>
      <c r="AH40" s="20">
        <v>1</v>
      </c>
      <c r="AI40" s="19">
        <v>0</v>
      </c>
      <c r="AJ40" s="20">
        <v>0</v>
      </c>
      <c r="AK40" s="19">
        <v>0</v>
      </c>
      <c r="AL40" s="20">
        <v>113.13</v>
      </c>
      <c r="AM40" s="19">
        <v>0</v>
      </c>
      <c r="AN40" s="20">
        <v>0</v>
      </c>
      <c r="AO40" s="19">
        <v>0</v>
      </c>
      <c r="AP40" s="20">
        <v>0</v>
      </c>
      <c r="AQ40" s="19">
        <v>0</v>
      </c>
      <c r="AR40" s="28">
        <v>0</v>
      </c>
    </row>
    <row r="41" spans="1:44" ht="12.75" customHeight="1" x14ac:dyDescent="0.25">
      <c r="A41" s="27" t="s">
        <v>1240</v>
      </c>
      <c r="B41" s="14" t="s">
        <v>2393</v>
      </c>
      <c r="C41" s="26" t="s">
        <v>979</v>
      </c>
      <c r="D41" s="14" t="s">
        <v>1087</v>
      </c>
      <c r="E41" s="1" t="s">
        <v>1545</v>
      </c>
      <c r="F41" s="14"/>
      <c r="G41" s="296"/>
      <c r="H41" s="296">
        <v>200408.43</v>
      </c>
      <c r="I41" s="296"/>
      <c r="J41" s="296"/>
      <c r="K41" s="19">
        <v>0</v>
      </c>
      <c r="L41" s="19">
        <v>8.1080000000000005</v>
      </c>
      <c r="M41" s="19">
        <v>0</v>
      </c>
      <c r="N41" s="19">
        <v>0</v>
      </c>
      <c r="O41" s="19">
        <v>0</v>
      </c>
      <c r="P41" s="19">
        <v>39.392000000000003</v>
      </c>
      <c r="Q41" s="19">
        <v>0</v>
      </c>
      <c r="R41" s="19">
        <v>6</v>
      </c>
      <c r="S41" s="19">
        <v>0</v>
      </c>
      <c r="T41" s="19">
        <v>1</v>
      </c>
      <c r="U41" s="19">
        <v>0</v>
      </c>
      <c r="V41" s="19">
        <v>762.4</v>
      </c>
      <c r="W41" s="19">
        <v>0</v>
      </c>
      <c r="X41" s="19">
        <v>52.03</v>
      </c>
      <c r="Y41" s="19">
        <v>0</v>
      </c>
      <c r="Z41" s="19">
        <v>125.08</v>
      </c>
      <c r="AA41" s="19">
        <v>0</v>
      </c>
      <c r="AB41" s="19">
        <v>80442</v>
      </c>
      <c r="AC41" s="19">
        <v>0</v>
      </c>
      <c r="AD41" s="20">
        <v>156891.6</v>
      </c>
      <c r="AE41" s="19">
        <v>0</v>
      </c>
      <c r="AF41" s="20">
        <v>44.329000000000001</v>
      </c>
      <c r="AG41" s="19">
        <v>0</v>
      </c>
      <c r="AH41" s="20">
        <v>3.476</v>
      </c>
      <c r="AI41" s="19">
        <v>0</v>
      </c>
      <c r="AJ41" s="20">
        <v>8.5839999999999996</v>
      </c>
      <c r="AK41" s="19">
        <v>0</v>
      </c>
      <c r="AL41" s="20">
        <v>263</v>
      </c>
      <c r="AM41" s="19">
        <v>0</v>
      </c>
      <c r="AN41" s="20">
        <v>7.0000000000000001E-3</v>
      </c>
      <c r="AO41" s="19">
        <v>0</v>
      </c>
      <c r="AP41" s="20">
        <v>7.0000000000000001E-3</v>
      </c>
      <c r="AQ41" s="19">
        <v>0</v>
      </c>
      <c r="AR41" s="28">
        <v>0</v>
      </c>
    </row>
    <row r="42" spans="1:44" ht="12.75" customHeight="1" x14ac:dyDescent="0.25">
      <c r="A42" s="27" t="s">
        <v>1241</v>
      </c>
      <c r="B42" s="14" t="s">
        <v>2393</v>
      </c>
      <c r="C42" s="26" t="s">
        <v>979</v>
      </c>
      <c r="D42" s="14" t="s">
        <v>1116</v>
      </c>
      <c r="E42" s="1" t="s">
        <v>1545</v>
      </c>
      <c r="F42" s="14"/>
      <c r="G42" s="296"/>
      <c r="H42" s="296">
        <v>131637.26</v>
      </c>
      <c r="I42" s="296"/>
      <c r="J42" s="296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12.22</v>
      </c>
      <c r="Q42" s="19">
        <v>0</v>
      </c>
      <c r="R42" s="19">
        <v>6</v>
      </c>
      <c r="S42" s="19">
        <v>0</v>
      </c>
      <c r="T42" s="19">
        <v>1</v>
      </c>
      <c r="U42" s="19">
        <v>0</v>
      </c>
      <c r="V42" s="19">
        <v>735</v>
      </c>
      <c r="W42" s="19">
        <v>0</v>
      </c>
      <c r="X42" s="19">
        <v>44.96</v>
      </c>
      <c r="Y42" s="19">
        <v>0</v>
      </c>
      <c r="Z42" s="19">
        <v>148.21</v>
      </c>
      <c r="AA42" s="19">
        <v>0</v>
      </c>
      <c r="AB42" s="19">
        <v>103251</v>
      </c>
      <c r="AC42" s="19">
        <v>0</v>
      </c>
      <c r="AD42" s="20">
        <v>65532</v>
      </c>
      <c r="AE42" s="19">
        <v>0</v>
      </c>
      <c r="AF42" s="20">
        <v>9</v>
      </c>
      <c r="AG42" s="19">
        <v>0</v>
      </c>
      <c r="AH42" s="20">
        <v>0.49</v>
      </c>
      <c r="AI42" s="19">
        <v>0</v>
      </c>
      <c r="AJ42" s="20">
        <v>0.06</v>
      </c>
      <c r="AK42" s="19">
        <v>0</v>
      </c>
      <c r="AL42" s="20">
        <v>150</v>
      </c>
      <c r="AM42" s="19">
        <v>0</v>
      </c>
      <c r="AN42" s="20">
        <v>0</v>
      </c>
      <c r="AO42" s="19">
        <v>0</v>
      </c>
      <c r="AP42" s="20">
        <v>0</v>
      </c>
      <c r="AQ42" s="19">
        <v>0</v>
      </c>
      <c r="AR42" s="28">
        <v>0</v>
      </c>
    </row>
    <row r="43" spans="1:44" ht="12.75" customHeight="1" x14ac:dyDescent="0.25">
      <c r="A43" s="27" t="s">
        <v>1242</v>
      </c>
      <c r="B43" s="14" t="s">
        <v>2393</v>
      </c>
      <c r="C43" s="26" t="s">
        <v>979</v>
      </c>
      <c r="D43" s="14" t="s">
        <v>1105</v>
      </c>
      <c r="E43" s="1" t="s">
        <v>1545</v>
      </c>
      <c r="F43" s="14"/>
      <c r="G43" s="296"/>
      <c r="H43" s="296">
        <v>218212.45</v>
      </c>
      <c r="I43" s="296"/>
      <c r="J43" s="296"/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19.920000000000002</v>
      </c>
      <c r="Q43" s="19">
        <v>0</v>
      </c>
      <c r="R43" s="19">
        <v>4</v>
      </c>
      <c r="S43" s="19">
        <v>0</v>
      </c>
      <c r="T43" s="19">
        <v>1</v>
      </c>
      <c r="U43" s="19">
        <v>0</v>
      </c>
      <c r="V43" s="19">
        <v>1321.25</v>
      </c>
      <c r="W43" s="19">
        <v>0</v>
      </c>
      <c r="X43" s="19">
        <v>80.599999999999994</v>
      </c>
      <c r="Y43" s="19">
        <v>0</v>
      </c>
      <c r="Z43" s="19">
        <v>173.05</v>
      </c>
      <c r="AA43" s="19">
        <v>0</v>
      </c>
      <c r="AB43" s="19">
        <v>141373.75</v>
      </c>
      <c r="AC43" s="19">
        <v>0</v>
      </c>
      <c r="AD43" s="20">
        <v>107</v>
      </c>
      <c r="AE43" s="19">
        <v>0</v>
      </c>
      <c r="AF43" s="20">
        <v>15.3</v>
      </c>
      <c r="AG43" s="19">
        <v>0</v>
      </c>
      <c r="AH43" s="20">
        <v>0.81</v>
      </c>
      <c r="AI43" s="19">
        <v>0</v>
      </c>
      <c r="AJ43" s="20">
        <v>0.1</v>
      </c>
      <c r="AK43" s="19">
        <v>0</v>
      </c>
      <c r="AL43" s="20">
        <v>107</v>
      </c>
      <c r="AM43" s="19">
        <v>0</v>
      </c>
      <c r="AN43" s="20">
        <v>0</v>
      </c>
      <c r="AO43" s="19">
        <v>0</v>
      </c>
      <c r="AP43" s="20">
        <v>0</v>
      </c>
      <c r="AQ43" s="19">
        <v>0</v>
      </c>
      <c r="AR43" s="28">
        <v>0</v>
      </c>
    </row>
    <row r="44" spans="1:44" ht="12.75" customHeight="1" x14ac:dyDescent="0.25">
      <c r="A44" s="27" t="s">
        <v>1243</v>
      </c>
      <c r="B44" s="14" t="s">
        <v>2393</v>
      </c>
      <c r="C44" s="26" t="s">
        <v>1033</v>
      </c>
      <c r="D44" s="14" t="s">
        <v>1150</v>
      </c>
      <c r="E44" s="1" t="s">
        <v>1545</v>
      </c>
      <c r="F44" s="14"/>
      <c r="G44" s="296"/>
      <c r="H44" s="296">
        <v>340903.21</v>
      </c>
      <c r="I44" s="296"/>
      <c r="J44" s="296"/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7.4112</v>
      </c>
      <c r="Q44" s="19">
        <v>0</v>
      </c>
      <c r="R44" s="19">
        <v>4</v>
      </c>
      <c r="S44" s="19">
        <v>0</v>
      </c>
      <c r="T44" s="19">
        <v>1</v>
      </c>
      <c r="U44" s="19">
        <v>0</v>
      </c>
      <c r="V44" s="19">
        <v>2211.23</v>
      </c>
      <c r="W44" s="19">
        <v>0</v>
      </c>
      <c r="X44" s="19">
        <v>71.688000000000002</v>
      </c>
      <c r="Y44" s="19">
        <v>0</v>
      </c>
      <c r="Z44" s="19">
        <v>247.71600000000001</v>
      </c>
      <c r="AA44" s="19">
        <v>0</v>
      </c>
      <c r="AB44" s="19">
        <v>176028</v>
      </c>
      <c r="AC44" s="19">
        <v>0</v>
      </c>
      <c r="AD44" s="20">
        <v>188020.88699999999</v>
      </c>
      <c r="AE44" s="19">
        <v>0</v>
      </c>
      <c r="AF44" s="20">
        <v>20888.599999999999</v>
      </c>
      <c r="AG44" s="19">
        <v>0</v>
      </c>
      <c r="AH44" s="20">
        <v>0</v>
      </c>
      <c r="AI44" s="19">
        <v>0</v>
      </c>
      <c r="AJ44" s="20">
        <v>18921.5</v>
      </c>
      <c r="AK44" s="19">
        <v>0</v>
      </c>
      <c r="AL44" s="20">
        <v>103927.81</v>
      </c>
      <c r="AM44" s="19">
        <v>0</v>
      </c>
      <c r="AN44" s="20">
        <v>0</v>
      </c>
      <c r="AO44" s="19">
        <v>0</v>
      </c>
      <c r="AP44" s="20">
        <v>0</v>
      </c>
      <c r="AQ44" s="19">
        <v>0</v>
      </c>
      <c r="AR44" s="28">
        <v>0</v>
      </c>
    </row>
    <row r="45" spans="1:44" ht="12.75" customHeight="1" x14ac:dyDescent="0.25">
      <c r="A45" s="27" t="s">
        <v>1244</v>
      </c>
      <c r="B45" s="14" t="s">
        <v>2393</v>
      </c>
      <c r="C45" s="26" t="s">
        <v>909</v>
      </c>
      <c r="D45" s="14" t="s">
        <v>1474</v>
      </c>
      <c r="E45" s="1" t="s">
        <v>1545</v>
      </c>
      <c r="F45" s="14"/>
      <c r="G45" s="296"/>
      <c r="H45" s="296">
        <v>505655.39</v>
      </c>
      <c r="I45" s="296"/>
      <c r="J45" s="296"/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24.174499999999998</v>
      </c>
      <c r="Q45" s="19">
        <v>0</v>
      </c>
      <c r="R45" s="19">
        <v>7</v>
      </c>
      <c r="S45" s="19">
        <v>0</v>
      </c>
      <c r="T45" s="19">
        <v>1</v>
      </c>
      <c r="U45" s="19">
        <v>0</v>
      </c>
      <c r="V45" s="19">
        <v>670.98</v>
      </c>
      <c r="W45" s="19">
        <v>0</v>
      </c>
      <c r="X45" s="19">
        <v>28.45</v>
      </c>
      <c r="Y45" s="19">
        <v>0</v>
      </c>
      <c r="Z45" s="19">
        <v>180.99</v>
      </c>
      <c r="AA45" s="19">
        <v>0</v>
      </c>
      <c r="AB45" s="19">
        <v>152547.5</v>
      </c>
      <c r="AC45" s="19">
        <v>0</v>
      </c>
      <c r="AD45" s="20">
        <v>87227.35</v>
      </c>
      <c r="AE45" s="19">
        <v>0</v>
      </c>
      <c r="AF45" s="20">
        <v>17.3</v>
      </c>
      <c r="AG45" s="19">
        <v>0</v>
      </c>
      <c r="AH45" s="20">
        <v>3</v>
      </c>
      <c r="AI45" s="19">
        <v>0</v>
      </c>
      <c r="AJ45" s="20">
        <v>5.2</v>
      </c>
      <c r="AK45" s="19">
        <v>0</v>
      </c>
      <c r="AL45" s="20">
        <v>135466.47</v>
      </c>
      <c r="AM45" s="19">
        <v>0</v>
      </c>
      <c r="AN45" s="20">
        <v>0</v>
      </c>
      <c r="AO45" s="19">
        <v>0</v>
      </c>
      <c r="AP45" s="20">
        <v>0</v>
      </c>
      <c r="AQ45" s="19">
        <v>0</v>
      </c>
      <c r="AR45" s="28">
        <v>0</v>
      </c>
    </row>
    <row r="46" spans="1:44" ht="12.75" customHeight="1" x14ac:dyDescent="0.25">
      <c r="A46" s="27" t="s">
        <v>1245</v>
      </c>
      <c r="B46" s="14" t="s">
        <v>2393</v>
      </c>
      <c r="C46" s="26" t="s">
        <v>1020</v>
      </c>
      <c r="D46" s="14" t="s">
        <v>1127</v>
      </c>
      <c r="E46" s="1" t="s">
        <v>1545</v>
      </c>
      <c r="F46" s="14"/>
      <c r="G46" s="296"/>
      <c r="H46" s="296">
        <v>282334.23</v>
      </c>
      <c r="I46" s="296"/>
      <c r="J46" s="296"/>
      <c r="K46" s="19">
        <v>0</v>
      </c>
      <c r="L46" s="19">
        <v>0</v>
      </c>
      <c r="M46" s="19">
        <v>0</v>
      </c>
      <c r="N46" s="19">
        <v>1.9379</v>
      </c>
      <c r="O46" s="19">
        <v>0</v>
      </c>
      <c r="P46" s="19">
        <v>23.3</v>
      </c>
      <c r="Q46" s="19">
        <v>0</v>
      </c>
      <c r="R46" s="19">
        <v>5</v>
      </c>
      <c r="S46" s="19">
        <v>0</v>
      </c>
      <c r="T46" s="19">
        <v>1</v>
      </c>
      <c r="U46" s="19">
        <v>0</v>
      </c>
      <c r="V46" s="19">
        <v>760.56</v>
      </c>
      <c r="W46" s="19">
        <v>0</v>
      </c>
      <c r="X46" s="19">
        <v>33.17</v>
      </c>
      <c r="Y46" s="19">
        <v>0</v>
      </c>
      <c r="Z46" s="19">
        <v>167.32</v>
      </c>
      <c r="AA46" s="19">
        <v>0</v>
      </c>
      <c r="AB46" s="19">
        <v>134150</v>
      </c>
      <c r="AC46" s="19">
        <v>0</v>
      </c>
      <c r="AD46" s="20">
        <v>102372</v>
      </c>
      <c r="AE46" s="19">
        <v>0</v>
      </c>
      <c r="AF46" s="20">
        <v>93900</v>
      </c>
      <c r="AG46" s="19">
        <v>0</v>
      </c>
      <c r="AH46" s="20">
        <v>0</v>
      </c>
      <c r="AI46" s="19">
        <v>0</v>
      </c>
      <c r="AJ46" s="20">
        <v>0</v>
      </c>
      <c r="AK46" s="19">
        <v>0</v>
      </c>
      <c r="AL46" s="20">
        <v>147373.72</v>
      </c>
      <c r="AM46" s="19">
        <v>0</v>
      </c>
      <c r="AN46" s="20">
        <v>0</v>
      </c>
      <c r="AO46" s="19">
        <v>0</v>
      </c>
      <c r="AP46" s="20">
        <v>1.9E-3</v>
      </c>
      <c r="AQ46" s="19">
        <v>0</v>
      </c>
      <c r="AR46" s="28">
        <v>1.9E-3</v>
      </c>
    </row>
    <row r="47" spans="1:44" ht="12.75" customHeight="1" x14ac:dyDescent="0.25">
      <c r="A47" s="27" t="s">
        <v>1246</v>
      </c>
      <c r="B47" s="14" t="s">
        <v>2393</v>
      </c>
      <c r="C47" s="26" t="s">
        <v>1007</v>
      </c>
      <c r="D47" s="14" t="s">
        <v>1109</v>
      </c>
      <c r="E47" s="1" t="s">
        <v>1545</v>
      </c>
      <c r="F47" s="14"/>
      <c r="G47" s="296"/>
      <c r="H47" s="296">
        <v>1195165.81</v>
      </c>
      <c r="I47" s="296"/>
      <c r="J47" s="296"/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276.41399999999999</v>
      </c>
      <c r="Q47" s="19">
        <v>0</v>
      </c>
      <c r="R47" s="19">
        <v>5</v>
      </c>
      <c r="S47" s="19">
        <v>0</v>
      </c>
      <c r="T47" s="19">
        <v>1</v>
      </c>
      <c r="U47" s="19">
        <v>0</v>
      </c>
      <c r="V47" s="19">
        <v>14247.64</v>
      </c>
      <c r="W47" s="19">
        <v>0</v>
      </c>
      <c r="X47" s="19">
        <v>1749.56</v>
      </c>
      <c r="Y47" s="19">
        <v>0</v>
      </c>
      <c r="Z47" s="19">
        <v>2754.26</v>
      </c>
      <c r="AA47" s="19">
        <v>0</v>
      </c>
      <c r="AB47" s="19">
        <v>1004701.09</v>
      </c>
      <c r="AC47" s="19">
        <v>0</v>
      </c>
      <c r="AD47" s="20">
        <v>731251.73</v>
      </c>
      <c r="AE47" s="19">
        <v>0</v>
      </c>
      <c r="AF47" s="20">
        <v>209.291</v>
      </c>
      <c r="AG47" s="19">
        <v>0</v>
      </c>
      <c r="AH47" s="20">
        <v>20.39</v>
      </c>
      <c r="AI47" s="19">
        <v>0</v>
      </c>
      <c r="AJ47" s="20">
        <v>68.058000000000007</v>
      </c>
      <c r="AK47" s="19">
        <v>0</v>
      </c>
      <c r="AL47" s="20">
        <v>1203173.3700000001</v>
      </c>
      <c r="AM47" s="19">
        <v>0</v>
      </c>
      <c r="AN47" s="20">
        <v>0</v>
      </c>
      <c r="AO47" s="19">
        <v>0</v>
      </c>
      <c r="AP47" s="20">
        <v>0</v>
      </c>
      <c r="AQ47" s="19">
        <v>0</v>
      </c>
      <c r="AR47" s="28">
        <v>0</v>
      </c>
    </row>
    <row r="48" spans="1:44" ht="12.75" customHeight="1" x14ac:dyDescent="0.25">
      <c r="A48" s="27" t="s">
        <v>1247</v>
      </c>
      <c r="B48" s="14" t="s">
        <v>2393</v>
      </c>
      <c r="C48" s="26" t="s">
        <v>1422</v>
      </c>
      <c r="D48" s="14" t="s">
        <v>1475</v>
      </c>
      <c r="E48" s="1" t="s">
        <v>1545</v>
      </c>
      <c r="F48" s="663">
        <v>42826</v>
      </c>
      <c r="G48" s="296"/>
      <c r="H48" s="323">
        <v>525867.6</v>
      </c>
      <c r="I48" s="296"/>
      <c r="J48" s="296"/>
      <c r="K48" s="19">
        <v>0</v>
      </c>
      <c r="L48" s="19">
        <v>0</v>
      </c>
      <c r="M48" s="19">
        <v>0</v>
      </c>
      <c r="N48" s="19">
        <v>6.79</v>
      </c>
      <c r="O48" s="19">
        <v>0</v>
      </c>
      <c r="P48" s="19">
        <v>51.243000000000002</v>
      </c>
      <c r="Q48" s="19">
        <v>0</v>
      </c>
      <c r="R48" s="19">
        <v>7</v>
      </c>
      <c r="S48" s="19">
        <v>0</v>
      </c>
      <c r="T48" s="19">
        <v>1</v>
      </c>
      <c r="U48" s="19">
        <v>0</v>
      </c>
      <c r="V48" s="19">
        <v>1168.21</v>
      </c>
      <c r="W48" s="19">
        <v>0</v>
      </c>
      <c r="X48" s="19">
        <v>72.790000000000006</v>
      </c>
      <c r="Y48" s="19">
        <v>0</v>
      </c>
      <c r="Z48" s="19">
        <v>343.14</v>
      </c>
      <c r="AA48" s="19">
        <v>0</v>
      </c>
      <c r="AB48" s="19">
        <v>270350</v>
      </c>
      <c r="AC48" s="19">
        <v>0</v>
      </c>
      <c r="AD48" s="20">
        <v>270350</v>
      </c>
      <c r="AE48" s="19">
        <v>0</v>
      </c>
      <c r="AF48" s="20">
        <v>42.042000000000002</v>
      </c>
      <c r="AG48" s="19">
        <v>0</v>
      </c>
      <c r="AH48" s="20">
        <v>2.1560000000000001</v>
      </c>
      <c r="AI48" s="19">
        <v>0</v>
      </c>
      <c r="AJ48" s="20">
        <v>0.25800000000000001</v>
      </c>
      <c r="AK48" s="19">
        <v>0</v>
      </c>
      <c r="AL48" s="20">
        <v>387400</v>
      </c>
      <c r="AM48" s="19">
        <v>0</v>
      </c>
      <c r="AN48" s="20">
        <v>0</v>
      </c>
      <c r="AO48" s="19">
        <v>0</v>
      </c>
      <c r="AP48" s="20">
        <v>0</v>
      </c>
      <c r="AQ48" s="19">
        <v>0</v>
      </c>
      <c r="AR48" s="28">
        <v>0</v>
      </c>
    </row>
    <row r="49" spans="1:44" ht="12.75" customHeight="1" x14ac:dyDescent="0.25">
      <c r="A49" s="27" t="s">
        <v>1248</v>
      </c>
      <c r="B49" s="14" t="s">
        <v>2393</v>
      </c>
      <c r="C49" s="26" t="s">
        <v>1423</v>
      </c>
      <c r="D49" s="14" t="s">
        <v>1476</v>
      </c>
      <c r="E49" s="1" t="s">
        <v>1545</v>
      </c>
      <c r="F49" s="14"/>
      <c r="G49" s="296"/>
      <c r="H49" s="296">
        <v>167690.49</v>
      </c>
      <c r="I49" s="296"/>
      <c r="J49" s="296"/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11.24</v>
      </c>
      <c r="Q49" s="19">
        <v>0</v>
      </c>
      <c r="R49" s="19">
        <v>4</v>
      </c>
      <c r="S49" s="19">
        <v>0</v>
      </c>
      <c r="T49" s="19">
        <v>1</v>
      </c>
      <c r="U49" s="19">
        <v>0</v>
      </c>
      <c r="V49" s="19">
        <v>895.12</v>
      </c>
      <c r="W49" s="19">
        <v>0</v>
      </c>
      <c r="X49" s="19">
        <v>25.69</v>
      </c>
      <c r="Y49" s="19">
        <v>0</v>
      </c>
      <c r="Z49" s="19">
        <v>70.709999999999994</v>
      </c>
      <c r="AA49" s="19">
        <v>0</v>
      </c>
      <c r="AB49" s="19">
        <v>45021</v>
      </c>
      <c r="AC49" s="19">
        <v>0</v>
      </c>
      <c r="AD49" s="20">
        <v>97491</v>
      </c>
      <c r="AE49" s="19">
        <v>0</v>
      </c>
      <c r="AF49" s="20">
        <v>26.548999999999999</v>
      </c>
      <c r="AG49" s="19">
        <v>0</v>
      </c>
      <c r="AH49" s="20">
        <v>4.3719999999999999</v>
      </c>
      <c r="AI49" s="19">
        <v>0</v>
      </c>
      <c r="AJ49" s="20">
        <v>20.981000000000002</v>
      </c>
      <c r="AK49" s="19">
        <v>0</v>
      </c>
      <c r="AL49" s="20">
        <v>210813</v>
      </c>
      <c r="AM49" s="19">
        <v>0</v>
      </c>
      <c r="AN49" s="20">
        <v>0</v>
      </c>
      <c r="AO49" s="19">
        <v>0</v>
      </c>
      <c r="AP49" s="20">
        <v>0</v>
      </c>
      <c r="AQ49" s="19">
        <v>0</v>
      </c>
      <c r="AR49" s="28">
        <v>0</v>
      </c>
    </row>
    <row r="50" spans="1:44" ht="12.75" customHeight="1" x14ac:dyDescent="0.25">
      <c r="A50" s="27" t="s">
        <v>1249</v>
      </c>
      <c r="B50" s="14" t="s">
        <v>2393</v>
      </c>
      <c r="C50" s="26" t="s">
        <v>982</v>
      </c>
      <c r="D50" s="14" t="s">
        <v>1074</v>
      </c>
      <c r="E50" s="1" t="s">
        <v>1545</v>
      </c>
      <c r="F50" s="14"/>
      <c r="G50" s="296"/>
      <c r="H50" s="296">
        <v>753853.85</v>
      </c>
      <c r="I50" s="296"/>
      <c r="J50" s="296"/>
      <c r="K50" s="19">
        <v>0</v>
      </c>
      <c r="L50" s="19">
        <v>11.15</v>
      </c>
      <c r="M50" s="19">
        <v>0</v>
      </c>
      <c r="N50" s="19">
        <v>0</v>
      </c>
      <c r="O50" s="19">
        <v>0</v>
      </c>
      <c r="P50" s="19">
        <v>48.793999999999997</v>
      </c>
      <c r="Q50" s="19">
        <v>0</v>
      </c>
      <c r="R50" s="19">
        <v>5</v>
      </c>
      <c r="S50" s="19">
        <v>0</v>
      </c>
      <c r="T50" s="19">
        <v>1</v>
      </c>
      <c r="U50" s="19">
        <v>0</v>
      </c>
      <c r="V50" s="19">
        <v>2444</v>
      </c>
      <c r="W50" s="19">
        <v>0</v>
      </c>
      <c r="X50" s="19">
        <v>103.08</v>
      </c>
      <c r="Y50" s="19">
        <v>0</v>
      </c>
      <c r="Z50" s="19">
        <v>278.40100000000001</v>
      </c>
      <c r="AA50" s="19">
        <v>0</v>
      </c>
      <c r="AB50" s="19">
        <v>175321</v>
      </c>
      <c r="AC50" s="19">
        <v>0</v>
      </c>
      <c r="AD50" s="20">
        <v>283504</v>
      </c>
      <c r="AE50" s="19">
        <v>0</v>
      </c>
      <c r="AF50" s="20">
        <v>51.9</v>
      </c>
      <c r="AG50" s="19">
        <v>0</v>
      </c>
      <c r="AH50" s="20">
        <v>4.5</v>
      </c>
      <c r="AI50" s="19">
        <v>0</v>
      </c>
      <c r="AJ50" s="20">
        <v>19.399999999999999</v>
      </c>
      <c r="AK50" s="19">
        <v>0</v>
      </c>
      <c r="AL50" s="20">
        <v>435032</v>
      </c>
      <c r="AM50" s="19">
        <v>0</v>
      </c>
      <c r="AN50" s="20">
        <v>9.9000000000000008E-3</v>
      </c>
      <c r="AO50" s="19">
        <v>0</v>
      </c>
      <c r="AP50" s="20">
        <v>0</v>
      </c>
      <c r="AQ50" s="19">
        <v>0</v>
      </c>
      <c r="AR50" s="28">
        <v>0</v>
      </c>
    </row>
    <row r="51" spans="1:44" ht="12.75" customHeight="1" x14ac:dyDescent="0.25">
      <c r="A51" s="27" t="s">
        <v>1250</v>
      </c>
      <c r="B51" s="14" t="s">
        <v>2393</v>
      </c>
      <c r="C51" s="26" t="s">
        <v>1424</v>
      </c>
      <c r="D51" s="14" t="s">
        <v>1477</v>
      </c>
      <c r="E51" s="1" t="s">
        <v>1545</v>
      </c>
      <c r="F51" s="14"/>
      <c r="G51" s="296"/>
      <c r="H51" s="323">
        <v>320311.46000000002</v>
      </c>
      <c r="I51" s="296"/>
      <c r="J51" s="296"/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60.4</v>
      </c>
      <c r="Q51" s="19">
        <v>0</v>
      </c>
      <c r="R51" s="19">
        <v>5</v>
      </c>
      <c r="S51" s="19">
        <v>0</v>
      </c>
      <c r="T51" s="19">
        <v>1</v>
      </c>
      <c r="U51" s="19">
        <v>0</v>
      </c>
      <c r="V51" s="19">
        <v>0</v>
      </c>
      <c r="W51" s="19">
        <v>0</v>
      </c>
      <c r="X51" s="19">
        <v>61584.4041</v>
      </c>
      <c r="Y51" s="19">
        <v>0</v>
      </c>
      <c r="Z51" s="19">
        <v>228611.94899999999</v>
      </c>
      <c r="AA51" s="19">
        <v>0</v>
      </c>
      <c r="AB51" s="19">
        <v>167027.54490000001</v>
      </c>
      <c r="AC51" s="19">
        <v>0</v>
      </c>
      <c r="AD51" s="20">
        <v>167027.54490000001</v>
      </c>
      <c r="AE51" s="19">
        <v>0</v>
      </c>
      <c r="AF51" s="20">
        <v>170.6696</v>
      </c>
      <c r="AG51" s="19">
        <v>0</v>
      </c>
      <c r="AH51" s="20">
        <v>14.1656</v>
      </c>
      <c r="AI51" s="19">
        <v>0</v>
      </c>
      <c r="AJ51" s="20">
        <v>39.424700000000001</v>
      </c>
      <c r="AK51" s="19">
        <v>0</v>
      </c>
      <c r="AL51" s="20">
        <v>167027.54490000001</v>
      </c>
      <c r="AM51" s="19">
        <v>0</v>
      </c>
      <c r="AN51" s="20">
        <v>0</v>
      </c>
      <c r="AO51" s="19">
        <v>0</v>
      </c>
      <c r="AP51" s="20">
        <v>0</v>
      </c>
      <c r="AQ51" s="19">
        <v>0</v>
      </c>
      <c r="AR51" s="28">
        <v>0</v>
      </c>
    </row>
    <row r="52" spans="1:44" ht="12.75" customHeight="1" x14ac:dyDescent="0.25">
      <c r="A52" s="27" t="s">
        <v>1251</v>
      </c>
      <c r="B52" s="14" t="s">
        <v>2393</v>
      </c>
      <c r="C52" s="26" t="s">
        <v>877</v>
      </c>
      <c r="D52" s="14" t="s">
        <v>1139</v>
      </c>
      <c r="E52" s="1" t="s">
        <v>1545</v>
      </c>
      <c r="F52" s="14"/>
      <c r="G52" s="296"/>
      <c r="H52" s="296">
        <v>820943.99</v>
      </c>
      <c r="I52" s="296"/>
      <c r="J52" s="296"/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114.76</v>
      </c>
      <c r="Q52" s="19">
        <v>0</v>
      </c>
      <c r="R52" s="19">
        <v>3</v>
      </c>
      <c r="S52" s="19">
        <v>0</v>
      </c>
      <c r="T52" s="19">
        <v>1</v>
      </c>
      <c r="U52" s="19">
        <v>0</v>
      </c>
      <c r="V52" s="19">
        <v>1818</v>
      </c>
      <c r="W52" s="19">
        <v>0</v>
      </c>
      <c r="X52" s="19">
        <v>56.8</v>
      </c>
      <c r="Y52" s="19">
        <v>0</v>
      </c>
      <c r="Z52" s="19">
        <v>348.7</v>
      </c>
      <c r="AA52" s="19">
        <v>0</v>
      </c>
      <c r="AB52" s="19">
        <v>291900</v>
      </c>
      <c r="AC52" s="19">
        <v>0</v>
      </c>
      <c r="AD52" s="20">
        <v>291892.90000000002</v>
      </c>
      <c r="AE52" s="19">
        <v>0</v>
      </c>
      <c r="AF52" s="20">
        <v>326</v>
      </c>
      <c r="AG52" s="19">
        <v>0</v>
      </c>
      <c r="AH52" s="20">
        <v>25</v>
      </c>
      <c r="AI52" s="19">
        <v>0</v>
      </c>
      <c r="AJ52" s="20">
        <v>273</v>
      </c>
      <c r="AK52" s="19">
        <v>0</v>
      </c>
      <c r="AL52" s="20">
        <v>537413</v>
      </c>
      <c r="AM52" s="19">
        <v>0</v>
      </c>
      <c r="AN52" s="20">
        <v>0</v>
      </c>
      <c r="AO52" s="19">
        <v>0</v>
      </c>
      <c r="AP52" s="20">
        <v>0</v>
      </c>
      <c r="AQ52" s="19">
        <v>0</v>
      </c>
      <c r="AR52" s="28">
        <v>0</v>
      </c>
    </row>
    <row r="53" spans="1:44" ht="12.75" customHeight="1" x14ac:dyDescent="0.25">
      <c r="A53" s="27" t="s">
        <v>1252</v>
      </c>
      <c r="B53" s="14" t="s">
        <v>2393</v>
      </c>
      <c r="C53" s="26" t="s">
        <v>877</v>
      </c>
      <c r="D53" s="14" t="s">
        <v>1093</v>
      </c>
      <c r="E53" s="1" t="s">
        <v>1545</v>
      </c>
      <c r="F53" s="14"/>
      <c r="G53" s="296"/>
      <c r="H53" s="323"/>
      <c r="I53" s="296"/>
      <c r="J53" s="296"/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83.424000000000007</v>
      </c>
      <c r="Q53" s="19">
        <v>0</v>
      </c>
      <c r="R53" s="19">
        <v>3</v>
      </c>
      <c r="S53" s="19">
        <v>0</v>
      </c>
      <c r="T53" s="19">
        <v>1</v>
      </c>
      <c r="U53" s="19">
        <v>0</v>
      </c>
      <c r="V53" s="19">
        <v>1682.2750000000001</v>
      </c>
      <c r="W53" s="19">
        <v>0</v>
      </c>
      <c r="X53" s="19">
        <v>46.14</v>
      </c>
      <c r="Y53" s="19">
        <v>0</v>
      </c>
      <c r="Z53" s="19">
        <v>253.71</v>
      </c>
      <c r="AA53" s="19">
        <v>0</v>
      </c>
      <c r="AB53" s="19">
        <v>207560</v>
      </c>
      <c r="AC53" s="19">
        <v>0</v>
      </c>
      <c r="AD53" s="20">
        <v>207562.8</v>
      </c>
      <c r="AE53" s="19">
        <v>0</v>
      </c>
      <c r="AF53" s="20">
        <v>235</v>
      </c>
      <c r="AG53" s="19">
        <v>0</v>
      </c>
      <c r="AH53" s="20">
        <v>16</v>
      </c>
      <c r="AI53" s="19">
        <v>0</v>
      </c>
      <c r="AJ53" s="20">
        <v>195</v>
      </c>
      <c r="AK53" s="19">
        <v>0</v>
      </c>
      <c r="AL53" s="20">
        <v>364052</v>
      </c>
      <c r="AM53" s="19">
        <v>0</v>
      </c>
      <c r="AN53" s="20">
        <v>0</v>
      </c>
      <c r="AO53" s="19">
        <v>0</v>
      </c>
      <c r="AP53" s="20">
        <v>0</v>
      </c>
      <c r="AQ53" s="19">
        <v>0</v>
      </c>
      <c r="AR53" s="28">
        <v>0</v>
      </c>
    </row>
    <row r="54" spans="1:44" ht="12.75" customHeight="1" x14ac:dyDescent="0.25">
      <c r="A54" s="27" t="s">
        <v>1253</v>
      </c>
      <c r="B54" s="14" t="s">
        <v>2393</v>
      </c>
      <c r="C54" s="26" t="s">
        <v>877</v>
      </c>
      <c r="D54" s="14" t="s">
        <v>1478</v>
      </c>
      <c r="E54" s="1" t="s">
        <v>1545</v>
      </c>
      <c r="F54" s="14"/>
      <c r="G54" s="296"/>
      <c r="H54" s="323"/>
      <c r="I54" s="296"/>
      <c r="J54" s="296"/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27.76</v>
      </c>
      <c r="Q54" s="19">
        <v>0</v>
      </c>
      <c r="R54" s="19">
        <v>3</v>
      </c>
      <c r="S54" s="19">
        <v>0</v>
      </c>
      <c r="T54" s="19">
        <v>1</v>
      </c>
      <c r="U54" s="19">
        <v>0</v>
      </c>
      <c r="V54" s="19">
        <v>2091</v>
      </c>
      <c r="W54" s="19">
        <v>0</v>
      </c>
      <c r="X54" s="19">
        <v>54.3</v>
      </c>
      <c r="Y54" s="19">
        <v>0</v>
      </c>
      <c r="Z54" s="19">
        <v>126.3</v>
      </c>
      <c r="AA54" s="19">
        <v>0</v>
      </c>
      <c r="AB54" s="19">
        <v>72000</v>
      </c>
      <c r="AC54" s="19">
        <v>0</v>
      </c>
      <c r="AD54" s="20">
        <v>71995.399999999994</v>
      </c>
      <c r="AE54" s="19">
        <v>0</v>
      </c>
      <c r="AF54" s="20">
        <v>80</v>
      </c>
      <c r="AG54" s="19">
        <v>0</v>
      </c>
      <c r="AH54" s="20">
        <v>7</v>
      </c>
      <c r="AI54" s="19">
        <v>0</v>
      </c>
      <c r="AJ54" s="20">
        <v>67</v>
      </c>
      <c r="AK54" s="19">
        <v>0</v>
      </c>
      <c r="AL54" s="20">
        <v>136611</v>
      </c>
      <c r="AM54" s="19">
        <v>0</v>
      </c>
      <c r="AN54" s="20">
        <v>0</v>
      </c>
      <c r="AO54" s="19">
        <v>0</v>
      </c>
      <c r="AP54" s="20">
        <v>0</v>
      </c>
      <c r="AQ54" s="19">
        <v>0</v>
      </c>
      <c r="AR54" s="28">
        <v>0</v>
      </c>
    </row>
    <row r="55" spans="1:44" ht="12.75" customHeight="1" x14ac:dyDescent="0.25">
      <c r="A55" s="27" t="s">
        <v>1254</v>
      </c>
      <c r="B55" s="14" t="s">
        <v>2393</v>
      </c>
      <c r="C55" s="26" t="s">
        <v>1027</v>
      </c>
      <c r="D55" s="14" t="s">
        <v>1141</v>
      </c>
      <c r="E55" s="1" t="s">
        <v>1545</v>
      </c>
      <c r="F55" s="14"/>
      <c r="G55" s="296"/>
      <c r="H55" s="323"/>
      <c r="I55" s="296"/>
      <c r="J55" s="296"/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2</v>
      </c>
      <c r="S55" s="19">
        <v>0</v>
      </c>
      <c r="T55" s="19">
        <v>1</v>
      </c>
      <c r="U55" s="19">
        <v>0</v>
      </c>
      <c r="V55" s="19">
        <v>11646.3</v>
      </c>
      <c r="W55" s="19">
        <v>0</v>
      </c>
      <c r="X55" s="19">
        <v>459.21359999999999</v>
      </c>
      <c r="Y55" s="19">
        <v>0</v>
      </c>
      <c r="Z55" s="19">
        <v>1284.7032999999999</v>
      </c>
      <c r="AA55" s="19">
        <v>0</v>
      </c>
      <c r="AB55" s="19">
        <v>625489.74</v>
      </c>
      <c r="AC55" s="19">
        <v>0</v>
      </c>
      <c r="AD55" s="20">
        <v>693304.23899999994</v>
      </c>
      <c r="AE55" s="19">
        <v>0</v>
      </c>
      <c r="AF55" s="20">
        <v>1202</v>
      </c>
      <c r="AG55" s="19">
        <v>0</v>
      </c>
      <c r="AH55" s="20">
        <v>0</v>
      </c>
      <c r="AI55" s="19">
        <v>0</v>
      </c>
      <c r="AJ55" s="20">
        <v>2605</v>
      </c>
      <c r="AK55" s="19">
        <v>0</v>
      </c>
      <c r="AL55" s="20">
        <v>1321272.7350000001</v>
      </c>
      <c r="AM55" s="19">
        <v>0</v>
      </c>
      <c r="AN55" s="20">
        <v>0</v>
      </c>
      <c r="AO55" s="19">
        <v>0</v>
      </c>
      <c r="AP55" s="20">
        <v>0</v>
      </c>
      <c r="AQ55" s="19">
        <v>0</v>
      </c>
      <c r="AR55" s="28">
        <v>0</v>
      </c>
    </row>
    <row r="56" spans="1:44" ht="12.75" customHeight="1" x14ac:dyDescent="0.25">
      <c r="A56" s="27" t="s">
        <v>1255</v>
      </c>
      <c r="B56" s="14" t="s">
        <v>2393</v>
      </c>
      <c r="C56" s="26" t="s">
        <v>989</v>
      </c>
      <c r="D56" s="14" t="s">
        <v>1085</v>
      </c>
      <c r="E56" s="1" t="s">
        <v>1545</v>
      </c>
      <c r="F56" s="14"/>
      <c r="G56" s="296"/>
      <c r="H56" s="296">
        <v>210210.02</v>
      </c>
      <c r="I56" s="296"/>
      <c r="J56" s="296"/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16.7437</v>
      </c>
      <c r="Q56" s="19">
        <v>0</v>
      </c>
      <c r="R56" s="19">
        <v>2</v>
      </c>
      <c r="S56" s="19">
        <v>0</v>
      </c>
      <c r="T56" s="19">
        <v>1</v>
      </c>
      <c r="U56" s="19">
        <v>0</v>
      </c>
      <c r="V56" s="19">
        <v>858.3</v>
      </c>
      <c r="W56" s="19">
        <v>0</v>
      </c>
      <c r="X56" s="19">
        <v>59.222700000000003</v>
      </c>
      <c r="Y56" s="19">
        <v>0</v>
      </c>
      <c r="Z56" s="19">
        <v>135.4228</v>
      </c>
      <c r="AA56" s="19">
        <v>0</v>
      </c>
      <c r="AB56" s="19">
        <v>76200.100000000006</v>
      </c>
      <c r="AC56" s="19">
        <v>0</v>
      </c>
      <c r="AD56" s="20">
        <v>76200.100000000006</v>
      </c>
      <c r="AE56" s="19">
        <v>0</v>
      </c>
      <c r="AF56" s="20">
        <v>19.68</v>
      </c>
      <c r="AG56" s="19">
        <v>0</v>
      </c>
      <c r="AH56" s="20">
        <v>0.63</v>
      </c>
      <c r="AI56" s="19">
        <v>0</v>
      </c>
      <c r="AJ56" s="20">
        <v>7.0000000000000007E-2</v>
      </c>
      <c r="AK56" s="19">
        <v>0</v>
      </c>
      <c r="AL56" s="20">
        <v>102670.6</v>
      </c>
      <c r="AM56" s="19">
        <v>0</v>
      </c>
      <c r="AN56" s="20">
        <v>0</v>
      </c>
      <c r="AO56" s="19">
        <v>0</v>
      </c>
      <c r="AP56" s="20">
        <v>0</v>
      </c>
      <c r="AQ56" s="19">
        <v>0</v>
      </c>
      <c r="AR56" s="28">
        <v>0</v>
      </c>
    </row>
    <row r="57" spans="1:44" ht="12.75" customHeight="1" x14ac:dyDescent="0.25">
      <c r="A57" s="27" t="s">
        <v>1256</v>
      </c>
      <c r="B57" s="14" t="s">
        <v>2393</v>
      </c>
      <c r="C57" s="26" t="s">
        <v>1425</v>
      </c>
      <c r="D57" s="14" t="s">
        <v>1479</v>
      </c>
      <c r="E57" s="1" t="s">
        <v>1545</v>
      </c>
      <c r="F57" s="14"/>
      <c r="G57" s="296"/>
      <c r="H57" s="323"/>
      <c r="I57" s="296"/>
      <c r="J57" s="296"/>
      <c r="K57" s="19">
        <v>0</v>
      </c>
      <c r="L57" s="19">
        <v>0</v>
      </c>
      <c r="M57" s="19">
        <v>0</v>
      </c>
      <c r="N57" s="19">
        <v>3.5960000000000001</v>
      </c>
      <c r="O57" s="19">
        <v>0</v>
      </c>
      <c r="P57" s="19">
        <v>17.632000000000001</v>
      </c>
      <c r="Q57" s="19">
        <v>0</v>
      </c>
      <c r="R57" s="19">
        <v>3</v>
      </c>
      <c r="S57" s="19">
        <v>0</v>
      </c>
      <c r="T57" s="19">
        <v>2</v>
      </c>
      <c r="U57" s="19">
        <v>0</v>
      </c>
      <c r="V57" s="19">
        <v>1239.75</v>
      </c>
      <c r="W57" s="19">
        <v>0</v>
      </c>
      <c r="X57" s="19">
        <v>136.68100000000001</v>
      </c>
      <c r="Y57" s="19">
        <v>0</v>
      </c>
      <c r="Z57" s="19">
        <v>203.81100000000001</v>
      </c>
      <c r="AA57" s="19">
        <v>0</v>
      </c>
      <c r="AB57" s="19">
        <v>67130</v>
      </c>
      <c r="AC57" s="19">
        <v>0</v>
      </c>
      <c r="AD57" s="20">
        <v>67130</v>
      </c>
      <c r="AE57" s="19">
        <v>0</v>
      </c>
      <c r="AF57" s="20">
        <v>12.298999999999999</v>
      </c>
      <c r="AG57" s="19">
        <v>0</v>
      </c>
      <c r="AH57" s="20">
        <v>0.23400000000000001</v>
      </c>
      <c r="AI57" s="19">
        <v>0</v>
      </c>
      <c r="AJ57" s="20">
        <v>9.5519999999999996</v>
      </c>
      <c r="AK57" s="19">
        <v>0</v>
      </c>
      <c r="AL57" s="20">
        <v>98601</v>
      </c>
      <c r="AM57" s="19">
        <v>0</v>
      </c>
      <c r="AN57" s="20">
        <v>0</v>
      </c>
      <c r="AO57" s="19">
        <v>0</v>
      </c>
      <c r="AP57" s="20">
        <v>7.0000000000000001E-3</v>
      </c>
      <c r="AQ57" s="19">
        <v>0</v>
      </c>
      <c r="AR57" s="28">
        <v>7.0000000000000001E-3</v>
      </c>
    </row>
    <row r="58" spans="1:44" ht="12.75" customHeight="1" x14ac:dyDescent="0.25">
      <c r="A58" s="27" t="s">
        <v>1257</v>
      </c>
      <c r="B58" s="14" t="s">
        <v>2393</v>
      </c>
      <c r="C58" s="26" t="s">
        <v>1038</v>
      </c>
      <c r="D58" s="14" t="s">
        <v>1158</v>
      </c>
      <c r="E58" s="1" t="s">
        <v>1545</v>
      </c>
      <c r="F58" s="14"/>
      <c r="G58" s="296"/>
      <c r="H58" s="296">
        <v>533744.85</v>
      </c>
      <c r="I58" s="296"/>
      <c r="J58" s="296"/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3.0000000000000001E-3</v>
      </c>
      <c r="Q58" s="19">
        <v>0</v>
      </c>
      <c r="R58" s="19">
        <v>1</v>
      </c>
      <c r="S58" s="19">
        <v>0</v>
      </c>
      <c r="T58" s="19">
        <v>1</v>
      </c>
      <c r="U58" s="19">
        <v>0</v>
      </c>
      <c r="V58" s="19">
        <v>1528.72</v>
      </c>
      <c r="W58" s="19">
        <v>0</v>
      </c>
      <c r="X58" s="19">
        <v>34.35</v>
      </c>
      <c r="Y58" s="19">
        <v>0</v>
      </c>
      <c r="Z58" s="19">
        <v>196.14699999999999</v>
      </c>
      <c r="AA58" s="19">
        <v>0</v>
      </c>
      <c r="AB58" s="19">
        <v>6957</v>
      </c>
      <c r="AC58" s="19">
        <v>0</v>
      </c>
      <c r="AD58" s="20">
        <v>6957</v>
      </c>
      <c r="AE58" s="19">
        <v>0</v>
      </c>
      <c r="AF58" s="20">
        <v>6.0000000000000001E-3</v>
      </c>
      <c r="AG58" s="19">
        <v>0</v>
      </c>
      <c r="AH58" s="20">
        <v>4</v>
      </c>
      <c r="AI58" s="19">
        <v>0</v>
      </c>
      <c r="AJ58" s="20">
        <v>0.5</v>
      </c>
      <c r="AK58" s="19">
        <v>0</v>
      </c>
      <c r="AL58" s="20">
        <v>26806</v>
      </c>
      <c r="AM58" s="19">
        <v>0</v>
      </c>
      <c r="AN58" s="20">
        <v>0</v>
      </c>
      <c r="AO58" s="19">
        <v>0</v>
      </c>
      <c r="AP58" s="20">
        <v>0</v>
      </c>
      <c r="AQ58" s="19">
        <v>0</v>
      </c>
      <c r="AR58" s="28">
        <v>0</v>
      </c>
    </row>
    <row r="59" spans="1:44" ht="12.75" customHeight="1" x14ac:dyDescent="0.25">
      <c r="A59" s="27" t="s">
        <v>1258</v>
      </c>
      <c r="B59" s="14" t="s">
        <v>2393</v>
      </c>
      <c r="C59" s="26" t="s">
        <v>981</v>
      </c>
      <c r="D59" s="14" t="s">
        <v>1147</v>
      </c>
      <c r="E59" s="1" t="s">
        <v>1545</v>
      </c>
      <c r="F59" s="14"/>
      <c r="G59" s="296"/>
      <c r="H59" s="323">
        <v>695834.54</v>
      </c>
      <c r="I59" s="296"/>
      <c r="J59" s="296"/>
      <c r="K59" s="19">
        <v>0</v>
      </c>
      <c r="L59" s="19">
        <v>0</v>
      </c>
      <c r="M59" s="19">
        <v>0</v>
      </c>
      <c r="N59" s="19">
        <v>5.87</v>
      </c>
      <c r="O59" s="19">
        <v>0</v>
      </c>
      <c r="P59" s="19">
        <v>145.63999999999999</v>
      </c>
      <c r="Q59" s="19">
        <v>0</v>
      </c>
      <c r="R59" s="19">
        <v>5</v>
      </c>
      <c r="S59" s="19">
        <v>0</v>
      </c>
      <c r="T59" s="19">
        <v>1</v>
      </c>
      <c r="U59" s="19">
        <v>0</v>
      </c>
      <c r="V59" s="19">
        <v>2965.6</v>
      </c>
      <c r="W59" s="19">
        <v>0</v>
      </c>
      <c r="X59" s="19">
        <v>123.55</v>
      </c>
      <c r="Y59" s="19">
        <v>0</v>
      </c>
      <c r="Z59" s="19">
        <v>718.73</v>
      </c>
      <c r="AA59" s="19">
        <v>0</v>
      </c>
      <c r="AB59" s="19">
        <v>595180</v>
      </c>
      <c r="AC59" s="19">
        <v>0</v>
      </c>
      <c r="AD59" s="20">
        <v>595180</v>
      </c>
      <c r="AE59" s="19">
        <v>0</v>
      </c>
      <c r="AF59" s="20">
        <v>30</v>
      </c>
      <c r="AG59" s="19">
        <v>0</v>
      </c>
      <c r="AH59" s="20">
        <v>0</v>
      </c>
      <c r="AI59" s="19">
        <v>0</v>
      </c>
      <c r="AJ59" s="20">
        <v>0</v>
      </c>
      <c r="AK59" s="19">
        <v>0</v>
      </c>
      <c r="AL59" s="20">
        <v>636032.23</v>
      </c>
      <c r="AM59" s="19">
        <v>0</v>
      </c>
      <c r="AN59" s="20">
        <v>0</v>
      </c>
      <c r="AO59" s="19">
        <v>0</v>
      </c>
      <c r="AP59" s="20">
        <v>5.87</v>
      </c>
      <c r="AQ59" s="19">
        <v>0</v>
      </c>
      <c r="AR59" s="28">
        <v>5.87</v>
      </c>
    </row>
    <row r="60" spans="1:44" ht="12.75" customHeight="1" x14ac:dyDescent="0.25">
      <c r="A60" s="27" t="s">
        <v>1259</v>
      </c>
      <c r="B60" s="14" t="s">
        <v>2393</v>
      </c>
      <c r="C60" s="26" t="s">
        <v>1058</v>
      </c>
      <c r="D60" s="14" t="s">
        <v>1192</v>
      </c>
      <c r="E60" s="1" t="s">
        <v>1545</v>
      </c>
      <c r="F60" s="14"/>
      <c r="G60" s="296"/>
      <c r="H60" s="296">
        <v>207196.01</v>
      </c>
      <c r="I60" s="296"/>
      <c r="J60" s="296"/>
      <c r="K60" s="19">
        <v>0</v>
      </c>
      <c r="L60" s="19">
        <v>2.7480000000000002</v>
      </c>
      <c r="M60" s="19">
        <v>0</v>
      </c>
      <c r="N60" s="19">
        <v>17.062999999999999</v>
      </c>
      <c r="O60" s="19">
        <v>0</v>
      </c>
      <c r="P60" s="19">
        <v>0.129</v>
      </c>
      <c r="Q60" s="19">
        <v>0</v>
      </c>
      <c r="R60" s="19">
        <v>6</v>
      </c>
      <c r="S60" s="19">
        <v>0</v>
      </c>
      <c r="T60" s="19">
        <v>1</v>
      </c>
      <c r="U60" s="19">
        <v>0</v>
      </c>
      <c r="V60" s="19">
        <v>347.86439999999999</v>
      </c>
      <c r="W60" s="19">
        <v>0</v>
      </c>
      <c r="X60" s="19">
        <v>14.262</v>
      </c>
      <c r="Y60" s="19">
        <v>0</v>
      </c>
      <c r="Z60" s="19">
        <v>148.262</v>
      </c>
      <c r="AA60" s="19">
        <v>0</v>
      </c>
      <c r="AB60" s="19">
        <v>133999</v>
      </c>
      <c r="AC60" s="19">
        <v>0</v>
      </c>
      <c r="AD60" s="20">
        <v>131926</v>
      </c>
      <c r="AE60" s="19">
        <v>0</v>
      </c>
      <c r="AF60" s="20">
        <v>0.1056</v>
      </c>
      <c r="AG60" s="19">
        <v>0</v>
      </c>
      <c r="AH60" s="20">
        <v>6.6E-3</v>
      </c>
      <c r="AI60" s="19">
        <v>0</v>
      </c>
      <c r="AJ60" s="20">
        <v>3.2000000000000001E-2</v>
      </c>
      <c r="AK60" s="19">
        <v>0</v>
      </c>
      <c r="AL60" s="20">
        <v>428568</v>
      </c>
      <c r="AM60" s="19">
        <v>0</v>
      </c>
      <c r="AN60" s="20">
        <v>4.7999999999999996E-3</v>
      </c>
      <c r="AO60" s="19">
        <v>0</v>
      </c>
      <c r="AP60" s="20">
        <v>2.98E-2</v>
      </c>
      <c r="AQ60" s="19">
        <v>0</v>
      </c>
      <c r="AR60" s="28">
        <v>2.5000000000000001E-2</v>
      </c>
    </row>
    <row r="61" spans="1:44" ht="12.75" customHeight="1" x14ac:dyDescent="0.25">
      <c r="A61" s="27" t="s">
        <v>1260</v>
      </c>
      <c r="B61" s="14" t="s">
        <v>2393</v>
      </c>
      <c r="C61" s="26" t="s">
        <v>977</v>
      </c>
      <c r="D61" s="14" t="s">
        <v>1138</v>
      </c>
      <c r="E61" s="1" t="s">
        <v>1545</v>
      </c>
      <c r="F61" s="14"/>
      <c r="G61" s="296"/>
      <c r="H61" s="323">
        <v>323754.46999999997</v>
      </c>
      <c r="I61" s="296"/>
      <c r="J61" s="296"/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21.51</v>
      </c>
      <c r="Q61" s="19">
        <v>0</v>
      </c>
      <c r="R61" s="19">
        <v>2</v>
      </c>
      <c r="S61" s="19">
        <v>0</v>
      </c>
      <c r="T61" s="19">
        <v>1</v>
      </c>
      <c r="U61" s="19">
        <v>0</v>
      </c>
      <c r="V61" s="19">
        <v>1651</v>
      </c>
      <c r="W61" s="19">
        <v>0</v>
      </c>
      <c r="X61" s="19">
        <v>100.89700000000001</v>
      </c>
      <c r="Y61" s="19">
        <v>0</v>
      </c>
      <c r="Z61" s="19">
        <v>244.26400000000001</v>
      </c>
      <c r="AA61" s="19">
        <v>0</v>
      </c>
      <c r="AB61" s="19">
        <v>143367.32</v>
      </c>
      <c r="AC61" s="19">
        <v>0</v>
      </c>
      <c r="AD61" s="20">
        <v>143367.32</v>
      </c>
      <c r="AE61" s="19">
        <v>0</v>
      </c>
      <c r="AF61" s="20">
        <v>3.1E-2</v>
      </c>
      <c r="AG61" s="19">
        <v>0</v>
      </c>
      <c r="AH61" s="20">
        <v>0</v>
      </c>
      <c r="AI61" s="19">
        <v>0</v>
      </c>
      <c r="AJ61" s="20">
        <v>0</v>
      </c>
      <c r="AK61" s="19">
        <v>0</v>
      </c>
      <c r="AL61" s="20">
        <v>194818</v>
      </c>
      <c r="AM61" s="19">
        <v>0</v>
      </c>
      <c r="AN61" s="20">
        <v>0</v>
      </c>
      <c r="AO61" s="19">
        <v>0</v>
      </c>
      <c r="AP61" s="20">
        <v>0</v>
      </c>
      <c r="AQ61" s="19">
        <v>0</v>
      </c>
      <c r="AR61" s="28">
        <v>0</v>
      </c>
    </row>
    <row r="62" spans="1:44" ht="12.75" customHeight="1" x14ac:dyDescent="0.25">
      <c r="A62" s="27" t="s">
        <v>1261</v>
      </c>
      <c r="B62" s="14" t="s">
        <v>2393</v>
      </c>
      <c r="C62" s="26" t="s">
        <v>977</v>
      </c>
      <c r="D62" s="14" t="s">
        <v>1066</v>
      </c>
      <c r="E62" s="1" t="s">
        <v>1545</v>
      </c>
      <c r="F62" s="14"/>
      <c r="G62" s="296"/>
      <c r="H62" s="323">
        <v>456481.89</v>
      </c>
      <c r="I62" s="296"/>
      <c r="J62" s="296"/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19.457000000000001</v>
      </c>
      <c r="Q62" s="19">
        <v>0</v>
      </c>
      <c r="R62" s="19">
        <v>2</v>
      </c>
      <c r="S62" s="19">
        <v>0</v>
      </c>
      <c r="T62" s="19">
        <v>1</v>
      </c>
      <c r="U62" s="19">
        <v>0</v>
      </c>
      <c r="V62" s="19">
        <v>1592.1</v>
      </c>
      <c r="W62" s="19">
        <v>0</v>
      </c>
      <c r="X62" s="19">
        <v>112.366</v>
      </c>
      <c r="Y62" s="19">
        <v>0</v>
      </c>
      <c r="Z62" s="19">
        <v>280.17</v>
      </c>
      <c r="AA62" s="19">
        <v>0</v>
      </c>
      <c r="AB62" s="19">
        <v>167330.4</v>
      </c>
      <c r="AC62" s="19">
        <v>0</v>
      </c>
      <c r="AD62" s="20">
        <v>167330.4</v>
      </c>
      <c r="AE62" s="19">
        <v>0</v>
      </c>
      <c r="AF62" s="20">
        <v>42</v>
      </c>
      <c r="AG62" s="19">
        <v>0</v>
      </c>
      <c r="AH62" s="20">
        <v>0</v>
      </c>
      <c r="AI62" s="19">
        <v>0</v>
      </c>
      <c r="AJ62" s="20">
        <v>0</v>
      </c>
      <c r="AK62" s="19">
        <v>0</v>
      </c>
      <c r="AL62" s="20">
        <v>227670.3</v>
      </c>
      <c r="AM62" s="19">
        <v>0</v>
      </c>
      <c r="AN62" s="20">
        <v>0</v>
      </c>
      <c r="AO62" s="19">
        <v>0</v>
      </c>
      <c r="AP62" s="20">
        <v>0</v>
      </c>
      <c r="AQ62" s="19">
        <v>0</v>
      </c>
      <c r="AR62" s="28">
        <v>0</v>
      </c>
    </row>
    <row r="63" spans="1:44" ht="12.75" customHeight="1" x14ac:dyDescent="0.25">
      <c r="A63" s="27" t="s">
        <v>1262</v>
      </c>
      <c r="B63" s="14" t="s">
        <v>2393</v>
      </c>
      <c r="C63" s="26" t="s">
        <v>1063</v>
      </c>
      <c r="D63" s="14" t="s">
        <v>1198</v>
      </c>
      <c r="E63" s="1" t="s">
        <v>1545</v>
      </c>
      <c r="F63" s="14"/>
      <c r="G63" s="296"/>
      <c r="H63" s="323">
        <v>203786.56</v>
      </c>
      <c r="I63" s="296"/>
      <c r="J63" s="296"/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23.978999999999999</v>
      </c>
      <c r="Q63" s="19">
        <v>0</v>
      </c>
      <c r="R63" s="19">
        <v>3</v>
      </c>
      <c r="S63" s="19">
        <v>0</v>
      </c>
      <c r="T63" s="19">
        <v>1</v>
      </c>
      <c r="U63" s="19">
        <v>0</v>
      </c>
      <c r="V63" s="19">
        <v>718.6</v>
      </c>
      <c r="W63" s="19">
        <v>0</v>
      </c>
      <c r="X63" s="19">
        <v>8.9922000000000004</v>
      </c>
      <c r="Y63" s="19">
        <v>0</v>
      </c>
      <c r="Z63" s="19">
        <v>29.100999999999999</v>
      </c>
      <c r="AA63" s="19">
        <v>0</v>
      </c>
      <c r="AB63" s="19">
        <v>20108.791000000001</v>
      </c>
      <c r="AC63" s="19">
        <v>0</v>
      </c>
      <c r="AD63" s="20">
        <v>97118.79</v>
      </c>
      <c r="AE63" s="19">
        <v>0</v>
      </c>
      <c r="AF63" s="20">
        <v>20.222000000000001</v>
      </c>
      <c r="AG63" s="19">
        <v>0</v>
      </c>
      <c r="AH63" s="20">
        <v>1.0209999999999999</v>
      </c>
      <c r="AI63" s="19">
        <v>0</v>
      </c>
      <c r="AJ63" s="20">
        <v>0.125</v>
      </c>
      <c r="AK63" s="19">
        <v>0</v>
      </c>
      <c r="AL63" s="20">
        <v>217893.89199999999</v>
      </c>
      <c r="AM63" s="19">
        <v>0</v>
      </c>
      <c r="AN63" s="20">
        <v>0</v>
      </c>
      <c r="AO63" s="19">
        <v>0</v>
      </c>
      <c r="AP63" s="20">
        <v>0</v>
      </c>
      <c r="AQ63" s="19">
        <v>0</v>
      </c>
      <c r="AR63" s="28">
        <v>0</v>
      </c>
    </row>
    <row r="64" spans="1:44" ht="12.75" customHeight="1" x14ac:dyDescent="0.25">
      <c r="A64" s="27" t="s">
        <v>1263</v>
      </c>
      <c r="B64" s="14" t="s">
        <v>2393</v>
      </c>
      <c r="C64" s="26" t="s">
        <v>1009</v>
      </c>
      <c r="D64" s="14" t="s">
        <v>1111</v>
      </c>
      <c r="E64" s="1" t="s">
        <v>1545</v>
      </c>
      <c r="F64" s="14"/>
      <c r="G64" s="296"/>
      <c r="H64" s="296">
        <v>182348.52</v>
      </c>
      <c r="I64" s="296"/>
      <c r="J64" s="296"/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16.916</v>
      </c>
      <c r="Q64" s="19">
        <v>0</v>
      </c>
      <c r="R64" s="19">
        <v>6</v>
      </c>
      <c r="S64" s="19">
        <v>0</v>
      </c>
      <c r="T64" s="19">
        <v>1</v>
      </c>
      <c r="U64" s="19">
        <v>0</v>
      </c>
      <c r="V64" s="19">
        <v>660.2</v>
      </c>
      <c r="W64" s="19">
        <v>0</v>
      </c>
      <c r="X64" s="19">
        <v>23.812000000000001</v>
      </c>
      <c r="Y64" s="19">
        <v>0</v>
      </c>
      <c r="Z64" s="19">
        <v>84.51</v>
      </c>
      <c r="AA64" s="19">
        <v>0</v>
      </c>
      <c r="AB64" s="19">
        <v>60698</v>
      </c>
      <c r="AC64" s="19">
        <v>0</v>
      </c>
      <c r="AD64" s="20">
        <v>75237</v>
      </c>
      <c r="AE64" s="19">
        <v>0</v>
      </c>
      <c r="AF64" s="20">
        <v>832</v>
      </c>
      <c r="AG64" s="19">
        <v>0</v>
      </c>
      <c r="AH64" s="20">
        <v>4.3499999999999997E-2</v>
      </c>
      <c r="AI64" s="19">
        <v>0</v>
      </c>
      <c r="AJ64" s="20">
        <v>10.7</v>
      </c>
      <c r="AK64" s="19">
        <v>0</v>
      </c>
      <c r="AL64" s="20">
        <v>91502</v>
      </c>
      <c r="AM64" s="19">
        <v>0</v>
      </c>
      <c r="AN64" s="20">
        <v>0</v>
      </c>
      <c r="AO64" s="19">
        <v>0</v>
      </c>
      <c r="AP64" s="20">
        <v>0</v>
      </c>
      <c r="AQ64" s="19">
        <v>0</v>
      </c>
      <c r="AR64" s="28">
        <v>0</v>
      </c>
    </row>
    <row r="65" spans="1:44" ht="12.75" customHeight="1" x14ac:dyDescent="0.25">
      <c r="A65" s="27" t="s">
        <v>1264</v>
      </c>
      <c r="B65" s="14" t="s">
        <v>2393</v>
      </c>
      <c r="C65" s="26" t="s">
        <v>1426</v>
      </c>
      <c r="D65" s="14" t="s">
        <v>1480</v>
      </c>
      <c r="E65" s="1" t="s">
        <v>1545</v>
      </c>
      <c r="F65" s="14"/>
      <c r="G65" s="296"/>
      <c r="H65" s="296">
        <v>159256.69</v>
      </c>
      <c r="I65" s="296"/>
      <c r="J65" s="296"/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15.88</v>
      </c>
      <c r="Q65" s="19">
        <v>0</v>
      </c>
      <c r="R65" s="19">
        <v>4</v>
      </c>
      <c r="S65" s="19">
        <v>0</v>
      </c>
      <c r="T65" s="19">
        <v>1</v>
      </c>
      <c r="U65" s="19">
        <v>0</v>
      </c>
      <c r="V65" s="19">
        <v>357</v>
      </c>
      <c r="W65" s="19">
        <v>0</v>
      </c>
      <c r="X65" s="19">
        <v>10.79</v>
      </c>
      <c r="Y65" s="19">
        <v>0</v>
      </c>
      <c r="Z65" s="19">
        <v>67.77</v>
      </c>
      <c r="AA65" s="19">
        <v>0</v>
      </c>
      <c r="AB65" s="19">
        <v>56970</v>
      </c>
      <c r="AC65" s="19">
        <v>0</v>
      </c>
      <c r="AD65" s="20">
        <v>48600.5</v>
      </c>
      <c r="AE65" s="19">
        <v>0</v>
      </c>
      <c r="AF65" s="20">
        <v>0.01</v>
      </c>
      <c r="AG65" s="19">
        <v>0</v>
      </c>
      <c r="AH65" s="20">
        <v>1.6000000000000001E-3</v>
      </c>
      <c r="AI65" s="19">
        <v>0</v>
      </c>
      <c r="AJ65" s="20">
        <v>0.01</v>
      </c>
      <c r="AK65" s="19">
        <v>0</v>
      </c>
      <c r="AL65" s="20">
        <v>104522.46</v>
      </c>
      <c r="AM65" s="19">
        <v>0</v>
      </c>
      <c r="AN65" s="20">
        <v>0</v>
      </c>
      <c r="AO65" s="19">
        <v>0</v>
      </c>
      <c r="AP65" s="20">
        <v>0</v>
      </c>
      <c r="AQ65" s="19">
        <v>0</v>
      </c>
      <c r="AR65" s="28">
        <v>0</v>
      </c>
    </row>
    <row r="66" spans="1:44" ht="12.75" customHeight="1" x14ac:dyDescent="0.25">
      <c r="A66" s="27" t="s">
        <v>1265</v>
      </c>
      <c r="B66" s="14" t="s">
        <v>2393</v>
      </c>
      <c r="C66" s="26" t="s">
        <v>978</v>
      </c>
      <c r="D66" s="14" t="s">
        <v>1067</v>
      </c>
      <c r="E66" s="1" t="s">
        <v>1545</v>
      </c>
      <c r="F66" s="14"/>
      <c r="G66" s="296"/>
      <c r="H66" s="323"/>
      <c r="I66" s="296"/>
      <c r="J66" s="296"/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37.368000000000002</v>
      </c>
      <c r="Q66" s="19">
        <v>0</v>
      </c>
      <c r="R66" s="19">
        <v>3</v>
      </c>
      <c r="S66" s="19">
        <v>0</v>
      </c>
      <c r="T66" s="19">
        <v>1</v>
      </c>
      <c r="U66" s="19">
        <v>0</v>
      </c>
      <c r="V66" s="19">
        <v>837.43</v>
      </c>
      <c r="W66" s="19">
        <v>0</v>
      </c>
      <c r="X66" s="19">
        <v>18.5</v>
      </c>
      <c r="Y66" s="19">
        <v>0</v>
      </c>
      <c r="Z66" s="19">
        <v>153</v>
      </c>
      <c r="AA66" s="19">
        <v>0</v>
      </c>
      <c r="AB66" s="19">
        <v>134457.76</v>
      </c>
      <c r="AC66" s="19">
        <v>0</v>
      </c>
      <c r="AD66" s="20">
        <v>134457.76</v>
      </c>
      <c r="AE66" s="19">
        <v>0</v>
      </c>
      <c r="AF66" s="20">
        <v>67.876999999999995</v>
      </c>
      <c r="AG66" s="19">
        <v>0</v>
      </c>
      <c r="AH66" s="20">
        <v>1.3698999999999999</v>
      </c>
      <c r="AI66" s="19">
        <v>0</v>
      </c>
      <c r="AJ66" s="20">
        <v>6.8497000000000003</v>
      </c>
      <c r="AK66" s="19">
        <v>0</v>
      </c>
      <c r="AL66" s="20">
        <v>193672.43</v>
      </c>
      <c r="AM66" s="19">
        <v>0</v>
      </c>
      <c r="AN66" s="20">
        <v>0</v>
      </c>
      <c r="AO66" s="19">
        <v>0</v>
      </c>
      <c r="AP66" s="20">
        <v>0</v>
      </c>
      <c r="AQ66" s="19">
        <v>0</v>
      </c>
      <c r="AR66" s="28">
        <v>0</v>
      </c>
    </row>
    <row r="67" spans="1:44" ht="12.75" customHeight="1" x14ac:dyDescent="0.25">
      <c r="A67" s="27" t="s">
        <v>1266</v>
      </c>
      <c r="B67" s="14" t="s">
        <v>2393</v>
      </c>
      <c r="C67" s="26" t="s">
        <v>1012</v>
      </c>
      <c r="D67" s="14" t="s">
        <v>1188</v>
      </c>
      <c r="E67" s="1" t="s">
        <v>1545</v>
      </c>
      <c r="F67" s="14"/>
      <c r="G67" s="296"/>
      <c r="H67" s="296">
        <v>333892.96000000002</v>
      </c>
      <c r="I67" s="296"/>
      <c r="J67" s="296"/>
      <c r="K67" s="19">
        <v>0</v>
      </c>
      <c r="L67" s="19">
        <v>4.95</v>
      </c>
      <c r="M67" s="19">
        <v>0</v>
      </c>
      <c r="N67" s="19">
        <v>0</v>
      </c>
      <c r="O67" s="19">
        <v>0</v>
      </c>
      <c r="P67" s="19">
        <v>42.9527</v>
      </c>
      <c r="Q67" s="19">
        <v>0</v>
      </c>
      <c r="R67" s="19">
        <v>7</v>
      </c>
      <c r="S67" s="19">
        <v>0</v>
      </c>
      <c r="T67" s="19">
        <v>1</v>
      </c>
      <c r="U67" s="19">
        <v>0</v>
      </c>
      <c r="V67" s="19">
        <v>1079.1400000000001</v>
      </c>
      <c r="W67" s="19">
        <v>0</v>
      </c>
      <c r="X67" s="19">
        <v>38.14</v>
      </c>
      <c r="Y67" s="19">
        <v>0</v>
      </c>
      <c r="Z67" s="19">
        <v>192.46</v>
      </c>
      <c r="AA67" s="19">
        <v>0</v>
      </c>
      <c r="AB67" s="19">
        <v>154322.62</v>
      </c>
      <c r="AC67" s="19">
        <v>0</v>
      </c>
      <c r="AD67" s="20">
        <v>241421.93</v>
      </c>
      <c r="AE67" s="19">
        <v>0</v>
      </c>
      <c r="AF67" s="20">
        <v>2.4299999999999999E-2</v>
      </c>
      <c r="AG67" s="19">
        <v>0</v>
      </c>
      <c r="AH67" s="20">
        <v>2.2000000000000001E-3</v>
      </c>
      <c r="AI67" s="19">
        <v>0</v>
      </c>
      <c r="AJ67" s="20">
        <v>2.3999999999999998E-3</v>
      </c>
      <c r="AK67" s="19">
        <v>0</v>
      </c>
      <c r="AL67" s="20">
        <v>155293.01999999999</v>
      </c>
      <c r="AM67" s="19">
        <v>0</v>
      </c>
      <c r="AN67" s="20">
        <v>9.9000000000000008E-3</v>
      </c>
      <c r="AO67" s="19">
        <v>0</v>
      </c>
      <c r="AP67" s="20">
        <v>9.9000000000000008E-3</v>
      </c>
      <c r="AQ67" s="19">
        <v>0</v>
      </c>
      <c r="AR67" s="28">
        <v>0</v>
      </c>
    </row>
    <row r="68" spans="1:44" ht="12.75" customHeight="1" x14ac:dyDescent="0.25">
      <c r="A68" s="27" t="s">
        <v>1267</v>
      </c>
      <c r="B68" s="14" t="s">
        <v>2393</v>
      </c>
      <c r="C68" s="26" t="s">
        <v>1012</v>
      </c>
      <c r="D68" s="14" t="s">
        <v>1118</v>
      </c>
      <c r="E68" s="1" t="s">
        <v>1545</v>
      </c>
      <c r="F68" s="14"/>
      <c r="G68" s="296"/>
      <c r="H68" s="296">
        <v>214550.49</v>
      </c>
      <c r="I68" s="296"/>
      <c r="J68" s="296"/>
      <c r="K68" s="19">
        <v>0</v>
      </c>
      <c r="L68" s="19">
        <v>6.39</v>
      </c>
      <c r="M68" s="19">
        <v>0</v>
      </c>
      <c r="N68" s="19">
        <v>0</v>
      </c>
      <c r="O68" s="19">
        <v>0</v>
      </c>
      <c r="P68" s="19">
        <v>34.368000000000002</v>
      </c>
      <c r="Q68" s="19">
        <v>0</v>
      </c>
      <c r="R68" s="19">
        <v>4</v>
      </c>
      <c r="S68" s="19">
        <v>0</v>
      </c>
      <c r="T68" s="19">
        <v>1</v>
      </c>
      <c r="U68" s="19">
        <v>0</v>
      </c>
      <c r="V68" s="19">
        <v>774.06</v>
      </c>
      <c r="W68" s="19">
        <v>0</v>
      </c>
      <c r="X68" s="19">
        <v>46.15</v>
      </c>
      <c r="Y68" s="19">
        <v>0</v>
      </c>
      <c r="Z68" s="19">
        <v>170.94</v>
      </c>
      <c r="AA68" s="19">
        <v>0</v>
      </c>
      <c r="AB68" s="19">
        <v>124791</v>
      </c>
      <c r="AC68" s="19">
        <v>0</v>
      </c>
      <c r="AD68" s="20">
        <v>119027</v>
      </c>
      <c r="AE68" s="19">
        <v>0</v>
      </c>
      <c r="AF68" s="20">
        <v>2.4899999999999999E-2</v>
      </c>
      <c r="AG68" s="19">
        <v>0</v>
      </c>
      <c r="AH68" s="20">
        <v>2.3E-3</v>
      </c>
      <c r="AI68" s="19">
        <v>0</v>
      </c>
      <c r="AJ68" s="20">
        <v>7.1999999999999998E-3</v>
      </c>
      <c r="AK68" s="19">
        <v>0</v>
      </c>
      <c r="AL68" s="20">
        <v>120127</v>
      </c>
      <c r="AM68" s="19">
        <v>0</v>
      </c>
      <c r="AN68" s="20">
        <v>0.01</v>
      </c>
      <c r="AO68" s="19">
        <v>0</v>
      </c>
      <c r="AP68" s="20">
        <v>0.01</v>
      </c>
      <c r="AQ68" s="19">
        <v>0</v>
      </c>
      <c r="AR68" s="28">
        <v>0</v>
      </c>
    </row>
    <row r="69" spans="1:44" ht="12.75" customHeight="1" x14ac:dyDescent="0.25">
      <c r="A69" s="27" t="s">
        <v>1268</v>
      </c>
      <c r="B69" s="14" t="s">
        <v>2393</v>
      </c>
      <c r="C69" s="26" t="s">
        <v>1012</v>
      </c>
      <c r="D69" s="14" t="s">
        <v>1114</v>
      </c>
      <c r="E69" s="1" t="s">
        <v>1545</v>
      </c>
      <c r="F69" s="14"/>
      <c r="G69" s="296"/>
      <c r="H69" s="296">
        <v>218043.84</v>
      </c>
      <c r="I69" s="296"/>
      <c r="J69" s="296"/>
      <c r="K69" s="19">
        <v>0</v>
      </c>
      <c r="L69" s="19">
        <v>0</v>
      </c>
      <c r="M69" s="19">
        <v>0</v>
      </c>
      <c r="N69" s="19">
        <v>4.99</v>
      </c>
      <c r="O69" s="19">
        <v>0</v>
      </c>
      <c r="P69" s="19">
        <v>38.063000000000002</v>
      </c>
      <c r="Q69" s="19">
        <v>0</v>
      </c>
      <c r="R69" s="19">
        <v>5</v>
      </c>
      <c r="S69" s="19">
        <v>0</v>
      </c>
      <c r="T69" s="19">
        <v>1</v>
      </c>
      <c r="U69" s="19">
        <v>0</v>
      </c>
      <c r="V69" s="19">
        <v>595.46</v>
      </c>
      <c r="W69" s="19">
        <v>0</v>
      </c>
      <c r="X69" s="19">
        <v>49.28</v>
      </c>
      <c r="Y69" s="19">
        <v>0</v>
      </c>
      <c r="Z69" s="19">
        <v>186.94</v>
      </c>
      <c r="AA69" s="19">
        <v>0</v>
      </c>
      <c r="AB69" s="19">
        <v>137652</v>
      </c>
      <c r="AC69" s="19">
        <v>0</v>
      </c>
      <c r="AD69" s="20">
        <v>91712</v>
      </c>
      <c r="AE69" s="19">
        <v>0</v>
      </c>
      <c r="AF69" s="20">
        <v>22.3</v>
      </c>
      <c r="AG69" s="19">
        <v>0</v>
      </c>
      <c r="AH69" s="20">
        <v>1.5</v>
      </c>
      <c r="AI69" s="19">
        <v>0</v>
      </c>
      <c r="AJ69" s="20">
        <v>2.5</v>
      </c>
      <c r="AK69" s="19">
        <v>0</v>
      </c>
      <c r="AL69" s="20">
        <v>120733</v>
      </c>
      <c r="AM69" s="19">
        <v>0</v>
      </c>
      <c r="AN69" s="20">
        <v>0</v>
      </c>
      <c r="AO69" s="19">
        <v>0</v>
      </c>
      <c r="AP69" s="20">
        <v>5.7000000000000002E-2</v>
      </c>
      <c r="AQ69" s="19">
        <v>0</v>
      </c>
      <c r="AR69" s="28">
        <v>5.7000000000000002E-2</v>
      </c>
    </row>
    <row r="70" spans="1:44" ht="12.75" customHeight="1" x14ac:dyDescent="0.25">
      <c r="A70" s="27" t="s">
        <v>1269</v>
      </c>
      <c r="B70" s="14" t="s">
        <v>2393</v>
      </c>
      <c r="C70" s="26" t="s">
        <v>987</v>
      </c>
      <c r="D70" s="14" t="s">
        <v>1082</v>
      </c>
      <c r="E70" s="1" t="s">
        <v>1545</v>
      </c>
      <c r="F70" s="14"/>
      <c r="G70" s="296"/>
      <c r="H70" s="296">
        <v>1379599.88</v>
      </c>
      <c r="I70" s="296"/>
      <c r="J70" s="296"/>
      <c r="K70" s="19">
        <v>0</v>
      </c>
      <c r="L70" s="19">
        <v>0</v>
      </c>
      <c r="M70" s="19">
        <v>0</v>
      </c>
      <c r="N70" s="19">
        <v>7.47</v>
      </c>
      <c r="O70" s="19">
        <v>0</v>
      </c>
      <c r="P70" s="19">
        <v>79.378200000000007</v>
      </c>
      <c r="Q70" s="19">
        <v>0</v>
      </c>
      <c r="R70" s="19">
        <v>6</v>
      </c>
      <c r="S70" s="19">
        <v>0</v>
      </c>
      <c r="T70" s="19">
        <v>1</v>
      </c>
      <c r="U70" s="19">
        <v>0</v>
      </c>
      <c r="V70" s="19">
        <v>2394.08</v>
      </c>
      <c r="W70" s="19">
        <v>0</v>
      </c>
      <c r="X70" s="19">
        <v>81.3</v>
      </c>
      <c r="Y70" s="19">
        <v>0</v>
      </c>
      <c r="Z70" s="19">
        <v>368.8</v>
      </c>
      <c r="AA70" s="19">
        <v>0</v>
      </c>
      <c r="AB70" s="19">
        <v>287482</v>
      </c>
      <c r="AC70" s="19">
        <v>0</v>
      </c>
      <c r="AD70" s="20">
        <v>524786</v>
      </c>
      <c r="AE70" s="19">
        <v>0</v>
      </c>
      <c r="AF70" s="20">
        <v>55.5</v>
      </c>
      <c r="AG70" s="19">
        <v>0</v>
      </c>
      <c r="AH70" s="20">
        <v>0</v>
      </c>
      <c r="AI70" s="19">
        <v>0</v>
      </c>
      <c r="AJ70" s="20">
        <v>14</v>
      </c>
      <c r="AK70" s="19">
        <v>0</v>
      </c>
      <c r="AL70" s="20">
        <v>716830</v>
      </c>
      <c r="AM70" s="19">
        <v>0</v>
      </c>
      <c r="AN70" s="20">
        <v>0</v>
      </c>
      <c r="AO70" s="19">
        <v>0</v>
      </c>
      <c r="AP70" s="20">
        <v>0</v>
      </c>
      <c r="AQ70" s="19">
        <v>0</v>
      </c>
      <c r="AR70" s="28">
        <v>0</v>
      </c>
    </row>
    <row r="71" spans="1:44" ht="12.75" customHeight="1" x14ac:dyDescent="0.25">
      <c r="A71" s="27" t="s">
        <v>1270</v>
      </c>
      <c r="B71" s="14" t="s">
        <v>2393</v>
      </c>
      <c r="C71" s="26" t="s">
        <v>1427</v>
      </c>
      <c r="D71" s="14" t="s">
        <v>1481</v>
      </c>
      <c r="E71" s="1" t="s">
        <v>1545</v>
      </c>
      <c r="F71" s="14"/>
      <c r="G71" s="296"/>
      <c r="H71" s="296">
        <v>343500.16</v>
      </c>
      <c r="I71" s="296"/>
      <c r="J71" s="296"/>
      <c r="K71" s="19">
        <v>0</v>
      </c>
      <c r="L71" s="19">
        <v>0</v>
      </c>
      <c r="M71" s="19">
        <v>0</v>
      </c>
      <c r="N71" s="19">
        <v>5.0990000000000002</v>
      </c>
      <c r="O71" s="19">
        <v>0</v>
      </c>
      <c r="P71" s="19">
        <v>16.877500000000001</v>
      </c>
      <c r="Q71" s="19">
        <v>0</v>
      </c>
      <c r="R71" s="19">
        <v>3</v>
      </c>
      <c r="S71" s="19">
        <v>0</v>
      </c>
      <c r="T71" s="19">
        <v>1</v>
      </c>
      <c r="U71" s="19">
        <v>0</v>
      </c>
      <c r="V71" s="19">
        <v>691.8</v>
      </c>
      <c r="W71" s="19">
        <v>0</v>
      </c>
      <c r="X71" s="19">
        <v>18</v>
      </c>
      <c r="Y71" s="19">
        <v>0</v>
      </c>
      <c r="Z71" s="19">
        <v>89.97</v>
      </c>
      <c r="AA71" s="19">
        <v>0</v>
      </c>
      <c r="AB71" s="19">
        <v>71970</v>
      </c>
      <c r="AC71" s="19">
        <v>0</v>
      </c>
      <c r="AD71" s="20">
        <v>128660.96400000001</v>
      </c>
      <c r="AE71" s="19">
        <v>0</v>
      </c>
      <c r="AF71" s="20">
        <v>17.7</v>
      </c>
      <c r="AG71" s="19">
        <v>0</v>
      </c>
      <c r="AH71" s="20">
        <v>2</v>
      </c>
      <c r="AI71" s="19">
        <v>0</v>
      </c>
      <c r="AJ71" s="20">
        <v>3.7</v>
      </c>
      <c r="AK71" s="19">
        <v>0</v>
      </c>
      <c r="AL71" s="20">
        <v>184876.63200000001</v>
      </c>
      <c r="AM71" s="19">
        <v>0</v>
      </c>
      <c r="AN71" s="20">
        <v>0</v>
      </c>
      <c r="AO71" s="19">
        <v>0</v>
      </c>
      <c r="AP71" s="20">
        <v>8.0000000000000002E-3</v>
      </c>
      <c r="AQ71" s="19">
        <v>0</v>
      </c>
      <c r="AR71" s="28">
        <v>8.0000000000000002E-3</v>
      </c>
    </row>
    <row r="72" spans="1:44" ht="12.75" customHeight="1" x14ac:dyDescent="0.25">
      <c r="A72" s="27" t="s">
        <v>1271</v>
      </c>
      <c r="B72" s="14" t="s">
        <v>2393</v>
      </c>
      <c r="C72" s="26" t="s">
        <v>1054</v>
      </c>
      <c r="D72" s="14" t="s">
        <v>1184</v>
      </c>
      <c r="E72" s="1" t="s">
        <v>1545</v>
      </c>
      <c r="F72" s="14"/>
      <c r="G72" s="296"/>
      <c r="H72" s="296">
        <v>204606.41</v>
      </c>
      <c r="I72" s="296"/>
      <c r="J72" s="296"/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1.9300000000000001E-2</v>
      </c>
      <c r="Q72" s="19">
        <v>0</v>
      </c>
      <c r="R72" s="19">
        <v>3</v>
      </c>
      <c r="S72" s="19">
        <v>0</v>
      </c>
      <c r="T72" s="19">
        <v>1</v>
      </c>
      <c r="U72" s="19">
        <v>0</v>
      </c>
      <c r="V72" s="19">
        <v>497.32</v>
      </c>
      <c r="W72" s="19">
        <v>0</v>
      </c>
      <c r="X72" s="19">
        <v>18.327200000000001</v>
      </c>
      <c r="Y72" s="19">
        <v>0</v>
      </c>
      <c r="Z72" s="19">
        <v>64.305999999999997</v>
      </c>
      <c r="AA72" s="19">
        <v>0</v>
      </c>
      <c r="AB72" s="19">
        <v>45978.79</v>
      </c>
      <c r="AC72" s="19">
        <v>0</v>
      </c>
      <c r="AD72" s="20">
        <v>68630.16</v>
      </c>
      <c r="AE72" s="19">
        <v>0</v>
      </c>
      <c r="AF72" s="20">
        <v>12.77</v>
      </c>
      <c r="AG72" s="19">
        <v>0</v>
      </c>
      <c r="AH72" s="20">
        <v>0.36</v>
      </c>
      <c r="AI72" s="19">
        <v>0</v>
      </c>
      <c r="AJ72" s="20">
        <v>1.57</v>
      </c>
      <c r="AK72" s="19">
        <v>0</v>
      </c>
      <c r="AL72" s="20">
        <v>96977.4</v>
      </c>
      <c r="AM72" s="19">
        <v>0</v>
      </c>
      <c r="AN72" s="20">
        <v>0</v>
      </c>
      <c r="AO72" s="19">
        <v>0</v>
      </c>
      <c r="AP72" s="20">
        <v>0</v>
      </c>
      <c r="AQ72" s="19">
        <v>0</v>
      </c>
      <c r="AR72" s="28">
        <v>0</v>
      </c>
    </row>
    <row r="73" spans="1:44" ht="12.75" customHeight="1" x14ac:dyDescent="0.25">
      <c r="A73" s="27" t="s">
        <v>1272</v>
      </c>
      <c r="B73" s="14" t="s">
        <v>2393</v>
      </c>
      <c r="C73" s="26" t="s">
        <v>1030</v>
      </c>
      <c r="D73" s="14" t="s">
        <v>1482</v>
      </c>
      <c r="E73" s="1" t="s">
        <v>1545</v>
      </c>
      <c r="F73" s="14"/>
      <c r="G73" s="296"/>
      <c r="H73" s="296"/>
      <c r="I73" s="296"/>
      <c r="J73" s="296"/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220.22900000000001</v>
      </c>
      <c r="Q73" s="19">
        <v>0</v>
      </c>
      <c r="R73" s="19">
        <v>2</v>
      </c>
      <c r="S73" s="19">
        <v>0</v>
      </c>
      <c r="T73" s="19">
        <v>1</v>
      </c>
      <c r="U73" s="19">
        <v>0</v>
      </c>
      <c r="V73" s="19">
        <v>4212</v>
      </c>
      <c r="W73" s="19">
        <v>0</v>
      </c>
      <c r="X73" s="19">
        <v>158.6</v>
      </c>
      <c r="Y73" s="19">
        <v>0</v>
      </c>
      <c r="Z73" s="19">
        <v>487.3</v>
      </c>
      <c r="AA73" s="19">
        <v>0</v>
      </c>
      <c r="AB73" s="19">
        <v>328700</v>
      </c>
      <c r="AC73" s="19">
        <v>0</v>
      </c>
      <c r="AD73" s="20">
        <v>328700</v>
      </c>
      <c r="AE73" s="19">
        <v>0</v>
      </c>
      <c r="AF73" s="20">
        <v>276.10000000000002</v>
      </c>
      <c r="AG73" s="19">
        <v>0</v>
      </c>
      <c r="AH73" s="20">
        <v>23.6</v>
      </c>
      <c r="AI73" s="19">
        <v>0</v>
      </c>
      <c r="AJ73" s="20">
        <v>2130</v>
      </c>
      <c r="AK73" s="19">
        <v>0</v>
      </c>
      <c r="AL73" s="20">
        <v>378000</v>
      </c>
      <c r="AM73" s="19">
        <v>0</v>
      </c>
      <c r="AN73" s="20">
        <v>0</v>
      </c>
      <c r="AO73" s="19">
        <v>0</v>
      </c>
      <c r="AP73" s="20">
        <v>0</v>
      </c>
      <c r="AQ73" s="19">
        <v>0</v>
      </c>
      <c r="AR73" s="28">
        <v>0</v>
      </c>
    </row>
    <row r="74" spans="1:44" ht="12.75" customHeight="1" x14ac:dyDescent="0.25">
      <c r="A74" s="27" t="s">
        <v>1273</v>
      </c>
      <c r="B74" s="14" t="s">
        <v>2393</v>
      </c>
      <c r="C74" s="26" t="s">
        <v>555</v>
      </c>
      <c r="D74" s="14" t="s">
        <v>1154</v>
      </c>
      <c r="E74" s="1" t="s">
        <v>1545</v>
      </c>
      <c r="F74" s="14"/>
      <c r="G74" s="296"/>
      <c r="H74" s="296">
        <v>200852.91</v>
      </c>
      <c r="I74" s="296"/>
      <c r="J74" s="296"/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24.0078</v>
      </c>
      <c r="Q74" s="19">
        <v>0</v>
      </c>
      <c r="R74" s="19">
        <v>1</v>
      </c>
      <c r="S74" s="19">
        <v>0</v>
      </c>
      <c r="T74" s="19">
        <v>1</v>
      </c>
      <c r="U74" s="19">
        <v>0</v>
      </c>
      <c r="V74" s="19">
        <v>1365.37</v>
      </c>
      <c r="W74" s="19">
        <v>0</v>
      </c>
      <c r="X74" s="19">
        <v>76.216300000000004</v>
      </c>
      <c r="Y74" s="19">
        <v>0</v>
      </c>
      <c r="Z74" s="19">
        <v>196.23820000000001</v>
      </c>
      <c r="AA74" s="19">
        <v>0</v>
      </c>
      <c r="AB74" s="19">
        <v>120159.01</v>
      </c>
      <c r="AC74" s="19">
        <v>0</v>
      </c>
      <c r="AD74" s="20">
        <v>106771.93399999999</v>
      </c>
      <c r="AE74" s="19">
        <v>0</v>
      </c>
      <c r="AF74" s="20">
        <v>18.68</v>
      </c>
      <c r="AG74" s="19">
        <v>0</v>
      </c>
      <c r="AH74" s="20">
        <v>0.85</v>
      </c>
      <c r="AI74" s="19">
        <v>0</v>
      </c>
      <c r="AJ74" s="20">
        <v>0.1</v>
      </c>
      <c r="AK74" s="19">
        <v>0</v>
      </c>
      <c r="AL74" s="20">
        <v>145275.36799999999</v>
      </c>
      <c r="AM74" s="19">
        <v>0</v>
      </c>
      <c r="AN74" s="20">
        <v>0</v>
      </c>
      <c r="AO74" s="19">
        <v>0</v>
      </c>
      <c r="AP74" s="20">
        <v>0</v>
      </c>
      <c r="AQ74" s="19">
        <v>0</v>
      </c>
      <c r="AR74" s="28">
        <v>0</v>
      </c>
    </row>
    <row r="75" spans="1:44" ht="12.75" customHeight="1" x14ac:dyDescent="0.25">
      <c r="A75" s="27" t="s">
        <v>1274</v>
      </c>
      <c r="B75" s="14" t="s">
        <v>2393</v>
      </c>
      <c r="C75" s="26" t="s">
        <v>1060</v>
      </c>
      <c r="D75" s="14" t="s">
        <v>1195</v>
      </c>
      <c r="E75" s="1" t="s">
        <v>1545</v>
      </c>
      <c r="F75" s="14"/>
      <c r="G75" s="296"/>
      <c r="H75" s="296">
        <v>539178.85</v>
      </c>
      <c r="I75" s="296"/>
      <c r="J75" s="296"/>
      <c r="K75" s="19">
        <v>0</v>
      </c>
      <c r="L75" s="19">
        <v>0</v>
      </c>
      <c r="M75" s="19">
        <v>0</v>
      </c>
      <c r="N75" s="19">
        <v>16.385000000000002</v>
      </c>
      <c r="O75" s="19">
        <v>0</v>
      </c>
      <c r="P75" s="19">
        <v>4.609</v>
      </c>
      <c r="Q75" s="19">
        <v>0</v>
      </c>
      <c r="R75" s="19">
        <v>3</v>
      </c>
      <c r="S75" s="19">
        <v>0</v>
      </c>
      <c r="T75" s="19">
        <v>1</v>
      </c>
      <c r="U75" s="19">
        <v>0</v>
      </c>
      <c r="V75" s="19">
        <v>1293.6199999999999</v>
      </c>
      <c r="W75" s="19">
        <v>0</v>
      </c>
      <c r="X75" s="19">
        <v>10.645</v>
      </c>
      <c r="Y75" s="19">
        <v>0</v>
      </c>
      <c r="Z75" s="19">
        <v>55.789000000000001</v>
      </c>
      <c r="AA75" s="19">
        <v>0</v>
      </c>
      <c r="AB75" s="19">
        <v>45143.29</v>
      </c>
      <c r="AC75" s="19">
        <v>0</v>
      </c>
      <c r="AD75" s="20">
        <v>45143.29</v>
      </c>
      <c r="AE75" s="19">
        <v>0</v>
      </c>
      <c r="AF75" s="20">
        <v>15.77</v>
      </c>
      <c r="AG75" s="19">
        <v>0</v>
      </c>
      <c r="AH75" s="20">
        <v>1.38</v>
      </c>
      <c r="AI75" s="19">
        <v>0</v>
      </c>
      <c r="AJ75" s="20">
        <v>6.9</v>
      </c>
      <c r="AK75" s="19">
        <v>0</v>
      </c>
      <c r="AL75" s="20">
        <v>175440.74</v>
      </c>
      <c r="AM75" s="19">
        <v>0</v>
      </c>
      <c r="AN75" s="20">
        <v>0</v>
      </c>
      <c r="AO75" s="19">
        <v>0</v>
      </c>
      <c r="AP75" s="20">
        <v>28.942</v>
      </c>
      <c r="AQ75" s="19">
        <v>0</v>
      </c>
      <c r="AR75" s="28">
        <v>28.942</v>
      </c>
    </row>
    <row r="76" spans="1:44" ht="12.75" customHeight="1" x14ac:dyDescent="0.25">
      <c r="A76" s="27" t="s">
        <v>1275</v>
      </c>
      <c r="B76" s="14" t="s">
        <v>2393</v>
      </c>
      <c r="C76" s="26" t="s">
        <v>1044</v>
      </c>
      <c r="D76" s="14" t="s">
        <v>1167</v>
      </c>
      <c r="E76" s="1" t="s">
        <v>1545</v>
      </c>
      <c r="F76" s="14"/>
      <c r="G76" s="296"/>
      <c r="H76" s="296">
        <v>538903.25</v>
      </c>
      <c r="I76" s="296"/>
      <c r="J76" s="296"/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23.824999999999999</v>
      </c>
      <c r="Q76" s="19">
        <v>0</v>
      </c>
      <c r="R76" s="19">
        <v>4</v>
      </c>
      <c r="S76" s="19">
        <v>0</v>
      </c>
      <c r="T76" s="19">
        <v>1</v>
      </c>
      <c r="U76" s="19">
        <v>0</v>
      </c>
      <c r="V76" s="19">
        <v>1093</v>
      </c>
      <c r="W76" s="19">
        <v>0</v>
      </c>
      <c r="X76" s="19">
        <v>12.141</v>
      </c>
      <c r="Y76" s="19">
        <v>0</v>
      </c>
      <c r="Z76" s="19">
        <v>97.682000000000002</v>
      </c>
      <c r="AA76" s="19">
        <v>0</v>
      </c>
      <c r="AB76" s="19">
        <v>85541</v>
      </c>
      <c r="AC76" s="19">
        <v>0</v>
      </c>
      <c r="AD76" s="20">
        <v>275584</v>
      </c>
      <c r="AE76" s="19">
        <v>0</v>
      </c>
      <c r="AF76" s="20">
        <v>14.2</v>
      </c>
      <c r="AG76" s="19">
        <v>0</v>
      </c>
      <c r="AH76" s="20">
        <v>0.8</v>
      </c>
      <c r="AI76" s="19">
        <v>0</v>
      </c>
      <c r="AJ76" s="20">
        <v>0.3</v>
      </c>
      <c r="AK76" s="19">
        <v>0</v>
      </c>
      <c r="AL76" s="20">
        <v>395882</v>
      </c>
      <c r="AM76" s="19">
        <v>0</v>
      </c>
      <c r="AN76" s="20">
        <v>0</v>
      </c>
      <c r="AO76" s="19">
        <v>0</v>
      </c>
      <c r="AP76" s="20">
        <v>0</v>
      </c>
      <c r="AQ76" s="19">
        <v>0</v>
      </c>
      <c r="AR76" s="28">
        <v>0</v>
      </c>
    </row>
    <row r="77" spans="1:44" ht="12.75" customHeight="1" x14ac:dyDescent="0.25">
      <c r="A77" s="27" t="s">
        <v>1276</v>
      </c>
      <c r="B77" s="14" t="s">
        <v>2393</v>
      </c>
      <c r="C77" s="26" t="s">
        <v>1030</v>
      </c>
      <c r="D77" s="14" t="s">
        <v>1146</v>
      </c>
      <c r="E77" s="1" t="s">
        <v>1545</v>
      </c>
      <c r="F77" s="14"/>
      <c r="G77" s="296"/>
      <c r="H77" s="296">
        <v>2104997.63</v>
      </c>
      <c r="I77" s="296"/>
      <c r="J77" s="296"/>
      <c r="K77" s="19">
        <v>0</v>
      </c>
      <c r="L77" s="19">
        <v>28.873000000000001</v>
      </c>
      <c r="M77" s="19">
        <v>0</v>
      </c>
      <c r="N77" s="19">
        <v>48.682000000000002</v>
      </c>
      <c r="O77" s="19">
        <v>0</v>
      </c>
      <c r="P77" s="19">
        <v>199.51</v>
      </c>
      <c r="Q77" s="19">
        <v>0</v>
      </c>
      <c r="R77" s="19">
        <v>6</v>
      </c>
      <c r="S77" s="19">
        <v>0</v>
      </c>
      <c r="T77" s="19">
        <v>1</v>
      </c>
      <c r="U77" s="19">
        <v>0</v>
      </c>
      <c r="V77" s="19">
        <v>8514.2000000000007</v>
      </c>
      <c r="W77" s="19">
        <v>0</v>
      </c>
      <c r="X77" s="19">
        <v>274.34300000000002</v>
      </c>
      <c r="Y77" s="19">
        <v>0</v>
      </c>
      <c r="Z77" s="19">
        <v>995.68200000000002</v>
      </c>
      <c r="AA77" s="19">
        <v>0</v>
      </c>
      <c r="AB77" s="19">
        <v>721339</v>
      </c>
      <c r="AC77" s="19">
        <v>0</v>
      </c>
      <c r="AD77" s="20">
        <v>2083827</v>
      </c>
      <c r="AE77" s="19">
        <v>0</v>
      </c>
      <c r="AF77" s="20">
        <v>291.39999999999998</v>
      </c>
      <c r="AG77" s="19">
        <v>0</v>
      </c>
      <c r="AH77" s="20">
        <v>21.08</v>
      </c>
      <c r="AI77" s="19">
        <v>0</v>
      </c>
      <c r="AJ77" s="20">
        <v>49.87</v>
      </c>
      <c r="AK77" s="19">
        <v>0</v>
      </c>
      <c r="AL77" s="20">
        <v>1158658</v>
      </c>
      <c r="AM77" s="19">
        <v>0</v>
      </c>
      <c r="AN77" s="20">
        <v>2.9700000000000001E-2</v>
      </c>
      <c r="AO77" s="19">
        <v>0</v>
      </c>
      <c r="AP77" s="20">
        <v>0.16869999999999999</v>
      </c>
      <c r="AQ77" s="19">
        <v>0</v>
      </c>
      <c r="AR77" s="28">
        <v>0.13900000000000001</v>
      </c>
    </row>
    <row r="78" spans="1:44" ht="12.75" customHeight="1" x14ac:dyDescent="0.25">
      <c r="A78" s="27" t="s">
        <v>1277</v>
      </c>
      <c r="B78" s="14" t="s">
        <v>2393</v>
      </c>
      <c r="C78" s="26" t="s">
        <v>1014</v>
      </c>
      <c r="D78" s="14" t="s">
        <v>1119</v>
      </c>
      <c r="E78" s="1" t="s">
        <v>1545</v>
      </c>
      <c r="F78" s="14"/>
      <c r="G78" s="296"/>
      <c r="H78" s="296">
        <v>862061.28</v>
      </c>
      <c r="I78" s="296"/>
      <c r="J78" s="296"/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191.09800000000001</v>
      </c>
      <c r="Q78" s="19">
        <v>0</v>
      </c>
      <c r="R78" s="19">
        <v>12</v>
      </c>
      <c r="S78" s="19">
        <v>0</v>
      </c>
      <c r="T78" s="19">
        <v>2</v>
      </c>
      <c r="U78" s="19">
        <v>0</v>
      </c>
      <c r="V78" s="19">
        <v>3353.3</v>
      </c>
      <c r="W78" s="19">
        <v>0</v>
      </c>
      <c r="X78" s="19">
        <v>1198.2739999999999</v>
      </c>
      <c r="Y78" s="19">
        <v>0</v>
      </c>
      <c r="Z78" s="19">
        <v>1600.1890000000001</v>
      </c>
      <c r="AA78" s="19">
        <v>0</v>
      </c>
      <c r="AB78" s="19">
        <v>401915</v>
      </c>
      <c r="AC78" s="19">
        <v>0</v>
      </c>
      <c r="AD78" s="20">
        <v>486580</v>
      </c>
      <c r="AE78" s="19">
        <v>0</v>
      </c>
      <c r="AF78" s="20">
        <v>236.5</v>
      </c>
      <c r="AG78" s="19">
        <v>0</v>
      </c>
      <c r="AH78" s="20">
        <v>32.25</v>
      </c>
      <c r="AI78" s="19">
        <v>0</v>
      </c>
      <c r="AJ78" s="20">
        <v>342.4</v>
      </c>
      <c r="AK78" s="19">
        <v>0</v>
      </c>
      <c r="AL78" s="20">
        <v>562681</v>
      </c>
      <c r="AM78" s="19">
        <v>0</v>
      </c>
      <c r="AN78" s="20">
        <v>0</v>
      </c>
      <c r="AO78" s="19">
        <v>0</v>
      </c>
      <c r="AP78" s="20">
        <v>0</v>
      </c>
      <c r="AQ78" s="19">
        <v>0</v>
      </c>
      <c r="AR78" s="28">
        <v>0</v>
      </c>
    </row>
    <row r="79" spans="1:44" ht="12.75" customHeight="1" x14ac:dyDescent="0.25">
      <c r="A79" s="27" t="s">
        <v>1278</v>
      </c>
      <c r="B79" s="14" t="s">
        <v>2393</v>
      </c>
      <c r="C79" s="26" t="s">
        <v>1008</v>
      </c>
      <c r="D79" s="14" t="s">
        <v>1110</v>
      </c>
      <c r="E79" s="1" t="s">
        <v>1545</v>
      </c>
      <c r="F79" s="14"/>
      <c r="G79" s="296"/>
      <c r="H79" s="296">
        <v>236531.12</v>
      </c>
      <c r="I79" s="296"/>
      <c r="J79" s="296"/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2.3099999999999999E-2</v>
      </c>
      <c r="Q79" s="19">
        <v>0</v>
      </c>
      <c r="R79" s="19">
        <v>2</v>
      </c>
      <c r="S79" s="19">
        <v>0</v>
      </c>
      <c r="T79" s="19">
        <v>1</v>
      </c>
      <c r="U79" s="19">
        <v>0</v>
      </c>
      <c r="V79" s="19">
        <v>978.73</v>
      </c>
      <c r="W79" s="19">
        <v>0</v>
      </c>
      <c r="X79" s="19">
        <v>10.365</v>
      </c>
      <c r="Y79" s="19">
        <v>0</v>
      </c>
      <c r="Z79" s="19">
        <v>37.869999999999997</v>
      </c>
      <c r="AA79" s="19">
        <v>0</v>
      </c>
      <c r="AB79" s="19">
        <v>27504.981</v>
      </c>
      <c r="AC79" s="19">
        <v>0</v>
      </c>
      <c r="AD79" s="20">
        <v>100809.19</v>
      </c>
      <c r="AE79" s="19">
        <v>0</v>
      </c>
      <c r="AF79" s="20">
        <v>13.55</v>
      </c>
      <c r="AG79" s="19">
        <v>0</v>
      </c>
      <c r="AH79" s="20">
        <v>0.21</v>
      </c>
      <c r="AI79" s="19">
        <v>0</v>
      </c>
      <c r="AJ79" s="20">
        <v>0.08</v>
      </c>
      <c r="AK79" s="19">
        <v>0</v>
      </c>
      <c r="AL79" s="20">
        <v>124298.71</v>
      </c>
      <c r="AM79" s="19">
        <v>0</v>
      </c>
      <c r="AN79" s="20">
        <v>0</v>
      </c>
      <c r="AO79" s="19">
        <v>0</v>
      </c>
      <c r="AP79" s="20">
        <v>0</v>
      </c>
      <c r="AQ79" s="19">
        <v>0</v>
      </c>
      <c r="AR79" s="28">
        <v>0</v>
      </c>
    </row>
    <row r="80" spans="1:44" ht="12.75" customHeight="1" x14ac:dyDescent="0.25">
      <c r="A80" s="27" t="s">
        <v>1279</v>
      </c>
      <c r="B80" s="14" t="s">
        <v>2393</v>
      </c>
      <c r="C80" s="26" t="s">
        <v>1003</v>
      </c>
      <c r="D80" s="14" t="s">
        <v>1102</v>
      </c>
      <c r="E80" s="1" t="s">
        <v>1545</v>
      </c>
      <c r="F80" s="14"/>
      <c r="G80" s="296"/>
      <c r="H80" s="296">
        <v>730749.92</v>
      </c>
      <c r="I80" s="296"/>
      <c r="J80" s="296"/>
      <c r="K80" s="19">
        <v>0</v>
      </c>
      <c r="L80" s="19">
        <v>0</v>
      </c>
      <c r="M80" s="19">
        <v>0</v>
      </c>
      <c r="N80" s="19">
        <v>57.86</v>
      </c>
      <c r="O80" s="19">
        <v>0</v>
      </c>
      <c r="P80" s="19">
        <v>58.27</v>
      </c>
      <c r="Q80" s="19">
        <v>0</v>
      </c>
      <c r="R80" s="19">
        <v>2</v>
      </c>
      <c r="S80" s="19">
        <v>0</v>
      </c>
      <c r="T80" s="19">
        <v>2</v>
      </c>
      <c r="U80" s="19">
        <v>0</v>
      </c>
      <c r="V80" s="19">
        <v>2389.5</v>
      </c>
      <c r="W80" s="19">
        <v>0</v>
      </c>
      <c r="X80" s="19">
        <v>102.7</v>
      </c>
      <c r="Y80" s="19">
        <v>0</v>
      </c>
      <c r="Z80" s="19">
        <v>321.12</v>
      </c>
      <c r="AA80" s="19">
        <v>0</v>
      </c>
      <c r="AB80" s="19">
        <v>156358</v>
      </c>
      <c r="AC80" s="19">
        <v>0</v>
      </c>
      <c r="AD80" s="20">
        <v>214213</v>
      </c>
      <c r="AE80" s="19">
        <v>0</v>
      </c>
      <c r="AF80" s="20">
        <v>33.89</v>
      </c>
      <c r="AG80" s="19">
        <v>0</v>
      </c>
      <c r="AH80" s="20">
        <v>1.738</v>
      </c>
      <c r="AI80" s="19">
        <v>0</v>
      </c>
      <c r="AJ80" s="20">
        <v>0.20899999999999999</v>
      </c>
      <c r="AK80" s="19">
        <v>0</v>
      </c>
      <c r="AL80" s="20">
        <v>214213</v>
      </c>
      <c r="AM80" s="19">
        <v>0</v>
      </c>
      <c r="AN80" s="20">
        <v>0</v>
      </c>
      <c r="AO80" s="19">
        <v>0</v>
      </c>
      <c r="AP80" s="20">
        <v>7.0000000000000007E-2</v>
      </c>
      <c r="AQ80" s="19">
        <v>0</v>
      </c>
      <c r="AR80" s="28">
        <v>7.0000000000000007E-2</v>
      </c>
    </row>
    <row r="81" spans="1:44" ht="12.75" customHeight="1" x14ac:dyDescent="0.25">
      <c r="A81" s="27" t="s">
        <v>1280</v>
      </c>
      <c r="B81" s="14" t="s">
        <v>2393</v>
      </c>
      <c r="C81" s="26" t="s">
        <v>990</v>
      </c>
      <c r="D81" s="14" t="s">
        <v>1086</v>
      </c>
      <c r="E81" s="1" t="s">
        <v>1545</v>
      </c>
      <c r="F81" s="14"/>
      <c r="G81" s="296"/>
      <c r="H81" s="296">
        <v>260454</v>
      </c>
      <c r="I81" s="296"/>
      <c r="J81" s="296"/>
      <c r="K81" s="19">
        <v>0</v>
      </c>
      <c r="L81" s="19">
        <v>5.0490000000000004</v>
      </c>
      <c r="M81" s="19">
        <v>0</v>
      </c>
      <c r="N81" s="19">
        <v>30.68</v>
      </c>
      <c r="O81" s="19">
        <v>0</v>
      </c>
      <c r="P81" s="19">
        <v>26.893699999999999</v>
      </c>
      <c r="Q81" s="19">
        <v>0</v>
      </c>
      <c r="R81" s="19">
        <v>3</v>
      </c>
      <c r="S81" s="19">
        <v>0</v>
      </c>
      <c r="T81" s="19">
        <v>1</v>
      </c>
      <c r="U81" s="19">
        <v>0</v>
      </c>
      <c r="V81" s="19">
        <v>333.74</v>
      </c>
      <c r="W81" s="19">
        <v>0</v>
      </c>
      <c r="X81" s="19">
        <v>32.880000000000003</v>
      </c>
      <c r="Y81" s="19">
        <v>0</v>
      </c>
      <c r="Z81" s="19">
        <v>96.99</v>
      </c>
      <c r="AA81" s="19">
        <v>0</v>
      </c>
      <c r="AB81" s="19">
        <v>83811</v>
      </c>
      <c r="AC81" s="19">
        <v>0</v>
      </c>
      <c r="AD81" s="20">
        <v>119209</v>
      </c>
      <c r="AE81" s="19">
        <v>0</v>
      </c>
      <c r="AF81" s="20">
        <v>54.1</v>
      </c>
      <c r="AG81" s="19">
        <v>0</v>
      </c>
      <c r="AH81" s="20">
        <v>132</v>
      </c>
      <c r="AI81" s="19">
        <v>0</v>
      </c>
      <c r="AJ81" s="20">
        <v>102.3</v>
      </c>
      <c r="AK81" s="19">
        <v>0</v>
      </c>
      <c r="AL81" s="20">
        <v>129930</v>
      </c>
      <c r="AM81" s="19">
        <v>0</v>
      </c>
      <c r="AN81" s="20">
        <v>5.0000000000000001E-3</v>
      </c>
      <c r="AO81" s="19">
        <v>0</v>
      </c>
      <c r="AP81" s="20">
        <v>1.6E-2</v>
      </c>
      <c r="AQ81" s="19">
        <v>0</v>
      </c>
      <c r="AR81" s="28">
        <v>1.6E-2</v>
      </c>
    </row>
    <row r="82" spans="1:44" ht="12.75" customHeight="1" x14ac:dyDescent="0.25">
      <c r="A82" s="27" t="s">
        <v>1281</v>
      </c>
      <c r="B82" s="14" t="s">
        <v>2393</v>
      </c>
      <c r="C82" s="26" t="s">
        <v>1014</v>
      </c>
      <c r="D82" s="14" t="s">
        <v>1179</v>
      </c>
      <c r="E82" s="1" t="s">
        <v>1545</v>
      </c>
      <c r="F82" s="14"/>
      <c r="G82" s="296"/>
      <c r="H82" s="296">
        <v>1305282.83</v>
      </c>
      <c r="I82" s="296"/>
      <c r="J82" s="296"/>
      <c r="K82" s="19">
        <v>0</v>
      </c>
      <c r="L82" s="19">
        <v>0</v>
      </c>
      <c r="M82" s="19">
        <v>0</v>
      </c>
      <c r="N82" s="19">
        <v>13.016999999999999</v>
      </c>
      <c r="O82" s="19">
        <v>0</v>
      </c>
      <c r="P82" s="19">
        <v>14.037000000000001</v>
      </c>
      <c r="Q82" s="19">
        <v>0</v>
      </c>
      <c r="R82" s="19">
        <v>4</v>
      </c>
      <c r="S82" s="19">
        <v>0</v>
      </c>
      <c r="T82" s="19">
        <v>3</v>
      </c>
      <c r="U82" s="19">
        <v>0</v>
      </c>
      <c r="V82" s="19">
        <v>8754.1</v>
      </c>
      <c r="W82" s="19">
        <v>0</v>
      </c>
      <c r="X82" s="19">
        <v>288.40899999999999</v>
      </c>
      <c r="Y82" s="19">
        <v>0</v>
      </c>
      <c r="Z82" s="19">
        <v>784.90700000000004</v>
      </c>
      <c r="AA82" s="19">
        <v>0</v>
      </c>
      <c r="AB82" s="19">
        <v>496498</v>
      </c>
      <c r="AC82" s="19">
        <v>0</v>
      </c>
      <c r="AD82" s="20">
        <v>986622</v>
      </c>
      <c r="AE82" s="19">
        <v>0</v>
      </c>
      <c r="AF82" s="20">
        <v>23.9</v>
      </c>
      <c r="AG82" s="19">
        <v>0</v>
      </c>
      <c r="AH82" s="20">
        <v>11.4</v>
      </c>
      <c r="AI82" s="19">
        <v>0</v>
      </c>
      <c r="AJ82" s="20">
        <v>460</v>
      </c>
      <c r="AK82" s="19">
        <v>0</v>
      </c>
      <c r="AL82" s="20">
        <v>167572</v>
      </c>
      <c r="AM82" s="19">
        <v>0</v>
      </c>
      <c r="AN82" s="20">
        <v>0</v>
      </c>
      <c r="AO82" s="19">
        <v>0</v>
      </c>
      <c r="AP82" s="20">
        <v>0</v>
      </c>
      <c r="AQ82" s="19">
        <v>0</v>
      </c>
      <c r="AR82" s="28">
        <v>1.55E-2</v>
      </c>
    </row>
    <row r="83" spans="1:44" ht="12.75" customHeight="1" x14ac:dyDescent="0.25">
      <c r="A83" s="27" t="s">
        <v>1282</v>
      </c>
      <c r="B83" s="14" t="s">
        <v>2393</v>
      </c>
      <c r="C83" s="26" t="s">
        <v>1000</v>
      </c>
      <c r="D83" s="14" t="s">
        <v>1099</v>
      </c>
      <c r="E83" s="1" t="s">
        <v>1545</v>
      </c>
      <c r="F83" s="14"/>
      <c r="G83" s="296"/>
      <c r="H83" s="296">
        <v>437969.51</v>
      </c>
      <c r="I83" s="296"/>
      <c r="J83" s="296"/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5.3609999999999998</v>
      </c>
      <c r="Q83" s="19">
        <v>0</v>
      </c>
      <c r="R83" s="19">
        <v>3</v>
      </c>
      <c r="S83" s="19">
        <v>0</v>
      </c>
      <c r="T83" s="19">
        <v>1</v>
      </c>
      <c r="U83" s="19">
        <v>0</v>
      </c>
      <c r="V83" s="19">
        <v>688.92</v>
      </c>
      <c r="W83" s="19">
        <v>0</v>
      </c>
      <c r="X83" s="19">
        <v>13.893000000000001</v>
      </c>
      <c r="Y83" s="19">
        <v>0</v>
      </c>
      <c r="Z83" s="19">
        <v>33.250999999999998</v>
      </c>
      <c r="AA83" s="19">
        <v>0</v>
      </c>
      <c r="AB83" s="19">
        <v>19.358000000000001</v>
      </c>
      <c r="AC83" s="19">
        <v>0</v>
      </c>
      <c r="AD83" s="20">
        <v>81.698999999999998</v>
      </c>
      <c r="AE83" s="19">
        <v>0</v>
      </c>
      <c r="AF83" s="20">
        <v>2.6349</v>
      </c>
      <c r="AG83" s="19">
        <v>0</v>
      </c>
      <c r="AH83" s="20">
        <v>0.12670000000000001</v>
      </c>
      <c r="AI83" s="19">
        <v>0</v>
      </c>
      <c r="AJ83" s="20">
        <v>4.2299999999999997E-2</v>
      </c>
      <c r="AK83" s="19">
        <v>0</v>
      </c>
      <c r="AL83" s="20">
        <v>26.234000000000002</v>
      </c>
      <c r="AM83" s="19">
        <v>0</v>
      </c>
      <c r="AN83" s="20">
        <v>0</v>
      </c>
      <c r="AO83" s="19">
        <v>0</v>
      </c>
      <c r="AP83" s="20">
        <v>0</v>
      </c>
      <c r="AQ83" s="19">
        <v>0</v>
      </c>
      <c r="AR83" s="28">
        <v>0</v>
      </c>
    </row>
    <row r="84" spans="1:44" ht="12.75" customHeight="1" x14ac:dyDescent="0.25">
      <c r="A84" s="27" t="s">
        <v>1283</v>
      </c>
      <c r="B84" s="14" t="s">
        <v>2393</v>
      </c>
      <c r="C84" s="26" t="s">
        <v>1056</v>
      </c>
      <c r="D84" s="14" t="s">
        <v>1186</v>
      </c>
      <c r="E84" s="1" t="s">
        <v>1545</v>
      </c>
      <c r="F84" s="14"/>
      <c r="G84" s="296"/>
      <c r="H84" s="296">
        <v>294097.15000000002</v>
      </c>
      <c r="I84" s="296"/>
      <c r="J84" s="296"/>
      <c r="K84" s="19">
        <v>0</v>
      </c>
      <c r="L84" s="19">
        <v>0</v>
      </c>
      <c r="M84" s="19">
        <v>0</v>
      </c>
      <c r="N84" s="19">
        <v>165.09</v>
      </c>
      <c r="O84" s="19">
        <v>0</v>
      </c>
      <c r="P84" s="19">
        <v>112.04</v>
      </c>
      <c r="Q84" s="19">
        <v>0</v>
      </c>
      <c r="R84" s="19">
        <v>3</v>
      </c>
      <c r="S84" s="19">
        <v>0</v>
      </c>
      <c r="T84" s="19">
        <v>1</v>
      </c>
      <c r="U84" s="19">
        <v>0</v>
      </c>
      <c r="V84" s="19">
        <v>2364.9699999999998</v>
      </c>
      <c r="W84" s="19">
        <v>0</v>
      </c>
      <c r="X84" s="19">
        <v>193.65</v>
      </c>
      <c r="Y84" s="19">
        <v>0</v>
      </c>
      <c r="Z84" s="19">
        <v>382.95</v>
      </c>
      <c r="AA84" s="19">
        <v>0</v>
      </c>
      <c r="AB84" s="19">
        <v>189341</v>
      </c>
      <c r="AC84" s="19">
        <v>0</v>
      </c>
      <c r="AD84" s="20">
        <v>293280</v>
      </c>
      <c r="AE84" s="19">
        <v>0</v>
      </c>
      <c r="AF84" s="20">
        <v>150</v>
      </c>
      <c r="AG84" s="19">
        <v>0</v>
      </c>
      <c r="AH84" s="20">
        <v>49.7</v>
      </c>
      <c r="AI84" s="19">
        <v>0</v>
      </c>
      <c r="AJ84" s="20">
        <v>620</v>
      </c>
      <c r="AK84" s="19">
        <v>0</v>
      </c>
      <c r="AL84" s="20">
        <v>607348</v>
      </c>
      <c r="AM84" s="19">
        <v>0</v>
      </c>
      <c r="AN84" s="20">
        <v>0</v>
      </c>
      <c r="AO84" s="19">
        <v>0</v>
      </c>
      <c r="AP84" s="20">
        <v>0.14000000000000001</v>
      </c>
      <c r="AQ84" s="19">
        <v>0</v>
      </c>
      <c r="AR84" s="28">
        <v>0.14000000000000001</v>
      </c>
    </row>
    <row r="85" spans="1:44" ht="12.75" customHeight="1" x14ac:dyDescent="0.25">
      <c r="A85" s="27" t="s">
        <v>1284</v>
      </c>
      <c r="B85" s="14" t="s">
        <v>2393</v>
      </c>
      <c r="C85" s="26" t="s">
        <v>1025</v>
      </c>
      <c r="D85" s="14" t="s">
        <v>1134</v>
      </c>
      <c r="E85" s="1" t="s">
        <v>1545</v>
      </c>
      <c r="F85" s="14"/>
      <c r="G85" s="296"/>
      <c r="H85" s="296">
        <v>560276.68000000005</v>
      </c>
      <c r="I85" s="296"/>
      <c r="J85" s="296"/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52.81</v>
      </c>
      <c r="Q85" s="19">
        <v>0</v>
      </c>
      <c r="R85" s="19">
        <v>2</v>
      </c>
      <c r="S85" s="19">
        <v>0</v>
      </c>
      <c r="T85" s="19">
        <v>1</v>
      </c>
      <c r="U85" s="19">
        <v>0</v>
      </c>
      <c r="V85" s="19">
        <v>2239.3000000000002</v>
      </c>
      <c r="W85" s="19">
        <v>0</v>
      </c>
      <c r="X85" s="19">
        <v>143</v>
      </c>
      <c r="Y85" s="19">
        <v>0</v>
      </c>
      <c r="Z85" s="19">
        <v>337.05</v>
      </c>
      <c r="AA85" s="19">
        <v>0</v>
      </c>
      <c r="AB85" s="19">
        <v>191831</v>
      </c>
      <c r="AC85" s="19">
        <v>0</v>
      </c>
      <c r="AD85" s="20">
        <v>194248</v>
      </c>
      <c r="AE85" s="19">
        <v>0</v>
      </c>
      <c r="AF85" s="20">
        <v>310</v>
      </c>
      <c r="AG85" s="19">
        <v>0</v>
      </c>
      <c r="AH85" s="20">
        <v>16</v>
      </c>
      <c r="AI85" s="19">
        <v>0</v>
      </c>
      <c r="AJ85" s="20">
        <v>19</v>
      </c>
      <c r="AK85" s="19">
        <v>0</v>
      </c>
      <c r="AL85" s="20">
        <v>260890</v>
      </c>
      <c r="AM85" s="19">
        <v>0</v>
      </c>
      <c r="AN85" s="20">
        <v>0</v>
      </c>
      <c r="AO85" s="19">
        <v>0</v>
      </c>
      <c r="AP85" s="20">
        <v>0</v>
      </c>
      <c r="AQ85" s="19">
        <v>0</v>
      </c>
      <c r="AR85" s="28">
        <v>0</v>
      </c>
    </row>
    <row r="86" spans="1:44" ht="12.75" customHeight="1" x14ac:dyDescent="0.25">
      <c r="A86" s="27" t="s">
        <v>1285</v>
      </c>
      <c r="B86" s="14" t="s">
        <v>2393</v>
      </c>
      <c r="C86" s="26" t="s">
        <v>1018</v>
      </c>
      <c r="D86" s="14" t="s">
        <v>1125</v>
      </c>
      <c r="E86" s="1" t="s">
        <v>1545</v>
      </c>
      <c r="F86" s="14"/>
      <c r="G86" s="296"/>
      <c r="H86" s="296">
        <v>337475.34</v>
      </c>
      <c r="I86" s="296"/>
      <c r="J86" s="296"/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33.409999999999997</v>
      </c>
      <c r="Q86" s="19">
        <v>0</v>
      </c>
      <c r="R86" s="19">
        <v>3</v>
      </c>
      <c r="S86" s="19">
        <v>0</v>
      </c>
      <c r="T86" s="19">
        <v>1</v>
      </c>
      <c r="U86" s="19">
        <v>0</v>
      </c>
      <c r="V86" s="19">
        <v>1302</v>
      </c>
      <c r="W86" s="19">
        <v>0</v>
      </c>
      <c r="X86" s="19">
        <v>32.25</v>
      </c>
      <c r="Y86" s="19">
        <v>0</v>
      </c>
      <c r="Z86" s="19">
        <v>199.27699999999999</v>
      </c>
      <c r="AA86" s="19">
        <v>0</v>
      </c>
      <c r="AB86" s="19">
        <v>167019</v>
      </c>
      <c r="AC86" s="19">
        <v>0</v>
      </c>
      <c r="AD86" s="20">
        <v>167019</v>
      </c>
      <c r="AE86" s="19">
        <v>0</v>
      </c>
      <c r="AF86" s="20">
        <v>42.76</v>
      </c>
      <c r="AG86" s="19">
        <v>0</v>
      </c>
      <c r="AH86" s="20">
        <v>0.95</v>
      </c>
      <c r="AI86" s="19">
        <v>0</v>
      </c>
      <c r="AJ86" s="20">
        <v>3.8</v>
      </c>
      <c r="AK86" s="19">
        <v>0</v>
      </c>
      <c r="AL86" s="20">
        <v>167018.70000000001</v>
      </c>
      <c r="AM86" s="19">
        <v>0</v>
      </c>
      <c r="AN86" s="20">
        <v>0</v>
      </c>
      <c r="AO86" s="19">
        <v>0</v>
      </c>
      <c r="AP86" s="20">
        <v>0</v>
      </c>
      <c r="AQ86" s="19">
        <v>0</v>
      </c>
      <c r="AR86" s="28">
        <v>0</v>
      </c>
    </row>
    <row r="87" spans="1:44" ht="12.75" customHeight="1" x14ac:dyDescent="0.25">
      <c r="A87" s="27" t="s">
        <v>1286</v>
      </c>
      <c r="B87" s="14" t="s">
        <v>2393</v>
      </c>
      <c r="C87" s="26" t="s">
        <v>1428</v>
      </c>
      <c r="D87" s="14" t="s">
        <v>1483</v>
      </c>
      <c r="E87" s="1" t="s">
        <v>1545</v>
      </c>
      <c r="F87" s="14"/>
      <c r="G87" s="296"/>
      <c r="H87" s="296"/>
      <c r="I87" s="296"/>
      <c r="J87" s="296"/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22.28</v>
      </c>
      <c r="Q87" s="19">
        <v>0</v>
      </c>
      <c r="R87" s="19">
        <v>3</v>
      </c>
      <c r="S87" s="19">
        <v>0</v>
      </c>
      <c r="T87" s="19">
        <v>1</v>
      </c>
      <c r="U87" s="19">
        <v>0</v>
      </c>
      <c r="V87" s="19">
        <v>529.20000000000005</v>
      </c>
      <c r="W87" s="19">
        <v>0</v>
      </c>
      <c r="X87" s="19">
        <v>34.07</v>
      </c>
      <c r="Y87" s="19">
        <v>0</v>
      </c>
      <c r="Z87" s="19">
        <v>96.510999999999996</v>
      </c>
      <c r="AA87" s="19">
        <v>0</v>
      </c>
      <c r="AB87" s="19">
        <v>62441</v>
      </c>
      <c r="AC87" s="19">
        <v>0</v>
      </c>
      <c r="AD87" s="20">
        <v>68478.48</v>
      </c>
      <c r="AE87" s="19">
        <v>0</v>
      </c>
      <c r="AF87" s="20">
        <v>13</v>
      </c>
      <c r="AG87" s="19">
        <v>0</v>
      </c>
      <c r="AH87" s="20">
        <v>0.67</v>
      </c>
      <c r="AI87" s="19">
        <v>0</v>
      </c>
      <c r="AJ87" s="20">
        <v>0.06</v>
      </c>
      <c r="AK87" s="19">
        <v>0</v>
      </c>
      <c r="AL87" s="20">
        <v>109491.48</v>
      </c>
      <c r="AM87" s="19">
        <v>0</v>
      </c>
      <c r="AN87" s="20">
        <v>0</v>
      </c>
      <c r="AO87" s="19">
        <v>0</v>
      </c>
      <c r="AP87" s="20">
        <v>8.0000000000000002E-3</v>
      </c>
      <c r="AQ87" s="19">
        <v>0</v>
      </c>
      <c r="AR87" s="28">
        <v>8.0000000000000002E-3</v>
      </c>
    </row>
    <row r="88" spans="1:44" ht="12.75" customHeight="1" x14ac:dyDescent="0.25">
      <c r="A88" s="27" t="s">
        <v>1287</v>
      </c>
      <c r="B88" s="14" t="s">
        <v>2393</v>
      </c>
      <c r="C88" s="26" t="s">
        <v>1428</v>
      </c>
      <c r="D88" s="14" t="s">
        <v>1484</v>
      </c>
      <c r="E88" s="1" t="s">
        <v>1545</v>
      </c>
      <c r="F88" s="14"/>
      <c r="G88" s="296"/>
      <c r="H88" s="296"/>
      <c r="I88" s="296"/>
      <c r="J88" s="296"/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47.27</v>
      </c>
      <c r="Q88" s="19">
        <v>0</v>
      </c>
      <c r="R88" s="19">
        <v>3</v>
      </c>
      <c r="S88" s="19">
        <v>0</v>
      </c>
      <c r="T88" s="19">
        <v>1</v>
      </c>
      <c r="U88" s="19">
        <v>0</v>
      </c>
      <c r="V88" s="19">
        <v>787.9</v>
      </c>
      <c r="W88" s="19">
        <v>0</v>
      </c>
      <c r="X88" s="19">
        <v>48.71</v>
      </c>
      <c r="Y88" s="19">
        <v>0</v>
      </c>
      <c r="Z88" s="19">
        <v>197.2</v>
      </c>
      <c r="AA88" s="19">
        <v>0</v>
      </c>
      <c r="AB88" s="19">
        <v>148490</v>
      </c>
      <c r="AC88" s="19">
        <v>0</v>
      </c>
      <c r="AD88" s="20">
        <v>155610.25</v>
      </c>
      <c r="AE88" s="19">
        <v>0</v>
      </c>
      <c r="AF88" s="20">
        <v>28</v>
      </c>
      <c r="AG88" s="19">
        <v>0</v>
      </c>
      <c r="AH88" s="20">
        <v>1.51</v>
      </c>
      <c r="AI88" s="19">
        <v>0</v>
      </c>
      <c r="AJ88" s="20">
        <v>0.4</v>
      </c>
      <c r="AK88" s="19">
        <v>0</v>
      </c>
      <c r="AL88" s="20">
        <v>237079.11</v>
      </c>
      <c r="AM88" s="19">
        <v>0</v>
      </c>
      <c r="AN88" s="20">
        <v>0</v>
      </c>
      <c r="AO88" s="19">
        <v>0</v>
      </c>
      <c r="AP88" s="20">
        <v>1.6E-2</v>
      </c>
      <c r="AQ88" s="19">
        <v>0</v>
      </c>
      <c r="AR88" s="28">
        <v>1.6E-2</v>
      </c>
    </row>
    <row r="89" spans="1:44" ht="12.75" customHeight="1" x14ac:dyDescent="0.25">
      <c r="A89" s="27" t="s">
        <v>1288</v>
      </c>
      <c r="B89" s="14" t="s">
        <v>2393</v>
      </c>
      <c r="C89" s="26" t="s">
        <v>1429</v>
      </c>
      <c r="D89" s="14" t="s">
        <v>1485</v>
      </c>
      <c r="E89" s="1" t="s">
        <v>1545</v>
      </c>
      <c r="F89" s="14"/>
      <c r="G89" s="296"/>
      <c r="H89" s="296">
        <v>175885.7</v>
      </c>
      <c r="I89" s="296"/>
      <c r="J89" s="296"/>
      <c r="K89" s="19">
        <v>0</v>
      </c>
      <c r="L89" s="19">
        <v>0</v>
      </c>
      <c r="M89" s="19">
        <v>0</v>
      </c>
      <c r="N89" s="19">
        <v>18.45</v>
      </c>
      <c r="O89" s="19">
        <v>0</v>
      </c>
      <c r="P89" s="19">
        <v>21.48</v>
      </c>
      <c r="Q89" s="19">
        <v>0</v>
      </c>
      <c r="R89" s="19">
        <v>3</v>
      </c>
      <c r="S89" s="19">
        <v>0</v>
      </c>
      <c r="T89" s="19">
        <v>1</v>
      </c>
      <c r="U89" s="19">
        <v>0</v>
      </c>
      <c r="V89" s="19">
        <v>651.6</v>
      </c>
      <c r="W89" s="19">
        <v>0</v>
      </c>
      <c r="X89" s="19">
        <v>16.279</v>
      </c>
      <c r="Y89" s="19">
        <v>0</v>
      </c>
      <c r="Z89" s="19">
        <v>96.037000000000006</v>
      </c>
      <c r="AA89" s="19">
        <v>0</v>
      </c>
      <c r="AB89" s="19">
        <v>79758</v>
      </c>
      <c r="AC89" s="19">
        <v>0</v>
      </c>
      <c r="AD89" s="20">
        <v>65518</v>
      </c>
      <c r="AE89" s="19">
        <v>0</v>
      </c>
      <c r="AF89" s="20">
        <v>11</v>
      </c>
      <c r="AG89" s="19">
        <v>0</v>
      </c>
      <c r="AH89" s="20">
        <v>6</v>
      </c>
      <c r="AI89" s="19">
        <v>0</v>
      </c>
      <c r="AJ89" s="20">
        <v>0.8</v>
      </c>
      <c r="AK89" s="19">
        <v>0</v>
      </c>
      <c r="AL89" s="20">
        <v>95648.36</v>
      </c>
      <c r="AM89" s="19">
        <v>0</v>
      </c>
      <c r="AN89" s="20">
        <v>0</v>
      </c>
      <c r="AO89" s="19">
        <v>0</v>
      </c>
      <c r="AP89" s="20">
        <v>3.2000000000000001E-2</v>
      </c>
      <c r="AQ89" s="19">
        <v>0</v>
      </c>
      <c r="AR89" s="28">
        <v>3.2000000000000001E-2</v>
      </c>
    </row>
    <row r="90" spans="1:44" ht="12.75" customHeight="1" x14ac:dyDescent="0.25">
      <c r="A90" s="27" t="s">
        <v>1289</v>
      </c>
      <c r="B90" s="14" t="s">
        <v>2393</v>
      </c>
      <c r="C90" s="26" t="s">
        <v>1041</v>
      </c>
      <c r="D90" s="14" t="s">
        <v>1486</v>
      </c>
      <c r="E90" s="1" t="s">
        <v>1545</v>
      </c>
      <c r="F90" s="14"/>
      <c r="G90" s="296"/>
      <c r="H90" s="296">
        <v>611629.43999999994</v>
      </c>
      <c r="I90" s="296"/>
      <c r="J90" s="296"/>
      <c r="K90" s="19">
        <v>0</v>
      </c>
      <c r="L90" s="19">
        <v>0</v>
      </c>
      <c r="M90" s="19">
        <v>0</v>
      </c>
      <c r="N90" s="19">
        <v>5.407</v>
      </c>
      <c r="O90" s="19">
        <v>0</v>
      </c>
      <c r="P90" s="19">
        <v>32.610500000000002</v>
      </c>
      <c r="Q90" s="19">
        <v>0</v>
      </c>
      <c r="R90" s="19">
        <v>6</v>
      </c>
      <c r="S90" s="19">
        <v>0</v>
      </c>
      <c r="T90" s="19">
        <v>2</v>
      </c>
      <c r="U90" s="19">
        <v>0</v>
      </c>
      <c r="V90" s="19">
        <v>747.49</v>
      </c>
      <c r="W90" s="19">
        <v>0</v>
      </c>
      <c r="X90" s="19">
        <v>31.274000000000001</v>
      </c>
      <c r="Y90" s="19">
        <v>0</v>
      </c>
      <c r="Z90" s="19">
        <v>205.78700000000001</v>
      </c>
      <c r="AA90" s="19">
        <v>0</v>
      </c>
      <c r="AB90" s="19">
        <v>174513</v>
      </c>
      <c r="AC90" s="19">
        <v>0</v>
      </c>
      <c r="AD90" s="20">
        <v>174513</v>
      </c>
      <c r="AE90" s="19">
        <v>0</v>
      </c>
      <c r="AF90" s="20">
        <v>48.81</v>
      </c>
      <c r="AG90" s="19">
        <v>0</v>
      </c>
      <c r="AH90" s="20">
        <v>32714.1</v>
      </c>
      <c r="AI90" s="19">
        <v>0</v>
      </c>
      <c r="AJ90" s="20">
        <v>27</v>
      </c>
      <c r="AK90" s="19">
        <v>0</v>
      </c>
      <c r="AL90" s="20">
        <v>27515.322</v>
      </c>
      <c r="AM90" s="19">
        <v>0</v>
      </c>
      <c r="AN90" s="20">
        <v>0</v>
      </c>
      <c r="AO90" s="19">
        <v>0</v>
      </c>
      <c r="AP90" s="20">
        <v>5.407</v>
      </c>
      <c r="AQ90" s="19">
        <v>0</v>
      </c>
      <c r="AR90" s="28">
        <v>13.409000000000001</v>
      </c>
    </row>
    <row r="91" spans="1:44" ht="12.75" customHeight="1" x14ac:dyDescent="0.25">
      <c r="A91" s="27" t="s">
        <v>1290</v>
      </c>
      <c r="B91" s="14" t="s">
        <v>2393</v>
      </c>
      <c r="C91" s="26" t="s">
        <v>929</v>
      </c>
      <c r="D91" s="14" t="s">
        <v>1162</v>
      </c>
      <c r="E91" s="1" t="s">
        <v>1545</v>
      </c>
      <c r="F91" s="14"/>
      <c r="G91" s="296"/>
      <c r="H91" s="296">
        <v>939395.63</v>
      </c>
      <c r="I91" s="296"/>
      <c r="J91" s="296"/>
      <c r="K91" s="19">
        <v>0</v>
      </c>
      <c r="L91" s="19">
        <v>0</v>
      </c>
      <c r="M91" s="19">
        <v>0</v>
      </c>
      <c r="N91" s="19">
        <v>38.28</v>
      </c>
      <c r="O91" s="19">
        <v>0</v>
      </c>
      <c r="P91" s="19">
        <v>8.35</v>
      </c>
      <c r="Q91" s="19">
        <v>0</v>
      </c>
      <c r="R91" s="19">
        <v>5</v>
      </c>
      <c r="S91" s="19">
        <v>0</v>
      </c>
      <c r="T91" s="19">
        <v>1</v>
      </c>
      <c r="U91" s="19">
        <v>0</v>
      </c>
      <c r="V91" s="19">
        <v>2502.02</v>
      </c>
      <c r="W91" s="19">
        <v>0</v>
      </c>
      <c r="X91" s="19">
        <v>33.14</v>
      </c>
      <c r="Y91" s="19">
        <v>0</v>
      </c>
      <c r="Z91" s="19">
        <v>206.36</v>
      </c>
      <c r="AA91" s="19">
        <v>0</v>
      </c>
      <c r="AB91" s="19">
        <v>173220</v>
      </c>
      <c r="AC91" s="19">
        <v>0</v>
      </c>
      <c r="AD91" s="20">
        <v>485330</v>
      </c>
      <c r="AE91" s="19">
        <v>0</v>
      </c>
      <c r="AF91" s="20">
        <v>27.9</v>
      </c>
      <c r="AG91" s="19">
        <v>0</v>
      </c>
      <c r="AH91" s="20">
        <v>5.08</v>
      </c>
      <c r="AI91" s="19">
        <v>0</v>
      </c>
      <c r="AJ91" s="20">
        <v>25.4</v>
      </c>
      <c r="AK91" s="19">
        <v>0</v>
      </c>
      <c r="AL91" s="20">
        <v>360314.6</v>
      </c>
      <c r="AM91" s="19">
        <v>0</v>
      </c>
      <c r="AN91" s="20">
        <v>0</v>
      </c>
      <c r="AO91" s="19">
        <v>0</v>
      </c>
      <c r="AP91" s="20">
        <v>6.0000000000000001E-3</v>
      </c>
      <c r="AQ91" s="19">
        <v>0</v>
      </c>
      <c r="AR91" s="28">
        <v>6.0000000000000001E-3</v>
      </c>
    </row>
    <row r="92" spans="1:44" ht="12.75" customHeight="1" x14ac:dyDescent="0.25">
      <c r="A92" s="27" t="s">
        <v>1291</v>
      </c>
      <c r="B92" s="14" t="s">
        <v>2393</v>
      </c>
      <c r="C92" s="26" t="s">
        <v>991</v>
      </c>
      <c r="D92" s="14" t="s">
        <v>1088</v>
      </c>
      <c r="E92" s="1" t="s">
        <v>1545</v>
      </c>
      <c r="F92" s="14"/>
      <c r="G92" s="296"/>
      <c r="H92" s="296">
        <v>163796.53</v>
      </c>
      <c r="I92" s="296"/>
      <c r="J92" s="296"/>
      <c r="K92" s="19">
        <v>0</v>
      </c>
      <c r="L92" s="19">
        <v>4</v>
      </c>
      <c r="M92" s="19">
        <v>0</v>
      </c>
      <c r="N92" s="19">
        <v>0</v>
      </c>
      <c r="O92" s="19">
        <v>0</v>
      </c>
      <c r="P92" s="19">
        <v>17.7</v>
      </c>
      <c r="Q92" s="19">
        <v>0</v>
      </c>
      <c r="R92" s="19">
        <v>5</v>
      </c>
      <c r="S92" s="19">
        <v>0</v>
      </c>
      <c r="T92" s="19">
        <v>1</v>
      </c>
      <c r="U92" s="19">
        <v>0</v>
      </c>
      <c r="V92" s="19">
        <v>736</v>
      </c>
      <c r="W92" s="19">
        <v>0</v>
      </c>
      <c r="X92" s="19">
        <v>45.084000000000003</v>
      </c>
      <c r="Y92" s="19">
        <v>0</v>
      </c>
      <c r="Z92" s="19">
        <v>91.768000000000001</v>
      </c>
      <c r="AA92" s="19">
        <v>0</v>
      </c>
      <c r="AB92" s="19">
        <v>46683</v>
      </c>
      <c r="AC92" s="19">
        <v>0</v>
      </c>
      <c r="AD92" s="20">
        <v>46683</v>
      </c>
      <c r="AE92" s="19">
        <v>0</v>
      </c>
      <c r="AF92" s="20">
        <v>49</v>
      </c>
      <c r="AG92" s="19">
        <v>0</v>
      </c>
      <c r="AH92" s="20">
        <v>9</v>
      </c>
      <c r="AI92" s="19">
        <v>0</v>
      </c>
      <c r="AJ92" s="20">
        <v>45</v>
      </c>
      <c r="AK92" s="19">
        <v>0</v>
      </c>
      <c r="AL92" s="20">
        <v>46683</v>
      </c>
      <c r="AM92" s="19">
        <v>0</v>
      </c>
      <c r="AN92" s="20">
        <v>4.0000000000000001E-3</v>
      </c>
      <c r="AO92" s="19">
        <v>0</v>
      </c>
      <c r="AP92" s="20">
        <v>0</v>
      </c>
      <c r="AQ92" s="19">
        <v>0</v>
      </c>
      <c r="AR92" s="28">
        <v>0</v>
      </c>
    </row>
    <row r="93" spans="1:44" ht="12.75" customHeight="1" x14ac:dyDescent="0.25">
      <c r="A93" s="27" t="s">
        <v>1292</v>
      </c>
      <c r="B93" s="14" t="s">
        <v>2393</v>
      </c>
      <c r="C93" s="26" t="s">
        <v>1055</v>
      </c>
      <c r="D93" s="14" t="s">
        <v>1185</v>
      </c>
      <c r="E93" s="1" t="s">
        <v>1545</v>
      </c>
      <c r="F93" s="14"/>
      <c r="G93" s="296"/>
      <c r="H93" s="323">
        <v>378617.09</v>
      </c>
      <c r="I93" s="296"/>
      <c r="J93" s="296"/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35.255600000000001</v>
      </c>
      <c r="Q93" s="19">
        <v>0</v>
      </c>
      <c r="R93" s="19">
        <v>4</v>
      </c>
      <c r="S93" s="19">
        <v>0</v>
      </c>
      <c r="T93" s="19">
        <v>1</v>
      </c>
      <c r="U93" s="19">
        <v>0</v>
      </c>
      <c r="V93" s="19">
        <v>833.5</v>
      </c>
      <c r="W93" s="19">
        <v>0</v>
      </c>
      <c r="X93" s="19">
        <v>53.960999999999999</v>
      </c>
      <c r="Y93" s="19">
        <v>0</v>
      </c>
      <c r="Z93" s="19">
        <v>150.24700000000001</v>
      </c>
      <c r="AA93" s="19">
        <v>0</v>
      </c>
      <c r="AB93" s="19">
        <v>96.286000000000001</v>
      </c>
      <c r="AC93" s="19">
        <v>0</v>
      </c>
      <c r="AD93" s="20">
        <v>152530.5</v>
      </c>
      <c r="AE93" s="19">
        <v>0</v>
      </c>
      <c r="AF93" s="20">
        <v>25.7103</v>
      </c>
      <c r="AG93" s="19">
        <v>0</v>
      </c>
      <c r="AH93" s="20">
        <v>8.3391000000000002</v>
      </c>
      <c r="AI93" s="19">
        <v>0</v>
      </c>
      <c r="AJ93" s="20">
        <v>29.2773</v>
      </c>
      <c r="AK93" s="19">
        <v>0</v>
      </c>
      <c r="AL93" s="20">
        <v>247274.45</v>
      </c>
      <c r="AM93" s="19">
        <v>0</v>
      </c>
      <c r="AN93" s="20">
        <v>0</v>
      </c>
      <c r="AO93" s="19">
        <v>0</v>
      </c>
      <c r="AP93" s="20">
        <v>0</v>
      </c>
      <c r="AQ93" s="19">
        <v>0</v>
      </c>
      <c r="AR93" s="28">
        <v>0</v>
      </c>
    </row>
    <row r="94" spans="1:44" ht="12.75" customHeight="1" x14ac:dyDescent="0.25">
      <c r="A94" s="27" t="s">
        <v>1293</v>
      </c>
      <c r="B94" s="14" t="s">
        <v>2393</v>
      </c>
      <c r="C94" s="26" t="s">
        <v>1061</v>
      </c>
      <c r="D94" s="14" t="s">
        <v>1196</v>
      </c>
      <c r="E94" s="1" t="s">
        <v>1545</v>
      </c>
      <c r="F94" s="14"/>
      <c r="G94" s="296"/>
      <c r="H94" s="296"/>
      <c r="I94" s="296"/>
      <c r="J94" s="296"/>
      <c r="K94" s="19">
        <v>0</v>
      </c>
      <c r="L94" s="19">
        <v>0</v>
      </c>
      <c r="M94" s="19">
        <v>0</v>
      </c>
      <c r="N94" s="19">
        <v>20.018999999999998</v>
      </c>
      <c r="O94" s="19">
        <v>0</v>
      </c>
      <c r="P94" s="19">
        <v>37.25</v>
      </c>
      <c r="Q94" s="19">
        <v>0</v>
      </c>
      <c r="R94" s="19">
        <v>4</v>
      </c>
      <c r="S94" s="19">
        <v>0</v>
      </c>
      <c r="T94" s="19">
        <v>1</v>
      </c>
      <c r="U94" s="19">
        <v>0</v>
      </c>
      <c r="V94" s="19">
        <v>1103.6099999999999</v>
      </c>
      <c r="W94" s="19">
        <v>0</v>
      </c>
      <c r="X94" s="19">
        <v>124.123</v>
      </c>
      <c r="Y94" s="19">
        <v>0</v>
      </c>
      <c r="Z94" s="19">
        <v>179.37180000000001</v>
      </c>
      <c r="AA94" s="19">
        <v>0</v>
      </c>
      <c r="AB94" s="19">
        <v>55248.800000000003</v>
      </c>
      <c r="AC94" s="19">
        <v>0</v>
      </c>
      <c r="AD94" s="20">
        <v>252726.69</v>
      </c>
      <c r="AE94" s="19">
        <v>0</v>
      </c>
      <c r="AF94" s="20">
        <v>0.26900000000000002</v>
      </c>
      <c r="AG94" s="19">
        <v>0</v>
      </c>
      <c r="AH94" s="20">
        <v>17.64</v>
      </c>
      <c r="AI94" s="19">
        <v>0</v>
      </c>
      <c r="AJ94" s="20">
        <v>2.2400000000000002</v>
      </c>
      <c r="AK94" s="19">
        <v>0</v>
      </c>
      <c r="AL94" s="20">
        <v>328897.85220000002</v>
      </c>
      <c r="AM94" s="19">
        <v>0</v>
      </c>
      <c r="AN94" s="20">
        <v>0</v>
      </c>
      <c r="AO94" s="19">
        <v>0</v>
      </c>
      <c r="AP94" s="20">
        <v>0</v>
      </c>
      <c r="AQ94" s="19">
        <v>0</v>
      </c>
      <c r="AR94" s="28">
        <v>0</v>
      </c>
    </row>
    <row r="95" spans="1:44" ht="12.75" customHeight="1" x14ac:dyDescent="0.25">
      <c r="A95" s="27" t="s">
        <v>1294</v>
      </c>
      <c r="B95" s="14" t="s">
        <v>2393</v>
      </c>
      <c r="C95" s="26" t="s">
        <v>1019</v>
      </c>
      <c r="D95" s="14" t="s">
        <v>1126</v>
      </c>
      <c r="E95" s="1" t="s">
        <v>1545</v>
      </c>
      <c r="F95" s="14"/>
      <c r="G95" s="296"/>
      <c r="H95" s="296">
        <v>729904.68</v>
      </c>
      <c r="I95" s="296"/>
      <c r="J95" s="296"/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7.5499999999999998E-2</v>
      </c>
      <c r="Q95" s="19">
        <v>0</v>
      </c>
      <c r="R95" s="19">
        <v>3</v>
      </c>
      <c r="S95" s="19">
        <v>0</v>
      </c>
      <c r="T95" s="19">
        <v>1</v>
      </c>
      <c r="U95" s="19">
        <v>0</v>
      </c>
      <c r="V95" s="19">
        <v>2140.4499999999998</v>
      </c>
      <c r="W95" s="19">
        <v>0</v>
      </c>
      <c r="X95" s="19">
        <v>72.836399999999998</v>
      </c>
      <c r="Y95" s="19">
        <v>0</v>
      </c>
      <c r="Z95" s="19">
        <v>338.774</v>
      </c>
      <c r="AA95" s="19">
        <v>0</v>
      </c>
      <c r="AB95" s="19">
        <v>265937.59000000003</v>
      </c>
      <c r="AC95" s="19">
        <v>0</v>
      </c>
      <c r="AD95" s="20">
        <v>303943.90000000002</v>
      </c>
      <c r="AE95" s="19">
        <v>0</v>
      </c>
      <c r="AF95" s="20">
        <v>55.13</v>
      </c>
      <c r="AG95" s="19">
        <v>0</v>
      </c>
      <c r="AH95" s="20">
        <v>2.52</v>
      </c>
      <c r="AI95" s="19">
        <v>0</v>
      </c>
      <c r="AJ95" s="20">
        <v>11.86</v>
      </c>
      <c r="AK95" s="19">
        <v>0</v>
      </c>
      <c r="AL95" s="20">
        <v>453775.4</v>
      </c>
      <c r="AM95" s="19">
        <v>0</v>
      </c>
      <c r="AN95" s="20">
        <v>0</v>
      </c>
      <c r="AO95" s="19">
        <v>0</v>
      </c>
      <c r="AP95" s="20">
        <v>0</v>
      </c>
      <c r="AQ95" s="19">
        <v>0</v>
      </c>
      <c r="AR95" s="28">
        <v>0</v>
      </c>
    </row>
    <row r="96" spans="1:44" ht="12.75" customHeight="1" x14ac:dyDescent="0.25">
      <c r="A96" s="27" t="s">
        <v>1295</v>
      </c>
      <c r="B96" s="14" t="s">
        <v>2393</v>
      </c>
      <c r="C96" s="26" t="s">
        <v>1026</v>
      </c>
      <c r="D96" s="14" t="s">
        <v>1487</v>
      </c>
      <c r="E96" s="1" t="s">
        <v>1545</v>
      </c>
      <c r="F96" s="14"/>
      <c r="G96" s="296"/>
      <c r="H96" s="323">
        <v>1174832.56</v>
      </c>
      <c r="I96" s="296"/>
      <c r="J96" s="296"/>
      <c r="K96" s="19">
        <v>0</v>
      </c>
      <c r="L96" s="19">
        <v>22.000699999999998</v>
      </c>
      <c r="M96" s="19">
        <v>0</v>
      </c>
      <c r="N96" s="19">
        <v>0</v>
      </c>
      <c r="O96" s="19">
        <v>0</v>
      </c>
      <c r="P96" s="19">
        <v>0.1293</v>
      </c>
      <c r="Q96" s="19">
        <v>0</v>
      </c>
      <c r="R96" s="19">
        <v>4</v>
      </c>
      <c r="S96" s="19">
        <v>0</v>
      </c>
      <c r="T96" s="19">
        <v>1</v>
      </c>
      <c r="U96" s="19">
        <v>0</v>
      </c>
      <c r="V96" s="19">
        <v>2520.13</v>
      </c>
      <c r="W96" s="19">
        <v>0</v>
      </c>
      <c r="X96" s="19">
        <v>59.738999999999997</v>
      </c>
      <c r="Y96" s="19">
        <v>0</v>
      </c>
      <c r="Z96" s="19">
        <v>364.70699999999999</v>
      </c>
      <c r="AA96" s="19">
        <v>0</v>
      </c>
      <c r="AB96" s="19">
        <v>304697.99339999998</v>
      </c>
      <c r="AC96" s="19">
        <v>0</v>
      </c>
      <c r="AD96" s="20">
        <v>481344.83</v>
      </c>
      <c r="AE96" s="19">
        <v>0</v>
      </c>
      <c r="AF96" s="20">
        <v>133.16</v>
      </c>
      <c r="AG96" s="19">
        <v>0</v>
      </c>
      <c r="AH96" s="20">
        <v>12.05</v>
      </c>
      <c r="AI96" s="19">
        <v>0</v>
      </c>
      <c r="AJ96" s="20">
        <v>58.72</v>
      </c>
      <c r="AK96" s="19">
        <v>0</v>
      </c>
      <c r="AL96" s="20">
        <v>774738.36</v>
      </c>
      <c r="AM96" s="19">
        <v>0</v>
      </c>
      <c r="AN96" s="20">
        <v>22.000699999999998</v>
      </c>
      <c r="AO96" s="19">
        <v>0</v>
      </c>
      <c r="AP96" s="20">
        <v>22.000699999999998</v>
      </c>
      <c r="AQ96" s="19">
        <v>0</v>
      </c>
      <c r="AR96" s="28">
        <v>0</v>
      </c>
    </row>
    <row r="97" spans="1:44" ht="12.75" customHeight="1" x14ac:dyDescent="0.25">
      <c r="A97" s="27" t="s">
        <v>1296</v>
      </c>
      <c r="B97" s="14" t="s">
        <v>2393</v>
      </c>
      <c r="C97" s="26" t="s">
        <v>996</v>
      </c>
      <c r="D97" s="14" t="s">
        <v>1094</v>
      </c>
      <c r="E97" s="1" t="s">
        <v>1545</v>
      </c>
      <c r="F97" s="14"/>
      <c r="G97" s="296"/>
      <c r="H97" s="296"/>
      <c r="I97" s="296"/>
      <c r="J97" s="296"/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13.4628</v>
      </c>
      <c r="Q97" s="19">
        <v>0</v>
      </c>
      <c r="R97" s="19">
        <v>5</v>
      </c>
      <c r="S97" s="19">
        <v>0</v>
      </c>
      <c r="T97" s="19">
        <v>1</v>
      </c>
      <c r="U97" s="19">
        <v>0</v>
      </c>
      <c r="V97" s="19">
        <v>1686.34</v>
      </c>
      <c r="W97" s="19">
        <v>0</v>
      </c>
      <c r="X97" s="19">
        <v>94.14</v>
      </c>
      <c r="Y97" s="19">
        <v>0</v>
      </c>
      <c r="Z97" s="19">
        <v>157.42500000000001</v>
      </c>
      <c r="AA97" s="19">
        <v>0</v>
      </c>
      <c r="AB97" s="19">
        <v>63285</v>
      </c>
      <c r="AC97" s="19">
        <v>0</v>
      </c>
      <c r="AD97" s="20">
        <v>103372.64</v>
      </c>
      <c r="AE97" s="19">
        <v>0</v>
      </c>
      <c r="AF97" s="20">
        <v>7.9</v>
      </c>
      <c r="AG97" s="19">
        <v>0</v>
      </c>
      <c r="AH97" s="20">
        <v>0.28699999999999998</v>
      </c>
      <c r="AI97" s="19">
        <v>0</v>
      </c>
      <c r="AJ97" s="20">
        <v>0.05</v>
      </c>
      <c r="AK97" s="19">
        <v>0</v>
      </c>
      <c r="AL97" s="20">
        <v>155143.28</v>
      </c>
      <c r="AM97" s="19">
        <v>0</v>
      </c>
      <c r="AN97" s="20">
        <v>0</v>
      </c>
      <c r="AO97" s="19">
        <v>0</v>
      </c>
      <c r="AP97" s="20">
        <v>6.0000000000000001E-3</v>
      </c>
      <c r="AQ97" s="19">
        <v>0</v>
      </c>
      <c r="AR97" s="28">
        <v>6.0000000000000001E-3</v>
      </c>
    </row>
    <row r="98" spans="1:44" ht="12.75" customHeight="1" x14ac:dyDescent="0.25">
      <c r="A98" s="27" t="s">
        <v>1297</v>
      </c>
      <c r="B98" s="14" t="s">
        <v>2393</v>
      </c>
      <c r="C98" s="26" t="s">
        <v>1016</v>
      </c>
      <c r="D98" s="14" t="s">
        <v>1121</v>
      </c>
      <c r="E98" s="1" t="s">
        <v>1545</v>
      </c>
      <c r="F98" s="14"/>
      <c r="G98" s="296"/>
      <c r="H98" s="296">
        <v>153045.26</v>
      </c>
      <c r="I98" s="296"/>
      <c r="J98" s="296"/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18.341999999999999</v>
      </c>
      <c r="Q98" s="19">
        <v>0</v>
      </c>
      <c r="R98" s="19">
        <v>7</v>
      </c>
      <c r="S98" s="19">
        <v>0</v>
      </c>
      <c r="T98" s="19">
        <v>1</v>
      </c>
      <c r="U98" s="19">
        <v>0</v>
      </c>
      <c r="V98" s="19">
        <v>368.5</v>
      </c>
      <c r="W98" s="19">
        <v>0</v>
      </c>
      <c r="X98" s="19">
        <v>7.907</v>
      </c>
      <c r="Y98" s="19">
        <v>0</v>
      </c>
      <c r="Z98" s="19">
        <v>74.040000000000006</v>
      </c>
      <c r="AA98" s="19">
        <v>0</v>
      </c>
      <c r="AB98" s="19">
        <v>66133</v>
      </c>
      <c r="AC98" s="19">
        <v>0</v>
      </c>
      <c r="AD98" s="20">
        <v>90993.71</v>
      </c>
      <c r="AE98" s="19">
        <v>0</v>
      </c>
      <c r="AF98" s="20">
        <v>11.5</v>
      </c>
      <c r="AG98" s="19">
        <v>0</v>
      </c>
      <c r="AH98" s="20">
        <v>0.53200000000000003</v>
      </c>
      <c r="AI98" s="19">
        <v>0</v>
      </c>
      <c r="AJ98" s="20">
        <v>1.5</v>
      </c>
      <c r="AK98" s="19">
        <v>0</v>
      </c>
      <c r="AL98" s="20">
        <v>126933.6</v>
      </c>
      <c r="AM98" s="19">
        <v>0</v>
      </c>
      <c r="AN98" s="20">
        <v>0</v>
      </c>
      <c r="AO98" s="19">
        <v>0</v>
      </c>
      <c r="AP98" s="20">
        <v>8.9999999999999993E-3</v>
      </c>
      <c r="AQ98" s="19">
        <v>0</v>
      </c>
      <c r="AR98" s="28">
        <v>8.9999999999999993E-3</v>
      </c>
    </row>
    <row r="99" spans="1:44" ht="12.75" customHeight="1" x14ac:dyDescent="0.25">
      <c r="A99" s="27" t="s">
        <v>1298</v>
      </c>
      <c r="B99" s="14" t="s">
        <v>2393</v>
      </c>
      <c r="C99" s="26" t="s">
        <v>980</v>
      </c>
      <c r="D99" s="14" t="s">
        <v>1069</v>
      </c>
      <c r="E99" s="1" t="s">
        <v>1545</v>
      </c>
      <c r="F99" s="14"/>
      <c r="G99" s="296"/>
      <c r="H99" s="296">
        <v>440590.97</v>
      </c>
      <c r="I99" s="296"/>
      <c r="J99" s="296"/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9.7799999999999998E-2</v>
      </c>
      <c r="Q99" s="19">
        <v>0</v>
      </c>
      <c r="R99" s="19">
        <v>3</v>
      </c>
      <c r="S99" s="19">
        <v>0</v>
      </c>
      <c r="T99" s="19">
        <v>1</v>
      </c>
      <c r="U99" s="19">
        <v>0</v>
      </c>
      <c r="V99" s="19">
        <v>1507.96</v>
      </c>
      <c r="W99" s="19">
        <v>0</v>
      </c>
      <c r="X99" s="19">
        <v>195.22890000000001</v>
      </c>
      <c r="Y99" s="19">
        <v>0</v>
      </c>
      <c r="Z99" s="19">
        <v>704.61839999999995</v>
      </c>
      <c r="AA99" s="19">
        <v>0</v>
      </c>
      <c r="AB99" s="19">
        <v>509394.58</v>
      </c>
      <c r="AC99" s="19">
        <v>0</v>
      </c>
      <c r="AD99" s="20">
        <v>257358</v>
      </c>
      <c r="AE99" s="19">
        <v>0</v>
      </c>
      <c r="AF99" s="20">
        <v>92.31</v>
      </c>
      <c r="AG99" s="19">
        <v>0</v>
      </c>
      <c r="AH99" s="20">
        <v>7.12</v>
      </c>
      <c r="AI99" s="19">
        <v>0</v>
      </c>
      <c r="AJ99" s="20">
        <v>34.549999999999997</v>
      </c>
      <c r="AK99" s="19">
        <v>0</v>
      </c>
      <c r="AL99" s="20">
        <v>211510</v>
      </c>
      <c r="AM99" s="19">
        <v>0</v>
      </c>
      <c r="AN99" s="20">
        <v>0</v>
      </c>
      <c r="AO99" s="19">
        <v>0</v>
      </c>
      <c r="AP99" s="20">
        <v>0</v>
      </c>
      <c r="AQ99" s="19">
        <v>0</v>
      </c>
      <c r="AR99" s="28">
        <v>0</v>
      </c>
    </row>
    <row r="100" spans="1:44" ht="12.75" customHeight="1" x14ac:dyDescent="0.25">
      <c r="A100" s="27" t="s">
        <v>1299</v>
      </c>
      <c r="B100" s="14" t="s">
        <v>2393</v>
      </c>
      <c r="C100" s="26" t="s">
        <v>1430</v>
      </c>
      <c r="D100" s="14" t="s">
        <v>1488</v>
      </c>
      <c r="E100" s="1" t="s">
        <v>1545</v>
      </c>
      <c r="F100" s="14"/>
      <c r="G100" s="296"/>
      <c r="H100" s="296"/>
      <c r="I100" s="296"/>
      <c r="J100" s="296"/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0.12509999999999999</v>
      </c>
      <c r="Q100" s="19">
        <v>0</v>
      </c>
      <c r="R100" s="19">
        <v>3</v>
      </c>
      <c r="S100" s="19">
        <v>0</v>
      </c>
      <c r="T100" s="19">
        <v>1</v>
      </c>
      <c r="U100" s="19">
        <v>0</v>
      </c>
      <c r="V100" s="19">
        <v>1281.5999999999999</v>
      </c>
      <c r="W100" s="19">
        <v>0</v>
      </c>
      <c r="X100" s="19">
        <v>35.9</v>
      </c>
      <c r="Y100" s="19">
        <v>0</v>
      </c>
      <c r="Z100" s="19">
        <v>410.40679999999998</v>
      </c>
      <c r="AA100" s="19">
        <v>0</v>
      </c>
      <c r="AB100" s="19">
        <v>302918.97600000002</v>
      </c>
      <c r="AC100" s="19">
        <v>0</v>
      </c>
      <c r="AD100" s="20">
        <v>256281.552</v>
      </c>
      <c r="AE100" s="19">
        <v>0</v>
      </c>
      <c r="AF100" s="20">
        <v>109.96</v>
      </c>
      <c r="AG100" s="19">
        <v>0</v>
      </c>
      <c r="AH100" s="20">
        <v>7.66</v>
      </c>
      <c r="AI100" s="19">
        <v>0</v>
      </c>
      <c r="AJ100" s="20">
        <v>36.94</v>
      </c>
      <c r="AK100" s="19">
        <v>0</v>
      </c>
      <c r="AL100" s="20">
        <v>450674.64</v>
      </c>
      <c r="AM100" s="19">
        <v>0</v>
      </c>
      <c r="AN100" s="20">
        <v>0</v>
      </c>
      <c r="AO100" s="19">
        <v>0</v>
      </c>
      <c r="AP100" s="20">
        <v>3.2500000000000001E-2</v>
      </c>
      <c r="AQ100" s="19">
        <v>0</v>
      </c>
      <c r="AR100" s="28">
        <v>3.2500000000000001E-2</v>
      </c>
    </row>
    <row r="101" spans="1:44" ht="12.75" customHeight="1" x14ac:dyDescent="0.25">
      <c r="A101" s="27" t="s">
        <v>1300</v>
      </c>
      <c r="B101" s="14" t="s">
        <v>2393</v>
      </c>
      <c r="C101" s="26" t="s">
        <v>1431</v>
      </c>
      <c r="D101" s="14" t="s">
        <v>1489</v>
      </c>
      <c r="E101" s="1" t="s">
        <v>1545</v>
      </c>
      <c r="F101" s="14"/>
      <c r="G101" s="296"/>
      <c r="H101" s="296">
        <v>208782.9</v>
      </c>
      <c r="I101" s="296"/>
      <c r="J101" s="296"/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6</v>
      </c>
      <c r="Q101" s="19">
        <v>0</v>
      </c>
      <c r="R101" s="19">
        <v>3</v>
      </c>
      <c r="S101" s="19">
        <v>0</v>
      </c>
      <c r="T101" s="19">
        <v>1</v>
      </c>
      <c r="U101" s="19">
        <v>0</v>
      </c>
      <c r="V101" s="19">
        <v>463</v>
      </c>
      <c r="W101" s="19">
        <v>0</v>
      </c>
      <c r="X101" s="19">
        <v>17</v>
      </c>
      <c r="Y101" s="19">
        <v>0</v>
      </c>
      <c r="Z101" s="19">
        <v>87</v>
      </c>
      <c r="AA101" s="19">
        <v>0</v>
      </c>
      <c r="AB101" s="19">
        <v>70000</v>
      </c>
      <c r="AC101" s="19">
        <v>0</v>
      </c>
      <c r="AD101" s="20">
        <v>78758</v>
      </c>
      <c r="AE101" s="19">
        <v>0</v>
      </c>
      <c r="AF101" s="20">
        <v>15</v>
      </c>
      <c r="AG101" s="19">
        <v>0</v>
      </c>
      <c r="AH101" s="20">
        <v>6</v>
      </c>
      <c r="AI101" s="19">
        <v>0</v>
      </c>
      <c r="AJ101" s="20">
        <v>23</v>
      </c>
      <c r="AK101" s="19">
        <v>0</v>
      </c>
      <c r="AL101" s="20">
        <v>131662</v>
      </c>
      <c r="AM101" s="19">
        <v>0</v>
      </c>
      <c r="AN101" s="20">
        <v>0</v>
      </c>
      <c r="AO101" s="19">
        <v>0</v>
      </c>
      <c r="AP101" s="20">
        <v>0</v>
      </c>
      <c r="AQ101" s="19">
        <v>0</v>
      </c>
      <c r="AR101" s="28">
        <v>0</v>
      </c>
    </row>
    <row r="102" spans="1:44" ht="12.75" customHeight="1" x14ac:dyDescent="0.25">
      <c r="A102" s="27" t="s">
        <v>1301</v>
      </c>
      <c r="B102" s="14" t="s">
        <v>2393</v>
      </c>
      <c r="C102" s="26" t="s">
        <v>1432</v>
      </c>
      <c r="D102" s="14" t="s">
        <v>1490</v>
      </c>
      <c r="E102" s="1" t="s">
        <v>1545</v>
      </c>
      <c r="F102" s="14"/>
      <c r="G102" s="296"/>
      <c r="H102" s="323">
        <v>1145675.03</v>
      </c>
      <c r="I102" s="296"/>
      <c r="J102" s="296"/>
      <c r="K102" s="19">
        <v>0</v>
      </c>
      <c r="L102" s="19">
        <v>0</v>
      </c>
      <c r="M102" s="19">
        <v>0</v>
      </c>
      <c r="N102" s="19">
        <v>69.3</v>
      </c>
      <c r="O102" s="19">
        <v>0</v>
      </c>
      <c r="P102" s="19">
        <v>43.9</v>
      </c>
      <c r="Q102" s="19">
        <v>0</v>
      </c>
      <c r="R102" s="19">
        <v>6</v>
      </c>
      <c r="S102" s="19">
        <v>0</v>
      </c>
      <c r="T102" s="19">
        <v>2</v>
      </c>
      <c r="U102" s="19">
        <v>0</v>
      </c>
      <c r="V102" s="19">
        <v>3333</v>
      </c>
      <c r="W102" s="19">
        <v>0</v>
      </c>
      <c r="X102" s="19">
        <v>175.7</v>
      </c>
      <c r="Y102" s="19">
        <v>0</v>
      </c>
      <c r="Z102" s="19">
        <v>452.4</v>
      </c>
      <c r="AA102" s="19">
        <v>0</v>
      </c>
      <c r="AB102" s="19">
        <v>276700</v>
      </c>
      <c r="AC102" s="19">
        <v>0</v>
      </c>
      <c r="AD102" s="20">
        <v>276700</v>
      </c>
      <c r="AE102" s="19">
        <v>0</v>
      </c>
      <c r="AF102" s="20">
        <v>14.2</v>
      </c>
      <c r="AG102" s="19">
        <v>0</v>
      </c>
      <c r="AH102" s="20">
        <v>0.6</v>
      </c>
      <c r="AI102" s="19">
        <v>0</v>
      </c>
      <c r="AJ102" s="20">
        <v>5.5</v>
      </c>
      <c r="AK102" s="19">
        <v>0</v>
      </c>
      <c r="AL102" s="20">
        <v>592492</v>
      </c>
      <c r="AM102" s="19">
        <v>0</v>
      </c>
      <c r="AN102" s="20">
        <v>0</v>
      </c>
      <c r="AO102" s="19">
        <v>0</v>
      </c>
      <c r="AP102" s="20">
        <v>5.4600000000000003E-2</v>
      </c>
      <c r="AQ102" s="19">
        <v>0</v>
      </c>
      <c r="AR102" s="28">
        <v>5.4600000000000003E-2</v>
      </c>
    </row>
    <row r="103" spans="1:44" ht="12.75" customHeight="1" x14ac:dyDescent="0.25">
      <c r="A103" s="27" t="s">
        <v>1302</v>
      </c>
      <c r="B103" s="14" t="s">
        <v>2393</v>
      </c>
      <c r="C103" s="26" t="s">
        <v>1021</v>
      </c>
      <c r="D103" s="14" t="s">
        <v>1128</v>
      </c>
      <c r="E103" s="1" t="s">
        <v>1545</v>
      </c>
      <c r="F103" s="14"/>
      <c r="G103" s="296"/>
      <c r="H103" s="296">
        <v>834910.82</v>
      </c>
      <c r="I103" s="296"/>
      <c r="J103" s="296"/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70.440399999999997</v>
      </c>
      <c r="Q103" s="19">
        <v>0</v>
      </c>
      <c r="R103" s="19">
        <v>2</v>
      </c>
      <c r="S103" s="19">
        <v>0</v>
      </c>
      <c r="T103" s="19">
        <v>1</v>
      </c>
      <c r="U103" s="19">
        <v>0</v>
      </c>
      <c r="V103" s="19">
        <v>3779.8</v>
      </c>
      <c r="W103" s="19">
        <v>0</v>
      </c>
      <c r="X103" s="19">
        <v>224.1</v>
      </c>
      <c r="Y103" s="19">
        <v>0</v>
      </c>
      <c r="Z103" s="19">
        <v>533.5</v>
      </c>
      <c r="AA103" s="19">
        <v>0</v>
      </c>
      <c r="AB103" s="19">
        <v>309400</v>
      </c>
      <c r="AC103" s="19">
        <v>0</v>
      </c>
      <c r="AD103" s="20">
        <v>655492.91599999997</v>
      </c>
      <c r="AE103" s="19">
        <v>0</v>
      </c>
      <c r="AF103" s="20">
        <v>65.099999999999994</v>
      </c>
      <c r="AG103" s="19">
        <v>0</v>
      </c>
      <c r="AH103" s="20">
        <v>4</v>
      </c>
      <c r="AI103" s="19">
        <v>0</v>
      </c>
      <c r="AJ103" s="20">
        <v>10.5</v>
      </c>
      <c r="AK103" s="19">
        <v>0</v>
      </c>
      <c r="AL103" s="20">
        <v>1136926.0419999999</v>
      </c>
      <c r="AM103" s="19">
        <v>0</v>
      </c>
      <c r="AN103" s="20">
        <v>0</v>
      </c>
      <c r="AO103" s="19">
        <v>0</v>
      </c>
      <c r="AP103" s="20">
        <v>0</v>
      </c>
      <c r="AQ103" s="19">
        <v>0</v>
      </c>
      <c r="AR103" s="28">
        <v>0</v>
      </c>
    </row>
    <row r="104" spans="1:44" ht="12.75" customHeight="1" x14ac:dyDescent="0.25">
      <c r="A104" s="27" t="s">
        <v>1303</v>
      </c>
      <c r="B104" s="14" t="s">
        <v>2393</v>
      </c>
      <c r="C104" s="26" t="s">
        <v>1042</v>
      </c>
      <c r="D104" s="14" t="s">
        <v>1164</v>
      </c>
      <c r="E104" s="1" t="s">
        <v>1545</v>
      </c>
      <c r="F104" s="14"/>
      <c r="G104" s="296"/>
      <c r="H104" s="296">
        <v>126581.96</v>
      </c>
      <c r="I104" s="296"/>
      <c r="J104" s="296"/>
      <c r="K104" s="19">
        <v>0</v>
      </c>
      <c r="L104" s="19">
        <v>0</v>
      </c>
      <c r="M104" s="19">
        <v>0</v>
      </c>
      <c r="N104" s="19">
        <v>6.5780000000000003</v>
      </c>
      <c r="O104" s="19">
        <v>0</v>
      </c>
      <c r="P104" s="19">
        <v>1.0200000000000001E-2</v>
      </c>
      <c r="Q104" s="19">
        <v>0</v>
      </c>
      <c r="R104" s="19">
        <v>3</v>
      </c>
      <c r="S104" s="19">
        <v>0</v>
      </c>
      <c r="T104" s="19">
        <v>1</v>
      </c>
      <c r="U104" s="19">
        <v>0</v>
      </c>
      <c r="V104" s="19">
        <v>223.82</v>
      </c>
      <c r="W104" s="19">
        <v>0</v>
      </c>
      <c r="X104" s="19">
        <v>7.4897999999999998</v>
      </c>
      <c r="Y104" s="19">
        <v>0</v>
      </c>
      <c r="Z104" s="19">
        <v>50.066000000000003</v>
      </c>
      <c r="AA104" s="19">
        <v>0</v>
      </c>
      <c r="AB104" s="19">
        <v>42576.126400000001</v>
      </c>
      <c r="AC104" s="19">
        <v>0</v>
      </c>
      <c r="AD104" s="20">
        <v>85946.880000000005</v>
      </c>
      <c r="AE104" s="19">
        <v>0</v>
      </c>
      <c r="AF104" s="20">
        <v>34.200000000000003</v>
      </c>
      <c r="AG104" s="19">
        <v>0</v>
      </c>
      <c r="AH104" s="20">
        <v>6.23</v>
      </c>
      <c r="AI104" s="19">
        <v>0</v>
      </c>
      <c r="AJ104" s="20">
        <v>31.14</v>
      </c>
      <c r="AK104" s="19">
        <v>0</v>
      </c>
      <c r="AL104" s="20">
        <v>114148.2</v>
      </c>
      <c r="AM104" s="19">
        <v>0</v>
      </c>
      <c r="AN104" s="20">
        <v>0</v>
      </c>
      <c r="AO104" s="19">
        <v>0</v>
      </c>
      <c r="AP104" s="20">
        <v>6.5780000000000003</v>
      </c>
      <c r="AQ104" s="19">
        <v>0</v>
      </c>
      <c r="AR104" s="28">
        <v>0</v>
      </c>
    </row>
    <row r="105" spans="1:44" ht="12.75" customHeight="1" x14ac:dyDescent="0.25">
      <c r="A105" s="27" t="s">
        <v>1304</v>
      </c>
      <c r="B105" s="14" t="s">
        <v>2393</v>
      </c>
      <c r="C105" s="26" t="s">
        <v>1029</v>
      </c>
      <c r="D105" s="14" t="s">
        <v>1145</v>
      </c>
      <c r="E105" s="1" t="s">
        <v>1545</v>
      </c>
      <c r="F105" s="14"/>
      <c r="G105" s="296"/>
      <c r="H105" s="296">
        <v>278202.32</v>
      </c>
      <c r="I105" s="296"/>
      <c r="J105" s="296"/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21.3</v>
      </c>
      <c r="Q105" s="19">
        <v>0</v>
      </c>
      <c r="R105" s="19">
        <v>5</v>
      </c>
      <c r="S105" s="19">
        <v>0</v>
      </c>
      <c r="T105" s="19">
        <v>1</v>
      </c>
      <c r="U105" s="19">
        <v>0</v>
      </c>
      <c r="V105" s="19">
        <v>1190</v>
      </c>
      <c r="W105" s="19">
        <v>0</v>
      </c>
      <c r="X105" s="19">
        <v>34</v>
      </c>
      <c r="Y105" s="19">
        <v>0</v>
      </c>
      <c r="Z105" s="19">
        <v>125.8</v>
      </c>
      <c r="AA105" s="19">
        <v>0</v>
      </c>
      <c r="AB105" s="19">
        <v>79000</v>
      </c>
      <c r="AC105" s="19">
        <v>0</v>
      </c>
      <c r="AD105" s="20">
        <v>76900</v>
      </c>
      <c r="AE105" s="19">
        <v>0</v>
      </c>
      <c r="AF105" s="20">
        <v>5.7</v>
      </c>
      <c r="AG105" s="19">
        <v>0</v>
      </c>
      <c r="AH105" s="20">
        <v>0.4</v>
      </c>
      <c r="AI105" s="19">
        <v>0</v>
      </c>
      <c r="AJ105" s="20">
        <v>7</v>
      </c>
      <c r="AK105" s="19">
        <v>0</v>
      </c>
      <c r="AL105" s="20">
        <v>76900</v>
      </c>
      <c r="AM105" s="19">
        <v>0</v>
      </c>
      <c r="AN105" s="20">
        <v>0</v>
      </c>
      <c r="AO105" s="19">
        <v>0</v>
      </c>
      <c r="AP105" s="20">
        <v>0</v>
      </c>
      <c r="AQ105" s="19">
        <v>0</v>
      </c>
      <c r="AR105" s="28">
        <v>0</v>
      </c>
    </row>
    <row r="106" spans="1:44" ht="12.75" customHeight="1" x14ac:dyDescent="0.25">
      <c r="A106" s="27" t="s">
        <v>1305</v>
      </c>
      <c r="B106" s="14" t="s">
        <v>2393</v>
      </c>
      <c r="C106" s="26" t="s">
        <v>1032</v>
      </c>
      <c r="D106" s="14" t="s">
        <v>1149</v>
      </c>
      <c r="E106" s="1" t="s">
        <v>1545</v>
      </c>
      <c r="F106" s="14"/>
      <c r="G106" s="296"/>
      <c r="H106" s="296">
        <v>339336.87</v>
      </c>
      <c r="I106" s="296"/>
      <c r="J106" s="296"/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7.87</v>
      </c>
      <c r="Q106" s="19">
        <v>0</v>
      </c>
      <c r="R106" s="19">
        <v>3</v>
      </c>
      <c r="S106" s="19">
        <v>0</v>
      </c>
      <c r="T106" s="19">
        <v>1</v>
      </c>
      <c r="U106" s="19">
        <v>0</v>
      </c>
      <c r="V106" s="19">
        <v>1918.88</v>
      </c>
      <c r="W106" s="19">
        <v>0</v>
      </c>
      <c r="X106" s="19">
        <v>27.59</v>
      </c>
      <c r="Y106" s="19">
        <v>0</v>
      </c>
      <c r="Z106" s="19">
        <v>55.91</v>
      </c>
      <c r="AA106" s="19">
        <v>0</v>
      </c>
      <c r="AB106" s="19">
        <v>19585</v>
      </c>
      <c r="AC106" s="19">
        <v>0</v>
      </c>
      <c r="AD106" s="20">
        <v>28329.58</v>
      </c>
      <c r="AE106" s="19">
        <v>0</v>
      </c>
      <c r="AF106" s="20">
        <v>4.109</v>
      </c>
      <c r="AG106" s="19">
        <v>0</v>
      </c>
      <c r="AH106" s="20">
        <v>0</v>
      </c>
      <c r="AI106" s="19">
        <v>0</v>
      </c>
      <c r="AJ106" s="20">
        <v>2.53E-2</v>
      </c>
      <c r="AK106" s="19">
        <v>0</v>
      </c>
      <c r="AL106" s="20">
        <v>40843</v>
      </c>
      <c r="AM106" s="19">
        <v>0</v>
      </c>
      <c r="AN106" s="20">
        <v>0</v>
      </c>
      <c r="AO106" s="19">
        <v>0</v>
      </c>
      <c r="AP106" s="20">
        <v>0</v>
      </c>
      <c r="AQ106" s="19">
        <v>0</v>
      </c>
      <c r="AR106" s="28">
        <v>0</v>
      </c>
    </row>
    <row r="107" spans="1:44" ht="12.75" customHeight="1" x14ac:dyDescent="0.25">
      <c r="A107" s="27" t="s">
        <v>1306</v>
      </c>
      <c r="B107" s="14" t="s">
        <v>2393</v>
      </c>
      <c r="C107" s="26" t="s">
        <v>923</v>
      </c>
      <c r="D107" s="14" t="s">
        <v>1491</v>
      </c>
      <c r="E107" s="1" t="s">
        <v>1545</v>
      </c>
      <c r="F107" s="14"/>
      <c r="G107" s="296"/>
      <c r="H107" s="296">
        <v>957757.53</v>
      </c>
      <c r="I107" s="296"/>
      <c r="J107" s="296"/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77.226600000000005</v>
      </c>
      <c r="Q107" s="19">
        <v>0</v>
      </c>
      <c r="R107" s="19">
        <v>5</v>
      </c>
      <c r="S107" s="19">
        <v>0</v>
      </c>
      <c r="T107" s="19">
        <v>1</v>
      </c>
      <c r="U107" s="19">
        <v>0</v>
      </c>
      <c r="V107" s="19">
        <v>2830.1</v>
      </c>
      <c r="W107" s="19">
        <v>0</v>
      </c>
      <c r="X107" s="19">
        <v>160.89599999999999</v>
      </c>
      <c r="Y107" s="19">
        <v>0</v>
      </c>
      <c r="Z107" s="19">
        <v>439.4538</v>
      </c>
      <c r="AA107" s="19">
        <v>0</v>
      </c>
      <c r="AB107" s="19">
        <v>278557.18</v>
      </c>
      <c r="AC107" s="19">
        <v>0</v>
      </c>
      <c r="AD107" s="20">
        <v>300529.91999999998</v>
      </c>
      <c r="AE107" s="19">
        <v>0</v>
      </c>
      <c r="AF107" s="20">
        <v>44.679000000000002</v>
      </c>
      <c r="AG107" s="19">
        <v>0</v>
      </c>
      <c r="AH107" s="20">
        <v>0</v>
      </c>
      <c r="AI107" s="19">
        <v>0</v>
      </c>
      <c r="AJ107" s="20">
        <v>0.27489999999999998</v>
      </c>
      <c r="AK107" s="19">
        <v>0</v>
      </c>
      <c r="AL107" s="20">
        <v>424379</v>
      </c>
      <c r="AM107" s="19">
        <v>0</v>
      </c>
      <c r="AN107" s="20">
        <v>0</v>
      </c>
      <c r="AO107" s="19">
        <v>0</v>
      </c>
      <c r="AP107" s="20">
        <v>0</v>
      </c>
      <c r="AQ107" s="19">
        <v>0</v>
      </c>
      <c r="AR107" s="28">
        <v>0</v>
      </c>
    </row>
    <row r="108" spans="1:44" ht="12.75" customHeight="1" x14ac:dyDescent="0.25">
      <c r="A108" s="27" t="s">
        <v>1307</v>
      </c>
      <c r="B108" s="14" t="s">
        <v>2393</v>
      </c>
      <c r="C108" s="26" t="s">
        <v>1433</v>
      </c>
      <c r="D108" s="14" t="s">
        <v>1492</v>
      </c>
      <c r="E108" s="1" t="s">
        <v>1545</v>
      </c>
      <c r="F108" s="14"/>
      <c r="G108" s="296"/>
      <c r="H108" s="323">
        <v>853574.59</v>
      </c>
      <c r="I108" s="296"/>
      <c r="J108" s="296"/>
      <c r="K108" s="19">
        <v>0</v>
      </c>
      <c r="L108" s="19">
        <v>0</v>
      </c>
      <c r="M108" s="19">
        <v>0</v>
      </c>
      <c r="N108" s="19">
        <v>121.3</v>
      </c>
      <c r="O108" s="19">
        <v>0</v>
      </c>
      <c r="P108" s="19">
        <v>63.435000000000002</v>
      </c>
      <c r="Q108" s="19">
        <v>0</v>
      </c>
      <c r="R108" s="19">
        <v>2</v>
      </c>
      <c r="S108" s="19">
        <v>0</v>
      </c>
      <c r="T108" s="19">
        <v>1</v>
      </c>
      <c r="U108" s="19">
        <v>0</v>
      </c>
      <c r="V108" s="19">
        <v>3954.6</v>
      </c>
      <c r="W108" s="19">
        <v>0</v>
      </c>
      <c r="X108" s="19">
        <v>67.5</v>
      </c>
      <c r="Y108" s="19">
        <v>0</v>
      </c>
      <c r="Z108" s="19">
        <v>316.7</v>
      </c>
      <c r="AA108" s="19">
        <v>0</v>
      </c>
      <c r="AB108" s="19">
        <v>249200</v>
      </c>
      <c r="AC108" s="19">
        <v>0</v>
      </c>
      <c r="AD108" s="20">
        <v>193379.94</v>
      </c>
      <c r="AE108" s="19">
        <v>0</v>
      </c>
      <c r="AF108" s="20">
        <v>40268</v>
      </c>
      <c r="AG108" s="19">
        <v>0</v>
      </c>
      <c r="AH108" s="20">
        <v>7163</v>
      </c>
      <c r="AI108" s="19">
        <v>0</v>
      </c>
      <c r="AJ108" s="20">
        <v>22055</v>
      </c>
      <c r="AK108" s="19">
        <v>0</v>
      </c>
      <c r="AL108" s="20">
        <v>335745.54</v>
      </c>
      <c r="AM108" s="19">
        <v>0</v>
      </c>
      <c r="AN108" s="20">
        <v>0</v>
      </c>
      <c r="AO108" s="19">
        <v>0</v>
      </c>
      <c r="AP108" s="20">
        <v>7.7499999999999999E-2</v>
      </c>
      <c r="AQ108" s="19">
        <v>0</v>
      </c>
      <c r="AR108" s="28">
        <v>7.7499999999999999E-2</v>
      </c>
    </row>
    <row r="109" spans="1:44" ht="12.75" customHeight="1" x14ac:dyDescent="0.25">
      <c r="A109" s="27" t="s">
        <v>1308</v>
      </c>
      <c r="B109" s="14" t="s">
        <v>2393</v>
      </c>
      <c r="C109" s="26" t="s">
        <v>1039</v>
      </c>
      <c r="D109" s="14" t="s">
        <v>1159</v>
      </c>
      <c r="E109" s="1" t="s">
        <v>1545</v>
      </c>
      <c r="F109" s="14"/>
      <c r="G109" s="296"/>
      <c r="H109" s="296"/>
      <c r="I109" s="296"/>
      <c r="J109" s="296"/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21.45</v>
      </c>
      <c r="Q109" s="19">
        <v>0</v>
      </c>
      <c r="R109" s="19">
        <v>1</v>
      </c>
      <c r="S109" s="19">
        <v>0</v>
      </c>
      <c r="T109" s="19">
        <v>1</v>
      </c>
      <c r="U109" s="19">
        <v>0</v>
      </c>
      <c r="V109" s="19">
        <v>2486.39</v>
      </c>
      <c r="W109" s="19">
        <v>0</v>
      </c>
      <c r="X109" s="19">
        <v>134.04599999999999</v>
      </c>
      <c r="Y109" s="19">
        <v>0</v>
      </c>
      <c r="Z109" s="19">
        <v>237.22900000000001</v>
      </c>
      <c r="AA109" s="19">
        <v>0</v>
      </c>
      <c r="AB109" s="19">
        <v>103183</v>
      </c>
      <c r="AC109" s="19">
        <v>0</v>
      </c>
      <c r="AD109" s="20">
        <v>391613</v>
      </c>
      <c r="AE109" s="19">
        <v>0</v>
      </c>
      <c r="AF109" s="20">
        <v>40.960999999999999</v>
      </c>
      <c r="AG109" s="19">
        <v>0</v>
      </c>
      <c r="AH109" s="20">
        <v>2.1429999999999998</v>
      </c>
      <c r="AI109" s="19">
        <v>0</v>
      </c>
      <c r="AJ109" s="20">
        <v>1.4850000000000001</v>
      </c>
      <c r="AK109" s="19">
        <v>0</v>
      </c>
      <c r="AL109" s="20">
        <v>746908</v>
      </c>
      <c r="AM109" s="19">
        <v>0</v>
      </c>
      <c r="AN109" s="20">
        <v>0</v>
      </c>
      <c r="AO109" s="19">
        <v>0</v>
      </c>
      <c r="AP109" s="20">
        <v>0</v>
      </c>
      <c r="AQ109" s="19">
        <v>0</v>
      </c>
      <c r="AR109" s="28">
        <v>0</v>
      </c>
    </row>
    <row r="110" spans="1:44" ht="12.75" customHeight="1" x14ac:dyDescent="0.25">
      <c r="A110" s="27" t="s">
        <v>1309</v>
      </c>
      <c r="B110" s="14" t="s">
        <v>2393</v>
      </c>
      <c r="C110" s="26" t="s">
        <v>1002</v>
      </c>
      <c r="D110" s="14" t="s">
        <v>1101</v>
      </c>
      <c r="E110" s="1" t="s">
        <v>1545</v>
      </c>
      <c r="F110" s="14"/>
      <c r="G110" s="296"/>
      <c r="H110" s="296">
        <v>569439.06000000006</v>
      </c>
      <c r="I110" s="296"/>
      <c r="J110" s="296"/>
      <c r="K110" s="19">
        <v>0</v>
      </c>
      <c r="L110" s="19">
        <v>0</v>
      </c>
      <c r="M110" s="19">
        <v>0</v>
      </c>
      <c r="N110" s="19">
        <v>5.718</v>
      </c>
      <c r="O110" s="19">
        <v>0</v>
      </c>
      <c r="P110" s="19">
        <v>3.7919999999999998</v>
      </c>
      <c r="Q110" s="19">
        <v>0</v>
      </c>
      <c r="R110" s="19">
        <v>7</v>
      </c>
      <c r="S110" s="19">
        <v>0</v>
      </c>
      <c r="T110" s="19">
        <v>1</v>
      </c>
      <c r="U110" s="19">
        <v>0</v>
      </c>
      <c r="V110" s="19">
        <v>1586.41</v>
      </c>
      <c r="W110" s="19">
        <v>0</v>
      </c>
      <c r="X110" s="19">
        <v>39.119999999999997</v>
      </c>
      <c r="Y110" s="19">
        <v>0</v>
      </c>
      <c r="Z110" s="19">
        <v>256.36</v>
      </c>
      <c r="AA110" s="19">
        <v>0</v>
      </c>
      <c r="AB110" s="19">
        <v>217240</v>
      </c>
      <c r="AC110" s="19">
        <v>0</v>
      </c>
      <c r="AD110" s="20">
        <v>233366</v>
      </c>
      <c r="AE110" s="19">
        <v>0</v>
      </c>
      <c r="AF110" s="20">
        <v>56</v>
      </c>
      <c r="AG110" s="19">
        <v>0</v>
      </c>
      <c r="AH110" s="20">
        <v>0.7</v>
      </c>
      <c r="AI110" s="19">
        <v>0</v>
      </c>
      <c r="AJ110" s="20">
        <v>6</v>
      </c>
      <c r="AK110" s="19">
        <v>0</v>
      </c>
      <c r="AL110" s="20">
        <v>345488.37</v>
      </c>
      <c r="AM110" s="19">
        <v>0</v>
      </c>
      <c r="AN110" s="20">
        <v>0</v>
      </c>
      <c r="AO110" s="19">
        <v>0</v>
      </c>
      <c r="AP110" s="20">
        <v>5.0000000000000001E-3</v>
      </c>
      <c r="AQ110" s="19">
        <v>0</v>
      </c>
      <c r="AR110" s="28">
        <v>5.0000000000000001E-3</v>
      </c>
    </row>
    <row r="111" spans="1:44" ht="12.75" customHeight="1" x14ac:dyDescent="0.25">
      <c r="A111" s="27" t="s">
        <v>1310</v>
      </c>
      <c r="B111" s="14" t="s">
        <v>2393</v>
      </c>
      <c r="C111" s="26" t="s">
        <v>1045</v>
      </c>
      <c r="D111" s="14" t="s">
        <v>1168</v>
      </c>
      <c r="E111" s="1" t="s">
        <v>1545</v>
      </c>
      <c r="F111" s="14"/>
      <c r="G111" s="296"/>
      <c r="H111" s="296">
        <v>260031.34</v>
      </c>
      <c r="I111" s="296"/>
      <c r="J111" s="296"/>
      <c r="K111" s="19">
        <v>0</v>
      </c>
      <c r="L111" s="19">
        <v>0</v>
      </c>
      <c r="M111" s="19">
        <v>0</v>
      </c>
      <c r="N111" s="19">
        <v>10.34</v>
      </c>
      <c r="O111" s="19">
        <v>0</v>
      </c>
      <c r="P111" s="19">
        <v>16.62</v>
      </c>
      <c r="Q111" s="19">
        <v>0</v>
      </c>
      <c r="R111" s="19">
        <v>3</v>
      </c>
      <c r="S111" s="19">
        <v>0</v>
      </c>
      <c r="T111" s="19">
        <v>1</v>
      </c>
      <c r="U111" s="19">
        <v>0</v>
      </c>
      <c r="V111" s="19">
        <v>587.5</v>
      </c>
      <c r="W111" s="19">
        <v>0</v>
      </c>
      <c r="X111" s="19">
        <v>19.63</v>
      </c>
      <c r="Y111" s="19">
        <v>0</v>
      </c>
      <c r="Z111" s="19">
        <v>95.8</v>
      </c>
      <c r="AA111" s="19">
        <v>0</v>
      </c>
      <c r="AB111" s="19">
        <v>76167</v>
      </c>
      <c r="AC111" s="19">
        <v>0</v>
      </c>
      <c r="AD111" s="20">
        <v>156602</v>
      </c>
      <c r="AE111" s="19">
        <v>0</v>
      </c>
      <c r="AF111" s="20">
        <v>5</v>
      </c>
      <c r="AG111" s="19">
        <v>0</v>
      </c>
      <c r="AH111" s="20">
        <v>0</v>
      </c>
      <c r="AI111" s="19">
        <v>0</v>
      </c>
      <c r="AJ111" s="20">
        <v>0</v>
      </c>
      <c r="AK111" s="19">
        <v>0</v>
      </c>
      <c r="AL111" s="20">
        <v>89341</v>
      </c>
      <c r="AM111" s="19">
        <v>0</v>
      </c>
      <c r="AN111" s="20">
        <v>0</v>
      </c>
      <c r="AO111" s="19">
        <v>0</v>
      </c>
      <c r="AP111" s="20">
        <v>8.0000000000000002E-3</v>
      </c>
      <c r="AQ111" s="19">
        <v>0</v>
      </c>
      <c r="AR111" s="28">
        <v>8.0000000000000002E-3</v>
      </c>
    </row>
    <row r="112" spans="1:44" ht="12.75" customHeight="1" x14ac:dyDescent="0.25">
      <c r="A112" s="27" t="s">
        <v>1311</v>
      </c>
      <c r="B112" s="14" t="s">
        <v>2393</v>
      </c>
      <c r="C112" s="26" t="s">
        <v>1013</v>
      </c>
      <c r="D112" s="14" t="s">
        <v>1115</v>
      </c>
      <c r="E112" s="1" t="s">
        <v>1545</v>
      </c>
      <c r="F112" s="14"/>
      <c r="G112" s="296"/>
      <c r="H112" s="296">
        <v>375228.99</v>
      </c>
      <c r="I112" s="296"/>
      <c r="J112" s="296"/>
      <c r="K112" s="19">
        <v>0</v>
      </c>
      <c r="L112" s="19">
        <v>0</v>
      </c>
      <c r="M112" s="19">
        <v>0</v>
      </c>
      <c r="N112" s="19">
        <v>25.338000000000001</v>
      </c>
      <c r="O112" s="19">
        <v>0</v>
      </c>
      <c r="P112" s="19">
        <v>5.3179999999999996</v>
      </c>
      <c r="Q112" s="19">
        <v>0</v>
      </c>
      <c r="R112" s="19">
        <v>3</v>
      </c>
      <c r="S112" s="19">
        <v>0</v>
      </c>
      <c r="T112" s="19">
        <v>1</v>
      </c>
      <c r="U112" s="19">
        <v>0</v>
      </c>
      <c r="V112" s="19">
        <v>725.02</v>
      </c>
      <c r="W112" s="19">
        <v>0</v>
      </c>
      <c r="X112" s="19">
        <v>12.75</v>
      </c>
      <c r="Y112" s="19">
        <v>0</v>
      </c>
      <c r="Z112" s="19">
        <v>31.638999999999999</v>
      </c>
      <c r="AA112" s="19">
        <v>0</v>
      </c>
      <c r="AB112" s="19">
        <v>18889</v>
      </c>
      <c r="AC112" s="19">
        <v>0</v>
      </c>
      <c r="AD112" s="20">
        <v>54554.54</v>
      </c>
      <c r="AE112" s="19">
        <v>0</v>
      </c>
      <c r="AF112" s="20">
        <v>12.07</v>
      </c>
      <c r="AG112" s="19">
        <v>0</v>
      </c>
      <c r="AH112" s="20">
        <v>0</v>
      </c>
      <c r="AI112" s="19">
        <v>0</v>
      </c>
      <c r="AJ112" s="20">
        <v>9.14</v>
      </c>
      <c r="AK112" s="19">
        <v>0</v>
      </c>
      <c r="AL112" s="20">
        <v>119849.59</v>
      </c>
      <c r="AM112" s="19">
        <v>0</v>
      </c>
      <c r="AN112" s="20">
        <v>0</v>
      </c>
      <c r="AO112" s="19">
        <v>0</v>
      </c>
      <c r="AP112" s="20">
        <v>2.8000000000000001E-2</v>
      </c>
      <c r="AQ112" s="19">
        <v>0</v>
      </c>
      <c r="AR112" s="28">
        <v>2.8000000000000001E-2</v>
      </c>
    </row>
    <row r="113" spans="1:44" ht="12.75" customHeight="1" x14ac:dyDescent="0.25">
      <c r="A113" s="27" t="s">
        <v>1312</v>
      </c>
      <c r="B113" s="14" t="s">
        <v>2393</v>
      </c>
      <c r="C113" s="26" t="s">
        <v>1050</v>
      </c>
      <c r="D113" s="14" t="s">
        <v>1175</v>
      </c>
      <c r="E113" s="1" t="s">
        <v>1545</v>
      </c>
      <c r="F113" s="14"/>
      <c r="G113" s="296"/>
      <c r="H113" s="296">
        <v>404923.07</v>
      </c>
      <c r="I113" s="296"/>
      <c r="J113" s="296"/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15.709</v>
      </c>
      <c r="Q113" s="19">
        <v>0</v>
      </c>
      <c r="R113" s="19">
        <v>3</v>
      </c>
      <c r="S113" s="19">
        <v>0</v>
      </c>
      <c r="T113" s="19">
        <v>1</v>
      </c>
      <c r="U113" s="19">
        <v>0</v>
      </c>
      <c r="V113" s="19">
        <v>0</v>
      </c>
      <c r="W113" s="19">
        <v>0</v>
      </c>
      <c r="X113" s="19">
        <v>152.69999999999999</v>
      </c>
      <c r="Y113" s="19">
        <v>0</v>
      </c>
      <c r="Z113" s="19">
        <v>458.1</v>
      </c>
      <c r="AA113" s="19">
        <v>0</v>
      </c>
      <c r="AB113" s="19">
        <v>303084.05</v>
      </c>
      <c r="AC113" s="19">
        <v>0</v>
      </c>
      <c r="AD113" s="20">
        <v>303084.05</v>
      </c>
      <c r="AE113" s="19">
        <v>0</v>
      </c>
      <c r="AF113" s="20">
        <v>94</v>
      </c>
      <c r="AG113" s="19">
        <v>0</v>
      </c>
      <c r="AH113" s="20">
        <v>9</v>
      </c>
      <c r="AI113" s="19">
        <v>0</v>
      </c>
      <c r="AJ113" s="20">
        <v>20</v>
      </c>
      <c r="AK113" s="19">
        <v>0</v>
      </c>
      <c r="AL113" s="20">
        <v>159189.75</v>
      </c>
      <c r="AM113" s="19">
        <v>0</v>
      </c>
      <c r="AN113" s="20">
        <v>0</v>
      </c>
      <c r="AO113" s="19">
        <v>0</v>
      </c>
      <c r="AP113" s="20">
        <v>0</v>
      </c>
      <c r="AQ113" s="19">
        <v>0</v>
      </c>
      <c r="AR113" s="28">
        <v>0</v>
      </c>
    </row>
    <row r="114" spans="1:44" ht="12.75" customHeight="1" x14ac:dyDescent="0.25">
      <c r="A114" s="27" t="s">
        <v>1313</v>
      </c>
      <c r="B114" s="14" t="s">
        <v>2393</v>
      </c>
      <c r="C114" s="26" t="s">
        <v>1434</v>
      </c>
      <c r="D114" s="14" t="s">
        <v>1493</v>
      </c>
      <c r="E114" s="1" t="s">
        <v>1545</v>
      </c>
      <c r="F114" s="14"/>
      <c r="G114" s="296"/>
      <c r="H114" s="323">
        <v>243703.04000000001</v>
      </c>
      <c r="I114" s="296"/>
      <c r="J114" s="296"/>
      <c r="K114" s="19">
        <v>0</v>
      </c>
      <c r="L114" s="19">
        <v>0</v>
      </c>
      <c r="M114" s="19">
        <v>0</v>
      </c>
      <c r="N114" s="19">
        <v>2.7734000000000001</v>
      </c>
      <c r="O114" s="19">
        <v>0</v>
      </c>
      <c r="P114" s="19">
        <v>4.1999999999999997E-3</v>
      </c>
      <c r="Q114" s="19">
        <v>0</v>
      </c>
      <c r="R114" s="19">
        <v>3</v>
      </c>
      <c r="S114" s="19">
        <v>0</v>
      </c>
      <c r="T114" s="19">
        <v>1</v>
      </c>
      <c r="U114" s="19">
        <v>0</v>
      </c>
      <c r="V114" s="19">
        <v>602.91999999999996</v>
      </c>
      <c r="W114" s="19">
        <v>0</v>
      </c>
      <c r="X114" s="19">
        <v>17.335100000000001</v>
      </c>
      <c r="Y114" s="19">
        <v>0</v>
      </c>
      <c r="Z114" s="19">
        <v>115.877</v>
      </c>
      <c r="AA114" s="19">
        <v>0</v>
      </c>
      <c r="AB114" s="19">
        <v>98541.800799999997</v>
      </c>
      <c r="AC114" s="19">
        <v>0</v>
      </c>
      <c r="AD114" s="20">
        <v>101290.56</v>
      </c>
      <c r="AE114" s="19">
        <v>0</v>
      </c>
      <c r="AF114" s="20">
        <v>7.93</v>
      </c>
      <c r="AG114" s="19">
        <v>0</v>
      </c>
      <c r="AH114" s="20">
        <v>2.83</v>
      </c>
      <c r="AI114" s="19">
        <v>0</v>
      </c>
      <c r="AJ114" s="20">
        <v>6.95</v>
      </c>
      <c r="AK114" s="19">
        <v>0</v>
      </c>
      <c r="AL114" s="20">
        <v>40395.64</v>
      </c>
      <c r="AM114" s="19">
        <v>0</v>
      </c>
      <c r="AN114" s="20">
        <v>0</v>
      </c>
      <c r="AO114" s="19">
        <v>0</v>
      </c>
      <c r="AP114" s="20">
        <v>2.7734000000000001</v>
      </c>
      <c r="AQ114" s="19">
        <v>0</v>
      </c>
      <c r="AR114" s="28">
        <v>0</v>
      </c>
    </row>
    <row r="115" spans="1:44" ht="12.75" customHeight="1" x14ac:dyDescent="0.25">
      <c r="A115" s="27" t="s">
        <v>1314</v>
      </c>
      <c r="B115" s="14" t="s">
        <v>2393</v>
      </c>
      <c r="C115" s="26" t="s">
        <v>1435</v>
      </c>
      <c r="D115" s="14" t="s">
        <v>1494</v>
      </c>
      <c r="E115" s="1" t="s">
        <v>1545</v>
      </c>
      <c r="F115" s="14"/>
      <c r="G115" s="296"/>
      <c r="H115" s="323">
        <v>400940.44</v>
      </c>
      <c r="I115" s="296"/>
      <c r="J115" s="296"/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67.266999999999996</v>
      </c>
      <c r="Q115" s="19">
        <v>0</v>
      </c>
      <c r="R115" s="19">
        <v>2</v>
      </c>
      <c r="S115" s="19">
        <v>0</v>
      </c>
      <c r="T115" s="19">
        <v>1</v>
      </c>
      <c r="U115" s="19">
        <v>0</v>
      </c>
      <c r="V115" s="19">
        <v>1489</v>
      </c>
      <c r="W115" s="19">
        <v>0</v>
      </c>
      <c r="X115" s="19">
        <v>83.3</v>
      </c>
      <c r="Y115" s="19">
        <v>0</v>
      </c>
      <c r="Z115" s="19">
        <v>325.95</v>
      </c>
      <c r="AA115" s="19">
        <v>0</v>
      </c>
      <c r="AB115" s="19">
        <v>242.7</v>
      </c>
      <c r="AC115" s="19">
        <v>0</v>
      </c>
      <c r="AD115" s="20">
        <v>242684.79999999999</v>
      </c>
      <c r="AE115" s="19">
        <v>0</v>
      </c>
      <c r="AF115" s="20">
        <v>0.11700000000000001</v>
      </c>
      <c r="AG115" s="19">
        <v>0</v>
      </c>
      <c r="AH115" s="20">
        <v>0</v>
      </c>
      <c r="AI115" s="19">
        <v>0</v>
      </c>
      <c r="AJ115" s="20">
        <v>2E-3</v>
      </c>
      <c r="AK115" s="19">
        <v>0</v>
      </c>
      <c r="AL115" s="20">
        <v>242685</v>
      </c>
      <c r="AM115" s="19">
        <v>0</v>
      </c>
      <c r="AN115" s="20">
        <v>0</v>
      </c>
      <c r="AO115" s="19">
        <v>0</v>
      </c>
      <c r="AP115" s="20">
        <v>0</v>
      </c>
      <c r="AQ115" s="19">
        <v>0</v>
      </c>
      <c r="AR115" s="28">
        <v>0</v>
      </c>
    </row>
    <row r="116" spans="1:44" ht="12.75" customHeight="1" x14ac:dyDescent="0.25">
      <c r="A116" s="27" t="s">
        <v>1315</v>
      </c>
      <c r="B116" s="14" t="s">
        <v>2393</v>
      </c>
      <c r="C116" s="26" t="s">
        <v>1011</v>
      </c>
      <c r="D116" s="14" t="s">
        <v>1113</v>
      </c>
      <c r="E116" s="1" t="s">
        <v>1545</v>
      </c>
      <c r="F116" s="14"/>
      <c r="G116" s="296"/>
      <c r="H116" s="296">
        <v>974027.92</v>
      </c>
      <c r="I116" s="296"/>
      <c r="J116" s="296"/>
      <c r="K116" s="19">
        <v>0</v>
      </c>
      <c r="L116" s="19">
        <v>0</v>
      </c>
      <c r="M116" s="19">
        <v>0</v>
      </c>
      <c r="N116" s="19">
        <v>37.771900000000002</v>
      </c>
      <c r="O116" s="19">
        <v>0</v>
      </c>
      <c r="P116" s="19">
        <v>3.2500000000000001E-2</v>
      </c>
      <c r="Q116" s="19">
        <v>0</v>
      </c>
      <c r="R116" s="19">
        <v>3</v>
      </c>
      <c r="S116" s="19">
        <v>0</v>
      </c>
      <c r="T116" s="19">
        <v>1</v>
      </c>
      <c r="U116" s="19">
        <v>0</v>
      </c>
      <c r="V116" s="19">
        <v>2098.44</v>
      </c>
      <c r="W116" s="19">
        <v>0</v>
      </c>
      <c r="X116" s="19">
        <v>30.322800000000001</v>
      </c>
      <c r="Y116" s="19">
        <v>0</v>
      </c>
      <c r="Z116" s="19">
        <v>202.69300000000001</v>
      </c>
      <c r="AA116" s="19">
        <v>0</v>
      </c>
      <c r="AB116" s="19">
        <v>172370.12719999999</v>
      </c>
      <c r="AC116" s="19">
        <v>0</v>
      </c>
      <c r="AD116" s="20">
        <v>270698.76</v>
      </c>
      <c r="AE116" s="19">
        <v>0</v>
      </c>
      <c r="AF116" s="20">
        <v>108.59</v>
      </c>
      <c r="AG116" s="19">
        <v>0</v>
      </c>
      <c r="AH116" s="20">
        <v>19.760000000000002</v>
      </c>
      <c r="AI116" s="19">
        <v>0</v>
      </c>
      <c r="AJ116" s="20">
        <v>98.81</v>
      </c>
      <c r="AK116" s="19">
        <v>0</v>
      </c>
      <c r="AL116" s="20">
        <v>442770.84</v>
      </c>
      <c r="AM116" s="19">
        <v>0</v>
      </c>
      <c r="AN116" s="20">
        <v>0</v>
      </c>
      <c r="AO116" s="19">
        <v>0</v>
      </c>
      <c r="AP116" s="20">
        <v>37.771900000000002</v>
      </c>
      <c r="AQ116" s="19">
        <v>0</v>
      </c>
      <c r="AR116" s="28">
        <v>0</v>
      </c>
    </row>
    <row r="117" spans="1:44" ht="12.75" customHeight="1" x14ac:dyDescent="0.25">
      <c r="A117" s="27" t="s">
        <v>1316</v>
      </c>
      <c r="B117" s="14" t="s">
        <v>2393</v>
      </c>
      <c r="C117" s="26" t="s">
        <v>994</v>
      </c>
      <c r="D117" s="14" t="s">
        <v>1091</v>
      </c>
      <c r="E117" s="1" t="s">
        <v>1545</v>
      </c>
      <c r="F117" s="14"/>
      <c r="G117" s="296"/>
      <c r="H117" s="323">
        <v>451492.23</v>
      </c>
      <c r="I117" s="296"/>
      <c r="J117" s="296"/>
      <c r="K117" s="19">
        <v>0</v>
      </c>
      <c r="L117" s="19">
        <v>0</v>
      </c>
      <c r="M117" s="19">
        <v>0</v>
      </c>
      <c r="N117" s="19">
        <v>26.739000000000001</v>
      </c>
      <c r="O117" s="19">
        <v>0</v>
      </c>
      <c r="P117" s="19">
        <v>7.22</v>
      </c>
      <c r="Q117" s="19">
        <v>0</v>
      </c>
      <c r="R117" s="19">
        <v>4</v>
      </c>
      <c r="S117" s="19">
        <v>0</v>
      </c>
      <c r="T117" s="19">
        <v>1</v>
      </c>
      <c r="U117" s="19">
        <v>0</v>
      </c>
      <c r="V117" s="19">
        <v>614.96</v>
      </c>
      <c r="W117" s="19">
        <v>0</v>
      </c>
      <c r="X117" s="19">
        <v>2.06</v>
      </c>
      <c r="Y117" s="19">
        <v>0</v>
      </c>
      <c r="Z117" s="19">
        <v>37.67</v>
      </c>
      <c r="AA117" s="19">
        <v>0</v>
      </c>
      <c r="AB117" s="19">
        <v>35606</v>
      </c>
      <c r="AC117" s="19">
        <v>0</v>
      </c>
      <c r="AD117" s="20">
        <v>136050.1</v>
      </c>
      <c r="AE117" s="19">
        <v>0</v>
      </c>
      <c r="AF117" s="20">
        <v>8.86</v>
      </c>
      <c r="AG117" s="19">
        <v>0</v>
      </c>
      <c r="AH117" s="20">
        <v>0</v>
      </c>
      <c r="AI117" s="19">
        <v>0</v>
      </c>
      <c r="AJ117" s="20">
        <v>0.59</v>
      </c>
      <c r="AK117" s="19">
        <v>0</v>
      </c>
      <c r="AL117" s="20">
        <v>194062.92</v>
      </c>
      <c r="AM117" s="19">
        <v>0</v>
      </c>
      <c r="AN117" s="20">
        <v>0</v>
      </c>
      <c r="AO117" s="19">
        <v>0</v>
      </c>
      <c r="AP117" s="20">
        <v>2.8000000000000001E-2</v>
      </c>
      <c r="AQ117" s="19">
        <v>0</v>
      </c>
      <c r="AR117" s="28">
        <v>2.8000000000000001E-2</v>
      </c>
    </row>
    <row r="118" spans="1:44" ht="12.75" customHeight="1" x14ac:dyDescent="0.25">
      <c r="A118" s="27" t="s">
        <v>1317</v>
      </c>
      <c r="B118" s="14" t="s">
        <v>2393</v>
      </c>
      <c r="C118" s="26" t="s">
        <v>986</v>
      </c>
      <c r="D118" s="14" t="s">
        <v>1081</v>
      </c>
      <c r="E118" s="1" t="s">
        <v>1545</v>
      </c>
      <c r="F118" s="14"/>
      <c r="G118" s="296"/>
      <c r="H118" s="296">
        <v>245718.34</v>
      </c>
      <c r="I118" s="296"/>
      <c r="J118" s="296"/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4.36E-2</v>
      </c>
      <c r="Q118" s="19">
        <v>0</v>
      </c>
      <c r="R118" s="19">
        <v>2</v>
      </c>
      <c r="S118" s="19">
        <v>0</v>
      </c>
      <c r="T118" s="19">
        <v>1</v>
      </c>
      <c r="U118" s="19">
        <v>0</v>
      </c>
      <c r="V118" s="19">
        <v>1103.7</v>
      </c>
      <c r="W118" s="19">
        <v>0</v>
      </c>
      <c r="X118" s="19">
        <v>29.2591</v>
      </c>
      <c r="Y118" s="19">
        <v>0</v>
      </c>
      <c r="Z118" s="19">
        <v>122.423</v>
      </c>
      <c r="AA118" s="19">
        <v>0</v>
      </c>
      <c r="AB118" s="19">
        <v>93163.9</v>
      </c>
      <c r="AC118" s="19">
        <v>0</v>
      </c>
      <c r="AD118" s="20">
        <v>97125.6</v>
      </c>
      <c r="AE118" s="19">
        <v>0</v>
      </c>
      <c r="AF118" s="20">
        <v>0</v>
      </c>
      <c r="AG118" s="19">
        <v>0</v>
      </c>
      <c r="AH118" s="20">
        <v>0</v>
      </c>
      <c r="AI118" s="19">
        <v>0</v>
      </c>
      <c r="AJ118" s="20">
        <v>0</v>
      </c>
      <c r="AK118" s="19">
        <v>0</v>
      </c>
      <c r="AL118" s="20">
        <v>144585</v>
      </c>
      <c r="AM118" s="19">
        <v>0</v>
      </c>
      <c r="AN118" s="20">
        <v>0</v>
      </c>
      <c r="AO118" s="19">
        <v>0</v>
      </c>
      <c r="AP118" s="20">
        <v>0</v>
      </c>
      <c r="AQ118" s="19">
        <v>0</v>
      </c>
      <c r="AR118" s="28">
        <v>0</v>
      </c>
    </row>
    <row r="119" spans="1:44" ht="12.75" customHeight="1" x14ac:dyDescent="0.25">
      <c r="A119" s="27" t="s">
        <v>1318</v>
      </c>
      <c r="B119" s="14" t="s">
        <v>2393</v>
      </c>
      <c r="C119" s="26" t="s">
        <v>985</v>
      </c>
      <c r="D119" s="14" t="s">
        <v>1080</v>
      </c>
      <c r="E119" s="1" t="s">
        <v>1545</v>
      </c>
      <c r="F119" s="14"/>
      <c r="G119" s="296"/>
      <c r="H119" s="323">
        <v>748759.18</v>
      </c>
      <c r="I119" s="296"/>
      <c r="J119" s="296"/>
      <c r="K119" s="19">
        <v>0</v>
      </c>
      <c r="L119" s="19">
        <v>0</v>
      </c>
      <c r="M119" s="19">
        <v>0</v>
      </c>
      <c r="N119" s="19">
        <v>23.3</v>
      </c>
      <c r="O119" s="19">
        <v>0</v>
      </c>
      <c r="P119" s="19">
        <v>61.264000000000003</v>
      </c>
      <c r="Q119" s="19">
        <v>0</v>
      </c>
      <c r="R119" s="19">
        <v>2</v>
      </c>
      <c r="S119" s="19">
        <v>0</v>
      </c>
      <c r="T119" s="19">
        <v>1</v>
      </c>
      <c r="U119" s="19">
        <v>0</v>
      </c>
      <c r="V119" s="19">
        <v>1316.9</v>
      </c>
      <c r="W119" s="19">
        <v>0</v>
      </c>
      <c r="X119" s="19">
        <v>32.4</v>
      </c>
      <c r="Y119" s="19">
        <v>0</v>
      </c>
      <c r="Z119" s="19">
        <v>177.99</v>
      </c>
      <c r="AA119" s="19">
        <v>0</v>
      </c>
      <c r="AB119" s="19">
        <v>145638.6</v>
      </c>
      <c r="AC119" s="19">
        <v>0</v>
      </c>
      <c r="AD119" s="20">
        <v>145638.6</v>
      </c>
      <c r="AE119" s="19">
        <v>0</v>
      </c>
      <c r="AF119" s="20">
        <v>157</v>
      </c>
      <c r="AG119" s="19">
        <v>0</v>
      </c>
      <c r="AH119" s="20">
        <v>197</v>
      </c>
      <c r="AI119" s="19">
        <v>0</v>
      </c>
      <c r="AJ119" s="20">
        <v>855</v>
      </c>
      <c r="AK119" s="19">
        <v>0</v>
      </c>
      <c r="AL119" s="20">
        <v>140406</v>
      </c>
      <c r="AM119" s="19">
        <v>0</v>
      </c>
      <c r="AN119" s="20">
        <v>0</v>
      </c>
      <c r="AO119" s="19">
        <v>0</v>
      </c>
      <c r="AP119" s="20">
        <v>4.3999999999999997E-2</v>
      </c>
      <c r="AQ119" s="19">
        <v>0</v>
      </c>
      <c r="AR119" s="28">
        <v>4.3999999999999997E-2</v>
      </c>
    </row>
    <row r="120" spans="1:44" ht="12.75" customHeight="1" x14ac:dyDescent="0.25">
      <c r="A120" s="27" t="s">
        <v>1319</v>
      </c>
      <c r="B120" s="14" t="s">
        <v>2393</v>
      </c>
      <c r="C120" s="26" t="s">
        <v>1048</v>
      </c>
      <c r="D120" s="14" t="s">
        <v>1173</v>
      </c>
      <c r="E120" s="1" t="s">
        <v>1545</v>
      </c>
      <c r="F120" s="14"/>
      <c r="G120" s="296"/>
      <c r="H120" s="296">
        <v>208786.37</v>
      </c>
      <c r="I120" s="296"/>
      <c r="J120" s="296"/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22.61</v>
      </c>
      <c r="Q120" s="19">
        <v>0</v>
      </c>
      <c r="R120" s="19">
        <v>2</v>
      </c>
      <c r="S120" s="19">
        <v>0</v>
      </c>
      <c r="T120" s="19">
        <v>1</v>
      </c>
      <c r="U120" s="19">
        <v>0</v>
      </c>
      <c r="V120" s="19">
        <v>698.26</v>
      </c>
      <c r="W120" s="19">
        <v>0</v>
      </c>
      <c r="X120" s="19">
        <v>46.84</v>
      </c>
      <c r="Y120" s="19">
        <v>0</v>
      </c>
      <c r="Z120" s="19">
        <v>118.33199999999999</v>
      </c>
      <c r="AA120" s="19">
        <v>0</v>
      </c>
      <c r="AB120" s="19">
        <v>71492</v>
      </c>
      <c r="AC120" s="19">
        <v>0</v>
      </c>
      <c r="AD120" s="20">
        <v>99570</v>
      </c>
      <c r="AE120" s="19">
        <v>0</v>
      </c>
      <c r="AF120" s="20">
        <v>13.1</v>
      </c>
      <c r="AG120" s="19">
        <v>0</v>
      </c>
      <c r="AH120" s="20">
        <v>0</v>
      </c>
      <c r="AI120" s="19">
        <v>0</v>
      </c>
      <c r="AJ120" s="20">
        <v>0</v>
      </c>
      <c r="AK120" s="19">
        <v>0</v>
      </c>
      <c r="AL120" s="20">
        <v>136130</v>
      </c>
      <c r="AM120" s="19">
        <v>0</v>
      </c>
      <c r="AN120" s="20">
        <v>0</v>
      </c>
      <c r="AO120" s="19">
        <v>0</v>
      </c>
      <c r="AP120" s="20">
        <v>0</v>
      </c>
      <c r="AQ120" s="19">
        <v>0</v>
      </c>
      <c r="AR120" s="28">
        <v>0</v>
      </c>
    </row>
    <row r="121" spans="1:44" ht="12.75" customHeight="1" x14ac:dyDescent="0.25">
      <c r="A121" s="27" t="s">
        <v>1320</v>
      </c>
      <c r="B121" s="14" t="s">
        <v>2393</v>
      </c>
      <c r="C121" s="26" t="s">
        <v>1035</v>
      </c>
      <c r="D121" s="14" t="s">
        <v>1152</v>
      </c>
      <c r="E121" s="1" t="s">
        <v>1545</v>
      </c>
      <c r="F121" s="14"/>
      <c r="G121" s="296"/>
      <c r="H121" s="296">
        <v>132562.21</v>
      </c>
      <c r="I121" s="296"/>
      <c r="J121" s="296"/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1</v>
      </c>
      <c r="S121" s="19">
        <v>0</v>
      </c>
      <c r="T121" s="19">
        <v>1</v>
      </c>
      <c r="U121" s="19">
        <v>0</v>
      </c>
      <c r="V121" s="19">
        <v>0</v>
      </c>
      <c r="W121" s="19">
        <v>0</v>
      </c>
      <c r="X121" s="19">
        <v>31.535</v>
      </c>
      <c r="Y121" s="19">
        <v>0</v>
      </c>
      <c r="Z121" s="19">
        <v>0</v>
      </c>
      <c r="AA121" s="19">
        <v>0</v>
      </c>
      <c r="AB121" s="19">
        <v>72903</v>
      </c>
      <c r="AC121" s="19">
        <v>0</v>
      </c>
      <c r="AD121" s="20">
        <v>78195</v>
      </c>
      <c r="AE121" s="19">
        <v>0</v>
      </c>
      <c r="AF121" s="20">
        <v>0</v>
      </c>
      <c r="AG121" s="19">
        <v>0</v>
      </c>
      <c r="AH121" s="20">
        <v>0</v>
      </c>
      <c r="AI121" s="19">
        <v>0</v>
      </c>
      <c r="AJ121" s="20">
        <v>0</v>
      </c>
      <c r="AK121" s="19">
        <v>0</v>
      </c>
      <c r="AL121" s="20">
        <v>102933</v>
      </c>
      <c r="AM121" s="19">
        <v>0</v>
      </c>
      <c r="AN121" s="20">
        <v>0</v>
      </c>
      <c r="AO121" s="19">
        <v>0</v>
      </c>
      <c r="AP121" s="20">
        <v>0</v>
      </c>
      <c r="AQ121" s="19">
        <v>0</v>
      </c>
      <c r="AR121" s="28">
        <v>0</v>
      </c>
    </row>
    <row r="122" spans="1:44" ht="12.75" customHeight="1" x14ac:dyDescent="0.25">
      <c r="A122" s="27" t="s">
        <v>1321</v>
      </c>
      <c r="B122" s="14" t="s">
        <v>2393</v>
      </c>
      <c r="C122" s="26" t="s">
        <v>999</v>
      </c>
      <c r="D122" s="14" t="s">
        <v>1098</v>
      </c>
      <c r="E122" s="1" t="s">
        <v>1545</v>
      </c>
      <c r="F122" s="14"/>
      <c r="G122" s="296"/>
      <c r="H122" s="296">
        <v>1268258.46</v>
      </c>
      <c r="I122" s="296"/>
      <c r="J122" s="296"/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130.62</v>
      </c>
      <c r="Q122" s="19">
        <v>0</v>
      </c>
      <c r="R122" s="19">
        <v>5</v>
      </c>
      <c r="S122" s="19">
        <v>0</v>
      </c>
      <c r="T122" s="19">
        <v>1</v>
      </c>
      <c r="U122" s="19">
        <v>0</v>
      </c>
      <c r="V122" s="19">
        <v>4827</v>
      </c>
      <c r="W122" s="19">
        <v>0</v>
      </c>
      <c r="X122" s="19">
        <v>69.94</v>
      </c>
      <c r="Y122" s="19">
        <v>0</v>
      </c>
      <c r="Z122" s="19">
        <v>727.02</v>
      </c>
      <c r="AA122" s="19">
        <v>0</v>
      </c>
      <c r="AB122" s="19">
        <v>657080.03</v>
      </c>
      <c r="AC122" s="19">
        <v>0</v>
      </c>
      <c r="AD122" s="20">
        <v>845041.81</v>
      </c>
      <c r="AE122" s="19">
        <v>0</v>
      </c>
      <c r="AF122" s="20">
        <v>130</v>
      </c>
      <c r="AG122" s="19">
        <v>0</v>
      </c>
      <c r="AH122" s="20">
        <v>0</v>
      </c>
      <c r="AI122" s="19">
        <v>0</v>
      </c>
      <c r="AJ122" s="20">
        <v>0</v>
      </c>
      <c r="AK122" s="19">
        <v>0</v>
      </c>
      <c r="AL122" s="20">
        <v>1027181.64</v>
      </c>
      <c r="AM122" s="19">
        <v>0</v>
      </c>
      <c r="AN122" s="20">
        <v>0</v>
      </c>
      <c r="AO122" s="19">
        <v>0</v>
      </c>
      <c r="AP122" s="20">
        <v>0</v>
      </c>
      <c r="AQ122" s="19">
        <v>0</v>
      </c>
      <c r="AR122" s="28">
        <v>0</v>
      </c>
    </row>
    <row r="123" spans="1:44" ht="12.75" customHeight="1" x14ac:dyDescent="0.25">
      <c r="A123" s="27" t="s">
        <v>1322</v>
      </c>
      <c r="B123" s="14" t="s">
        <v>2393</v>
      </c>
      <c r="C123" s="26" t="s">
        <v>1059</v>
      </c>
      <c r="D123" s="14" t="s">
        <v>1193</v>
      </c>
      <c r="E123" s="1" t="s">
        <v>1545</v>
      </c>
      <c r="F123" s="14"/>
      <c r="G123" s="296"/>
      <c r="H123" s="296">
        <v>607496.68999999994</v>
      </c>
      <c r="I123" s="296"/>
      <c r="J123" s="296"/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1</v>
      </c>
      <c r="S123" s="19">
        <v>0</v>
      </c>
      <c r="T123" s="19">
        <v>1</v>
      </c>
      <c r="U123" s="19">
        <v>0</v>
      </c>
      <c r="V123" s="19">
        <v>3645</v>
      </c>
      <c r="W123" s="19">
        <v>0</v>
      </c>
      <c r="X123" s="19">
        <v>222.52799999999999</v>
      </c>
      <c r="Y123" s="19">
        <v>0</v>
      </c>
      <c r="Z123" s="19">
        <v>470.97899999999998</v>
      </c>
      <c r="AA123" s="19">
        <v>0</v>
      </c>
      <c r="AB123" s="19">
        <v>0</v>
      </c>
      <c r="AC123" s="19">
        <v>0</v>
      </c>
      <c r="AD123" s="20">
        <v>250737</v>
      </c>
      <c r="AE123" s="19">
        <v>0</v>
      </c>
      <c r="AF123" s="20">
        <v>41.08</v>
      </c>
      <c r="AG123" s="19">
        <v>0</v>
      </c>
      <c r="AH123" s="20">
        <v>69000</v>
      </c>
      <c r="AI123" s="19">
        <v>0</v>
      </c>
      <c r="AJ123" s="20">
        <v>0.26</v>
      </c>
      <c r="AK123" s="19">
        <v>0</v>
      </c>
      <c r="AL123" s="20">
        <v>0</v>
      </c>
      <c r="AM123" s="19">
        <v>0</v>
      </c>
      <c r="AN123" s="20">
        <v>0</v>
      </c>
      <c r="AO123" s="19">
        <v>0</v>
      </c>
      <c r="AP123" s="20">
        <v>0</v>
      </c>
      <c r="AQ123" s="19">
        <v>0</v>
      </c>
      <c r="AR123" s="28">
        <v>0</v>
      </c>
    </row>
    <row r="124" spans="1:44" ht="12.75" customHeight="1" x14ac:dyDescent="0.25">
      <c r="A124" s="27" t="s">
        <v>1323</v>
      </c>
      <c r="B124" s="14" t="s">
        <v>2393</v>
      </c>
      <c r="C124" s="26" t="s">
        <v>1004</v>
      </c>
      <c r="D124" s="14" t="s">
        <v>1103</v>
      </c>
      <c r="E124" s="1" t="s">
        <v>1545</v>
      </c>
      <c r="F124" s="14"/>
      <c r="G124" s="296"/>
      <c r="H124" s="296">
        <v>226440.35</v>
      </c>
      <c r="I124" s="296"/>
      <c r="J124" s="296"/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11.32</v>
      </c>
      <c r="Q124" s="19">
        <v>0</v>
      </c>
      <c r="R124" s="19">
        <v>3</v>
      </c>
      <c r="S124" s="19">
        <v>0</v>
      </c>
      <c r="T124" s="19">
        <v>1</v>
      </c>
      <c r="U124" s="19">
        <v>0</v>
      </c>
      <c r="V124" s="19">
        <v>328.42</v>
      </c>
      <c r="W124" s="19">
        <v>0</v>
      </c>
      <c r="X124" s="19">
        <v>3.25</v>
      </c>
      <c r="Y124" s="19">
        <v>0</v>
      </c>
      <c r="Z124" s="19">
        <v>48.25</v>
      </c>
      <c r="AA124" s="19">
        <v>0</v>
      </c>
      <c r="AB124" s="19">
        <v>45001.62</v>
      </c>
      <c r="AC124" s="19">
        <v>0</v>
      </c>
      <c r="AD124" s="20">
        <v>64417.279999999999</v>
      </c>
      <c r="AE124" s="19">
        <v>0</v>
      </c>
      <c r="AF124" s="20">
        <v>70</v>
      </c>
      <c r="AG124" s="19">
        <v>0</v>
      </c>
      <c r="AH124" s="20">
        <v>14.6</v>
      </c>
      <c r="AI124" s="19">
        <v>0</v>
      </c>
      <c r="AJ124" s="20">
        <v>29</v>
      </c>
      <c r="AK124" s="19">
        <v>0</v>
      </c>
      <c r="AL124" s="20">
        <v>118521.26</v>
      </c>
      <c r="AM124" s="19">
        <v>0</v>
      </c>
      <c r="AN124" s="20">
        <v>0</v>
      </c>
      <c r="AO124" s="19">
        <v>0</v>
      </c>
      <c r="AP124" s="20">
        <v>0</v>
      </c>
      <c r="AQ124" s="19">
        <v>0</v>
      </c>
      <c r="AR124" s="28">
        <v>0</v>
      </c>
    </row>
    <row r="125" spans="1:44" ht="12.75" customHeight="1" x14ac:dyDescent="0.25">
      <c r="A125" s="27" t="s">
        <v>1324</v>
      </c>
      <c r="B125" s="14" t="s">
        <v>2393</v>
      </c>
      <c r="C125" s="26" t="s">
        <v>984</v>
      </c>
      <c r="D125" s="14" t="s">
        <v>1078</v>
      </c>
      <c r="E125" s="1" t="s">
        <v>1545</v>
      </c>
      <c r="F125" s="14"/>
      <c r="G125" s="296"/>
      <c r="H125" s="296">
        <v>325404.11</v>
      </c>
      <c r="I125" s="296"/>
      <c r="J125" s="296"/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44.881999999999998</v>
      </c>
      <c r="Q125" s="19">
        <v>0</v>
      </c>
      <c r="R125" s="19">
        <v>4</v>
      </c>
      <c r="S125" s="19">
        <v>0</v>
      </c>
      <c r="T125" s="19">
        <v>1</v>
      </c>
      <c r="U125" s="19">
        <v>0</v>
      </c>
      <c r="V125" s="19">
        <v>1007.7</v>
      </c>
      <c r="W125" s="19">
        <v>0</v>
      </c>
      <c r="X125" s="19">
        <v>32.92</v>
      </c>
      <c r="Y125" s="19">
        <v>0</v>
      </c>
      <c r="Z125" s="19">
        <v>168.51</v>
      </c>
      <c r="AA125" s="19">
        <v>0</v>
      </c>
      <c r="AB125" s="19">
        <v>135590</v>
      </c>
      <c r="AC125" s="19">
        <v>0</v>
      </c>
      <c r="AD125" s="20">
        <v>157458.916</v>
      </c>
      <c r="AE125" s="19">
        <v>0</v>
      </c>
      <c r="AF125" s="20">
        <v>27.4</v>
      </c>
      <c r="AG125" s="19">
        <v>0</v>
      </c>
      <c r="AH125" s="20">
        <v>1.73</v>
      </c>
      <c r="AI125" s="19">
        <v>0</v>
      </c>
      <c r="AJ125" s="20">
        <v>4</v>
      </c>
      <c r="AK125" s="19">
        <v>0</v>
      </c>
      <c r="AL125" s="20">
        <v>147685</v>
      </c>
      <c r="AM125" s="19">
        <v>0</v>
      </c>
      <c r="AN125" s="20">
        <v>0</v>
      </c>
      <c r="AO125" s="19">
        <v>0</v>
      </c>
      <c r="AP125" s="20">
        <v>0</v>
      </c>
      <c r="AQ125" s="19">
        <v>0</v>
      </c>
      <c r="AR125" s="28">
        <v>0</v>
      </c>
    </row>
    <row r="126" spans="1:44" ht="12.75" customHeight="1" x14ac:dyDescent="0.25">
      <c r="A126" s="27" t="s">
        <v>1325</v>
      </c>
      <c r="B126" s="14" t="s">
        <v>2393</v>
      </c>
      <c r="C126" s="26" t="s">
        <v>983</v>
      </c>
      <c r="D126" s="14" t="s">
        <v>1075</v>
      </c>
      <c r="E126" s="1" t="s">
        <v>1545</v>
      </c>
      <c r="F126" s="14"/>
      <c r="G126" s="296"/>
      <c r="H126" s="296">
        <v>119949.7</v>
      </c>
      <c r="I126" s="296"/>
      <c r="J126" s="296"/>
      <c r="K126" s="19">
        <v>0</v>
      </c>
      <c r="L126" s="19">
        <v>0</v>
      </c>
      <c r="M126" s="19">
        <v>0</v>
      </c>
      <c r="N126" s="19">
        <v>0.51</v>
      </c>
      <c r="O126" s="19">
        <v>0</v>
      </c>
      <c r="P126" s="19">
        <v>19.329999999999998</v>
      </c>
      <c r="Q126" s="19">
        <v>0</v>
      </c>
      <c r="R126" s="19">
        <v>4</v>
      </c>
      <c r="S126" s="19">
        <v>0</v>
      </c>
      <c r="T126" s="19">
        <v>1</v>
      </c>
      <c r="U126" s="19">
        <v>0</v>
      </c>
      <c r="V126" s="19">
        <v>377.5</v>
      </c>
      <c r="W126" s="19">
        <v>0</v>
      </c>
      <c r="X126" s="19">
        <v>16.571999999999999</v>
      </c>
      <c r="Y126" s="19">
        <v>0</v>
      </c>
      <c r="Z126" s="19">
        <v>86.75</v>
      </c>
      <c r="AA126" s="19">
        <v>0</v>
      </c>
      <c r="AB126" s="19">
        <v>70178</v>
      </c>
      <c r="AC126" s="19">
        <v>0</v>
      </c>
      <c r="AD126" s="20">
        <v>70178</v>
      </c>
      <c r="AE126" s="19">
        <v>0</v>
      </c>
      <c r="AF126" s="20">
        <v>11.45</v>
      </c>
      <c r="AG126" s="19">
        <v>0</v>
      </c>
      <c r="AH126" s="20">
        <v>0.6</v>
      </c>
      <c r="AI126" s="19">
        <v>0</v>
      </c>
      <c r="AJ126" s="20">
        <v>7.3999999999999996E-2</v>
      </c>
      <c r="AK126" s="19">
        <v>0</v>
      </c>
      <c r="AL126" s="20">
        <v>24920</v>
      </c>
      <c r="AM126" s="19">
        <v>0</v>
      </c>
      <c r="AN126" s="20">
        <v>0.51</v>
      </c>
      <c r="AO126" s="19">
        <v>0</v>
      </c>
      <c r="AP126" s="20">
        <v>0</v>
      </c>
      <c r="AQ126" s="19">
        <v>0</v>
      </c>
      <c r="AR126" s="28">
        <v>0.51</v>
      </c>
    </row>
    <row r="127" spans="1:44" ht="12.75" customHeight="1" x14ac:dyDescent="0.25">
      <c r="A127" s="27" t="s">
        <v>1326</v>
      </c>
      <c r="B127" s="14" t="s">
        <v>2393</v>
      </c>
      <c r="C127" s="26" t="s">
        <v>1043</v>
      </c>
      <c r="D127" s="14" t="s">
        <v>1165</v>
      </c>
      <c r="E127" s="1" t="s">
        <v>1545</v>
      </c>
      <c r="F127" s="14"/>
      <c r="G127" s="296"/>
      <c r="H127" s="296">
        <v>209616.19</v>
      </c>
      <c r="I127" s="296"/>
      <c r="J127" s="296"/>
      <c r="K127" s="19">
        <v>0</v>
      </c>
      <c r="L127" s="19">
        <v>0</v>
      </c>
      <c r="M127" s="19">
        <v>0</v>
      </c>
      <c r="N127" s="19">
        <v>12.7774</v>
      </c>
      <c r="O127" s="19">
        <v>0</v>
      </c>
      <c r="P127" s="19">
        <v>6.6E-3</v>
      </c>
      <c r="Q127" s="19">
        <v>0</v>
      </c>
      <c r="R127" s="19">
        <v>3</v>
      </c>
      <c r="S127" s="19">
        <v>0</v>
      </c>
      <c r="T127" s="19">
        <v>1</v>
      </c>
      <c r="U127" s="19">
        <v>0</v>
      </c>
      <c r="V127" s="19">
        <v>555.54</v>
      </c>
      <c r="W127" s="19">
        <v>0</v>
      </c>
      <c r="X127" s="19">
        <v>6.3299000000000003</v>
      </c>
      <c r="Y127" s="19">
        <v>0</v>
      </c>
      <c r="Z127" s="19">
        <v>17.931999999999999</v>
      </c>
      <c r="AA127" s="19">
        <v>0</v>
      </c>
      <c r="AB127" s="19">
        <v>11602.004000000001</v>
      </c>
      <c r="AC127" s="19">
        <v>0</v>
      </c>
      <c r="AD127" s="20">
        <v>45554.28</v>
      </c>
      <c r="AE127" s="19">
        <v>0</v>
      </c>
      <c r="AF127" s="20">
        <v>22.04</v>
      </c>
      <c r="AG127" s="19">
        <v>0</v>
      </c>
      <c r="AH127" s="20">
        <v>4.01</v>
      </c>
      <c r="AI127" s="19">
        <v>0</v>
      </c>
      <c r="AJ127" s="20">
        <v>20.05</v>
      </c>
      <c r="AK127" s="19">
        <v>0</v>
      </c>
      <c r="AL127" s="20">
        <v>82775.460000000006</v>
      </c>
      <c r="AM127" s="19">
        <v>0</v>
      </c>
      <c r="AN127" s="20">
        <v>0</v>
      </c>
      <c r="AO127" s="19">
        <v>0</v>
      </c>
      <c r="AP127" s="20">
        <v>12.7774</v>
      </c>
      <c r="AQ127" s="19">
        <v>0</v>
      </c>
      <c r="AR127" s="28">
        <v>0</v>
      </c>
    </row>
    <row r="128" spans="1:44" ht="12.75" customHeight="1" x14ac:dyDescent="0.25">
      <c r="A128" s="27" t="s">
        <v>1327</v>
      </c>
      <c r="B128" s="14" t="s">
        <v>2393</v>
      </c>
      <c r="C128" s="26" t="s">
        <v>1031</v>
      </c>
      <c r="D128" s="14" t="s">
        <v>1148</v>
      </c>
      <c r="E128" s="1" t="s">
        <v>1545</v>
      </c>
      <c r="F128" s="14"/>
      <c r="G128" s="296"/>
      <c r="H128" s="296">
        <v>476937.8</v>
      </c>
      <c r="I128" s="296"/>
      <c r="J128" s="296"/>
      <c r="K128" s="19">
        <v>0</v>
      </c>
      <c r="L128" s="19">
        <v>0</v>
      </c>
      <c r="M128" s="19">
        <v>0</v>
      </c>
      <c r="N128" s="19">
        <v>67</v>
      </c>
      <c r="O128" s="19">
        <v>0</v>
      </c>
      <c r="P128" s="19">
        <v>68.5</v>
      </c>
      <c r="Q128" s="19">
        <v>0</v>
      </c>
      <c r="R128" s="19">
        <v>5</v>
      </c>
      <c r="S128" s="19">
        <v>0</v>
      </c>
      <c r="T128" s="19">
        <v>1</v>
      </c>
      <c r="U128" s="19">
        <v>0</v>
      </c>
      <c r="V128" s="19">
        <v>1075.92</v>
      </c>
      <c r="W128" s="19">
        <v>0</v>
      </c>
      <c r="X128" s="19">
        <v>26</v>
      </c>
      <c r="Y128" s="19">
        <v>0</v>
      </c>
      <c r="Z128" s="19">
        <v>248.06899999999999</v>
      </c>
      <c r="AA128" s="19">
        <v>0</v>
      </c>
      <c r="AB128" s="19">
        <v>221885</v>
      </c>
      <c r="AC128" s="19">
        <v>0</v>
      </c>
      <c r="AD128" s="20">
        <v>221885</v>
      </c>
      <c r="AE128" s="19">
        <v>0</v>
      </c>
      <c r="AF128" s="20">
        <v>36100</v>
      </c>
      <c r="AG128" s="19">
        <v>0</v>
      </c>
      <c r="AH128" s="20">
        <v>1900</v>
      </c>
      <c r="AI128" s="19">
        <v>0</v>
      </c>
      <c r="AJ128" s="20">
        <v>200</v>
      </c>
      <c r="AK128" s="19">
        <v>0</v>
      </c>
      <c r="AL128" s="20">
        <v>274539</v>
      </c>
      <c r="AM128" s="19">
        <v>0</v>
      </c>
      <c r="AN128" s="20">
        <v>0</v>
      </c>
      <c r="AO128" s="19">
        <v>0</v>
      </c>
      <c r="AP128" s="20">
        <v>0</v>
      </c>
      <c r="AQ128" s="19">
        <v>0</v>
      </c>
      <c r="AR128" s="28">
        <v>97</v>
      </c>
    </row>
    <row r="129" spans="1:44" ht="12.75" customHeight="1" x14ac:dyDescent="0.25">
      <c r="A129" s="27" t="s">
        <v>1328</v>
      </c>
      <c r="B129" s="14" t="s">
        <v>2393</v>
      </c>
      <c r="C129" s="26" t="s">
        <v>988</v>
      </c>
      <c r="D129" s="14" t="s">
        <v>1083</v>
      </c>
      <c r="E129" s="1" t="s">
        <v>1545</v>
      </c>
      <c r="F129" s="14"/>
      <c r="G129" s="296"/>
      <c r="H129" s="296">
        <v>447592.33</v>
      </c>
      <c r="I129" s="296"/>
      <c r="J129" s="296"/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47.25</v>
      </c>
      <c r="Q129" s="19">
        <v>0</v>
      </c>
      <c r="R129" s="19">
        <v>3</v>
      </c>
      <c r="S129" s="19">
        <v>0</v>
      </c>
      <c r="T129" s="19">
        <v>1</v>
      </c>
      <c r="U129" s="19">
        <v>0</v>
      </c>
      <c r="V129" s="19">
        <v>954.97</v>
      </c>
      <c r="W129" s="19">
        <v>0</v>
      </c>
      <c r="X129" s="19">
        <v>72.462999999999994</v>
      </c>
      <c r="Y129" s="19">
        <v>0</v>
      </c>
      <c r="Z129" s="19">
        <v>202.893</v>
      </c>
      <c r="AA129" s="19">
        <v>0</v>
      </c>
      <c r="AB129" s="19">
        <v>130430</v>
      </c>
      <c r="AC129" s="19">
        <v>0</v>
      </c>
      <c r="AD129" s="20">
        <v>170608</v>
      </c>
      <c r="AE129" s="19">
        <v>0</v>
      </c>
      <c r="AF129" s="20">
        <v>26</v>
      </c>
      <c r="AG129" s="19">
        <v>0</v>
      </c>
      <c r="AH129" s="20">
        <v>1</v>
      </c>
      <c r="AI129" s="19">
        <v>0</v>
      </c>
      <c r="AJ129" s="20">
        <v>3</v>
      </c>
      <c r="AK129" s="19">
        <v>0</v>
      </c>
      <c r="AL129" s="20">
        <v>230977</v>
      </c>
      <c r="AM129" s="19">
        <v>0</v>
      </c>
      <c r="AN129" s="20">
        <v>0</v>
      </c>
      <c r="AO129" s="19">
        <v>0</v>
      </c>
      <c r="AP129" s="20">
        <v>0</v>
      </c>
      <c r="AQ129" s="19">
        <v>0</v>
      </c>
      <c r="AR129" s="28">
        <v>0</v>
      </c>
    </row>
    <row r="130" spans="1:44" ht="12.75" customHeight="1" x14ac:dyDescent="0.25">
      <c r="A130" s="27" t="s">
        <v>1329</v>
      </c>
      <c r="B130" s="14" t="s">
        <v>2393</v>
      </c>
      <c r="C130" s="26" t="s">
        <v>1015</v>
      </c>
      <c r="D130" s="14" t="s">
        <v>1120</v>
      </c>
      <c r="E130" s="1" t="s">
        <v>1545</v>
      </c>
      <c r="F130" s="14"/>
      <c r="G130" s="296"/>
      <c r="H130" s="296">
        <v>134779.79999999999</v>
      </c>
      <c r="I130" s="296"/>
      <c r="J130" s="296"/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24</v>
      </c>
      <c r="Q130" s="19">
        <v>0</v>
      </c>
      <c r="R130" s="19">
        <v>1</v>
      </c>
      <c r="S130" s="19">
        <v>0</v>
      </c>
      <c r="T130" s="19">
        <v>1</v>
      </c>
      <c r="U130" s="19">
        <v>0</v>
      </c>
      <c r="V130" s="19">
        <v>788.75</v>
      </c>
      <c r="W130" s="19">
        <v>0</v>
      </c>
      <c r="X130" s="19">
        <v>48.792299999999997</v>
      </c>
      <c r="Y130" s="19">
        <v>0</v>
      </c>
      <c r="Z130" s="19">
        <v>146.70599999999999</v>
      </c>
      <c r="AA130" s="19">
        <v>0</v>
      </c>
      <c r="AB130" s="19">
        <v>126965.08749999999</v>
      </c>
      <c r="AC130" s="19">
        <v>0</v>
      </c>
      <c r="AD130" s="20">
        <v>126965.08749999999</v>
      </c>
      <c r="AE130" s="19">
        <v>0</v>
      </c>
      <c r="AF130" s="20">
        <v>19.732800000000001</v>
      </c>
      <c r="AG130" s="19">
        <v>0</v>
      </c>
      <c r="AH130" s="20">
        <v>0.89690000000000003</v>
      </c>
      <c r="AI130" s="19">
        <v>0</v>
      </c>
      <c r="AJ130" s="20">
        <v>0.1076</v>
      </c>
      <c r="AK130" s="19">
        <v>0</v>
      </c>
      <c r="AL130" s="20">
        <v>172633.71249999999</v>
      </c>
      <c r="AM130" s="19">
        <v>0</v>
      </c>
      <c r="AN130" s="20">
        <v>0</v>
      </c>
      <c r="AO130" s="19">
        <v>0</v>
      </c>
      <c r="AP130" s="20">
        <v>0</v>
      </c>
      <c r="AQ130" s="19">
        <v>0</v>
      </c>
      <c r="AR130" s="28">
        <v>0</v>
      </c>
    </row>
    <row r="131" spans="1:44" ht="12.75" customHeight="1" x14ac:dyDescent="0.25">
      <c r="A131" s="27" t="s">
        <v>1330</v>
      </c>
      <c r="B131" s="14" t="s">
        <v>2393</v>
      </c>
      <c r="C131" s="26" t="s">
        <v>1037</v>
      </c>
      <c r="D131" s="14" t="s">
        <v>1156</v>
      </c>
      <c r="E131" s="1" t="s">
        <v>1545</v>
      </c>
      <c r="F131" s="14"/>
      <c r="G131" s="296"/>
      <c r="H131" s="296">
        <v>227960</v>
      </c>
      <c r="I131" s="296"/>
      <c r="J131" s="296"/>
      <c r="K131" s="19">
        <v>0</v>
      </c>
      <c r="L131" s="19">
        <v>0</v>
      </c>
      <c r="M131" s="19">
        <v>0</v>
      </c>
      <c r="N131" s="19">
        <v>6.6</v>
      </c>
      <c r="O131" s="19">
        <v>0</v>
      </c>
      <c r="P131" s="19">
        <v>9.5</v>
      </c>
      <c r="Q131" s="19">
        <v>0</v>
      </c>
      <c r="R131" s="19">
        <v>5</v>
      </c>
      <c r="S131" s="19">
        <v>0</v>
      </c>
      <c r="T131" s="19">
        <v>1</v>
      </c>
      <c r="U131" s="19">
        <v>0</v>
      </c>
      <c r="V131" s="19">
        <v>312.64999999999998</v>
      </c>
      <c r="W131" s="19">
        <v>0</v>
      </c>
      <c r="X131" s="19">
        <v>25.4</v>
      </c>
      <c r="Y131" s="19">
        <v>0</v>
      </c>
      <c r="Z131" s="19">
        <v>72.709999999999994</v>
      </c>
      <c r="AA131" s="19">
        <v>0</v>
      </c>
      <c r="AB131" s="19">
        <v>47283</v>
      </c>
      <c r="AC131" s="19">
        <v>0</v>
      </c>
      <c r="AD131" s="20">
        <v>67574</v>
      </c>
      <c r="AE131" s="19">
        <v>0</v>
      </c>
      <c r="AF131" s="20">
        <v>7.0000000000000001E-3</v>
      </c>
      <c r="AG131" s="19">
        <v>0</v>
      </c>
      <c r="AH131" s="20">
        <v>0</v>
      </c>
      <c r="AI131" s="19">
        <v>0</v>
      </c>
      <c r="AJ131" s="20">
        <v>0</v>
      </c>
      <c r="AK131" s="19">
        <v>0</v>
      </c>
      <c r="AL131" s="20">
        <v>124179</v>
      </c>
      <c r="AM131" s="19">
        <v>0</v>
      </c>
      <c r="AN131" s="20">
        <v>0</v>
      </c>
      <c r="AO131" s="19">
        <v>0</v>
      </c>
      <c r="AP131" s="20">
        <v>2.3E-3</v>
      </c>
      <c r="AQ131" s="19">
        <v>0</v>
      </c>
      <c r="AR131" s="28">
        <v>2.3E-3</v>
      </c>
    </row>
    <row r="132" spans="1:44" ht="12.75" customHeight="1" x14ac:dyDescent="0.25">
      <c r="A132" s="27" t="s">
        <v>1331</v>
      </c>
      <c r="B132" s="14" t="s">
        <v>2393</v>
      </c>
      <c r="C132" s="26" t="s">
        <v>1436</v>
      </c>
      <c r="D132" s="14" t="s">
        <v>1495</v>
      </c>
      <c r="E132" s="1" t="s">
        <v>1545</v>
      </c>
      <c r="F132" s="14"/>
      <c r="G132" s="296"/>
      <c r="H132" s="296"/>
      <c r="I132" s="296"/>
      <c r="J132" s="296"/>
      <c r="K132" s="19">
        <v>0</v>
      </c>
      <c r="L132" s="19">
        <v>0</v>
      </c>
      <c r="M132" s="19">
        <v>0</v>
      </c>
      <c r="N132" s="19">
        <v>3.37</v>
      </c>
      <c r="O132" s="19">
        <v>0</v>
      </c>
      <c r="P132" s="19">
        <v>14.56</v>
      </c>
      <c r="Q132" s="19">
        <v>0</v>
      </c>
      <c r="R132" s="19">
        <v>3</v>
      </c>
      <c r="S132" s="19">
        <v>0</v>
      </c>
      <c r="T132" s="19">
        <v>1</v>
      </c>
      <c r="U132" s="19">
        <v>0</v>
      </c>
      <c r="V132" s="19">
        <v>822.6</v>
      </c>
      <c r="W132" s="19">
        <v>0</v>
      </c>
      <c r="X132" s="19">
        <v>10.27</v>
      </c>
      <c r="Y132" s="19">
        <v>0</v>
      </c>
      <c r="Z132" s="19">
        <v>81.540000000000006</v>
      </c>
      <c r="AA132" s="19">
        <v>0</v>
      </c>
      <c r="AB132" s="19">
        <v>71270</v>
      </c>
      <c r="AC132" s="19">
        <v>0</v>
      </c>
      <c r="AD132" s="20">
        <v>111728.18</v>
      </c>
      <c r="AE132" s="19">
        <v>0</v>
      </c>
      <c r="AF132" s="20">
        <v>18.260000000000002</v>
      </c>
      <c r="AG132" s="19">
        <v>0</v>
      </c>
      <c r="AH132" s="20">
        <v>0.36</v>
      </c>
      <c r="AI132" s="19">
        <v>0</v>
      </c>
      <c r="AJ132" s="20">
        <v>1.81</v>
      </c>
      <c r="AK132" s="19">
        <v>0</v>
      </c>
      <c r="AL132" s="20">
        <v>155204.35</v>
      </c>
      <c r="AM132" s="19">
        <v>0</v>
      </c>
      <c r="AN132" s="20">
        <v>0</v>
      </c>
      <c r="AO132" s="19">
        <v>0</v>
      </c>
      <c r="AP132" s="20">
        <v>0</v>
      </c>
      <c r="AQ132" s="19">
        <v>0</v>
      </c>
      <c r="AR132" s="28">
        <v>0</v>
      </c>
    </row>
    <row r="133" spans="1:44" ht="12.75" customHeight="1" x14ac:dyDescent="0.25">
      <c r="A133" s="27" t="s">
        <v>1332</v>
      </c>
      <c r="B133" s="14" t="s">
        <v>2393</v>
      </c>
      <c r="C133" s="26" t="s">
        <v>1064</v>
      </c>
      <c r="D133" s="14" t="s">
        <v>1201</v>
      </c>
      <c r="E133" s="1" t="s">
        <v>1545</v>
      </c>
      <c r="F133" s="14"/>
      <c r="G133" s="296"/>
      <c r="H133" s="296">
        <v>370548.77</v>
      </c>
      <c r="I133" s="296"/>
      <c r="J133" s="296"/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33.07</v>
      </c>
      <c r="Q133" s="19">
        <v>0</v>
      </c>
      <c r="R133" s="19">
        <v>3</v>
      </c>
      <c r="S133" s="19">
        <v>0</v>
      </c>
      <c r="T133" s="19">
        <v>1</v>
      </c>
      <c r="U133" s="19">
        <v>0</v>
      </c>
      <c r="V133" s="19">
        <v>806.1</v>
      </c>
      <c r="W133" s="19">
        <v>0</v>
      </c>
      <c r="X133" s="19">
        <v>48.2</v>
      </c>
      <c r="Y133" s="19">
        <v>0</v>
      </c>
      <c r="Z133" s="19">
        <v>151.75</v>
      </c>
      <c r="AA133" s="19">
        <v>0</v>
      </c>
      <c r="AB133" s="19">
        <v>119292.3</v>
      </c>
      <c r="AC133" s="19">
        <v>0</v>
      </c>
      <c r="AD133" s="20">
        <v>127769</v>
      </c>
      <c r="AE133" s="19">
        <v>0</v>
      </c>
      <c r="AF133" s="20">
        <v>17.239999999999998</v>
      </c>
      <c r="AG133" s="19">
        <v>0</v>
      </c>
      <c r="AH133" s="20">
        <v>0</v>
      </c>
      <c r="AI133" s="19">
        <v>0</v>
      </c>
      <c r="AJ133" s="20">
        <v>0.11</v>
      </c>
      <c r="AK133" s="19">
        <v>0</v>
      </c>
      <c r="AL133" s="20">
        <v>149039</v>
      </c>
      <c r="AM133" s="19">
        <v>0</v>
      </c>
      <c r="AN133" s="20">
        <v>0</v>
      </c>
      <c r="AO133" s="19">
        <v>0</v>
      </c>
      <c r="AP133" s="20">
        <v>0</v>
      </c>
      <c r="AQ133" s="19">
        <v>0</v>
      </c>
      <c r="AR133" s="28">
        <v>0</v>
      </c>
    </row>
    <row r="134" spans="1:44" ht="12.75" customHeight="1" x14ac:dyDescent="0.25">
      <c r="A134" s="27" t="s">
        <v>1333</v>
      </c>
      <c r="B134" s="14" t="s">
        <v>2393</v>
      </c>
      <c r="C134" s="26" t="s">
        <v>1437</v>
      </c>
      <c r="D134" s="14" t="s">
        <v>1496</v>
      </c>
      <c r="E134" s="1" t="s">
        <v>1545</v>
      </c>
      <c r="F134" s="14"/>
      <c r="G134" s="296"/>
      <c r="H134" s="296"/>
      <c r="I134" s="296"/>
      <c r="J134" s="296"/>
      <c r="K134" s="19">
        <v>0</v>
      </c>
      <c r="L134" s="19">
        <v>0</v>
      </c>
      <c r="M134" s="19">
        <v>0</v>
      </c>
      <c r="N134" s="19">
        <v>3.351</v>
      </c>
      <c r="O134" s="19">
        <v>0</v>
      </c>
      <c r="P134" s="19">
        <v>5.23</v>
      </c>
      <c r="Q134" s="19">
        <v>0</v>
      </c>
      <c r="R134" s="19">
        <v>4</v>
      </c>
      <c r="S134" s="19">
        <v>0</v>
      </c>
      <c r="T134" s="19">
        <v>1</v>
      </c>
      <c r="U134" s="19">
        <v>0</v>
      </c>
      <c r="V134" s="19">
        <v>114.48</v>
      </c>
      <c r="W134" s="19">
        <v>0</v>
      </c>
      <c r="X134" s="19">
        <v>2.992</v>
      </c>
      <c r="Y134" s="19">
        <v>0</v>
      </c>
      <c r="Z134" s="19">
        <v>21.245999999999999</v>
      </c>
      <c r="AA134" s="19">
        <v>0</v>
      </c>
      <c r="AB134" s="19">
        <v>18254</v>
      </c>
      <c r="AC134" s="19">
        <v>0</v>
      </c>
      <c r="AD134" s="20">
        <v>39129</v>
      </c>
      <c r="AE134" s="19">
        <v>0</v>
      </c>
      <c r="AF134" s="20">
        <v>3</v>
      </c>
      <c r="AG134" s="19">
        <v>0</v>
      </c>
      <c r="AH134" s="20">
        <v>0.2</v>
      </c>
      <c r="AI134" s="19">
        <v>0</v>
      </c>
      <c r="AJ134" s="20">
        <v>0.05</v>
      </c>
      <c r="AK134" s="19">
        <v>0</v>
      </c>
      <c r="AL134" s="20">
        <v>59209</v>
      </c>
      <c r="AM134" s="19">
        <v>0</v>
      </c>
      <c r="AN134" s="20">
        <v>0</v>
      </c>
      <c r="AO134" s="19">
        <v>0</v>
      </c>
      <c r="AP134" s="20">
        <v>0</v>
      </c>
      <c r="AQ134" s="19">
        <v>0</v>
      </c>
      <c r="AR134" s="28">
        <v>5.4999999999999997E-3</v>
      </c>
    </row>
    <row r="135" spans="1:44" ht="12.75" customHeight="1" x14ac:dyDescent="0.25">
      <c r="A135" s="27" t="s">
        <v>1334</v>
      </c>
      <c r="B135" s="14" t="s">
        <v>2393</v>
      </c>
      <c r="C135" s="26" t="s">
        <v>1026</v>
      </c>
      <c r="D135" s="14" t="s">
        <v>1136</v>
      </c>
      <c r="E135" s="1" t="s">
        <v>1545</v>
      </c>
      <c r="F135" s="14"/>
      <c r="G135" s="296"/>
      <c r="H135" s="296"/>
      <c r="I135" s="296"/>
      <c r="J135" s="296"/>
      <c r="K135" s="19">
        <v>0</v>
      </c>
      <c r="L135" s="19">
        <v>31.986999999999998</v>
      </c>
      <c r="M135" s="19">
        <v>0</v>
      </c>
      <c r="N135" s="19">
        <v>0</v>
      </c>
      <c r="O135" s="19">
        <v>0</v>
      </c>
      <c r="P135" s="19">
        <v>9.4600000000000004E-2</v>
      </c>
      <c r="Q135" s="19">
        <v>0</v>
      </c>
      <c r="R135" s="19">
        <v>4</v>
      </c>
      <c r="S135" s="19">
        <v>0</v>
      </c>
      <c r="T135" s="19">
        <v>1</v>
      </c>
      <c r="U135" s="19">
        <v>0</v>
      </c>
      <c r="V135" s="19">
        <v>2126.8000000000002</v>
      </c>
      <c r="W135" s="19">
        <v>0</v>
      </c>
      <c r="X135" s="19">
        <v>57.496000000000002</v>
      </c>
      <c r="Y135" s="19">
        <v>0</v>
      </c>
      <c r="Z135" s="19">
        <v>280.19499999999999</v>
      </c>
      <c r="AA135" s="19">
        <v>0</v>
      </c>
      <c r="AB135" s="19">
        <v>222698.986</v>
      </c>
      <c r="AC135" s="19">
        <v>0</v>
      </c>
      <c r="AD135" s="20">
        <v>340288</v>
      </c>
      <c r="AE135" s="19">
        <v>0</v>
      </c>
      <c r="AF135" s="20">
        <v>123.87</v>
      </c>
      <c r="AG135" s="19">
        <v>0</v>
      </c>
      <c r="AH135" s="20">
        <v>14.16</v>
      </c>
      <c r="AI135" s="19">
        <v>0</v>
      </c>
      <c r="AJ135" s="20">
        <v>69.67</v>
      </c>
      <c r="AK135" s="19">
        <v>0</v>
      </c>
      <c r="AL135" s="20">
        <v>599757.6</v>
      </c>
      <c r="AM135" s="19">
        <v>0</v>
      </c>
      <c r="AN135" s="20">
        <v>31.986999999999998</v>
      </c>
      <c r="AO135" s="19">
        <v>0</v>
      </c>
      <c r="AP135" s="20">
        <v>31.986999999999998</v>
      </c>
      <c r="AQ135" s="19">
        <v>0</v>
      </c>
      <c r="AR135" s="28">
        <v>0</v>
      </c>
    </row>
    <row r="136" spans="1:44" ht="12.75" customHeight="1" x14ac:dyDescent="0.25">
      <c r="A136" s="27" t="s">
        <v>1335</v>
      </c>
      <c r="B136" s="14" t="s">
        <v>2393</v>
      </c>
      <c r="C136" s="26" t="s">
        <v>1022</v>
      </c>
      <c r="D136" s="14" t="s">
        <v>1130</v>
      </c>
      <c r="E136" s="1" t="s">
        <v>1545</v>
      </c>
      <c r="F136" s="14"/>
      <c r="G136" s="296"/>
      <c r="H136" s="296"/>
      <c r="I136" s="296"/>
      <c r="J136" s="296"/>
      <c r="K136" s="19">
        <v>0</v>
      </c>
      <c r="L136" s="19">
        <v>6.87</v>
      </c>
      <c r="M136" s="19">
        <v>0</v>
      </c>
      <c r="N136" s="19">
        <v>0</v>
      </c>
      <c r="O136" s="19">
        <v>0</v>
      </c>
      <c r="P136" s="19">
        <v>21.75</v>
      </c>
      <c r="Q136" s="19">
        <v>0</v>
      </c>
      <c r="R136" s="19">
        <v>4</v>
      </c>
      <c r="S136" s="19">
        <v>0</v>
      </c>
      <c r="T136" s="19">
        <v>1</v>
      </c>
      <c r="U136" s="19">
        <v>0</v>
      </c>
      <c r="V136" s="19">
        <v>289.39999999999998</v>
      </c>
      <c r="W136" s="19">
        <v>0</v>
      </c>
      <c r="X136" s="19">
        <v>19.087</v>
      </c>
      <c r="Y136" s="19">
        <v>0</v>
      </c>
      <c r="Z136" s="19">
        <v>59.21</v>
      </c>
      <c r="AA136" s="19">
        <v>0</v>
      </c>
      <c r="AB136" s="19">
        <v>40118.28</v>
      </c>
      <c r="AC136" s="19">
        <v>0</v>
      </c>
      <c r="AD136" s="20">
        <v>44986.13</v>
      </c>
      <c r="AE136" s="19">
        <v>0</v>
      </c>
      <c r="AF136" s="20">
        <v>55.04</v>
      </c>
      <c r="AG136" s="19">
        <v>0</v>
      </c>
      <c r="AH136" s="20">
        <v>0</v>
      </c>
      <c r="AI136" s="19">
        <v>0</v>
      </c>
      <c r="AJ136" s="20">
        <v>280.26</v>
      </c>
      <c r="AK136" s="19">
        <v>0</v>
      </c>
      <c r="AL136" s="20">
        <v>78601.5</v>
      </c>
      <c r="AM136" s="19">
        <v>0</v>
      </c>
      <c r="AN136" s="20">
        <v>0</v>
      </c>
      <c r="AO136" s="19">
        <v>0</v>
      </c>
      <c r="AP136" s="20">
        <v>0</v>
      </c>
      <c r="AQ136" s="19">
        <v>0</v>
      </c>
      <c r="AR136" s="28">
        <v>0</v>
      </c>
    </row>
    <row r="137" spans="1:44" ht="12.75" customHeight="1" x14ac:dyDescent="0.25">
      <c r="A137" s="27" t="s">
        <v>1336</v>
      </c>
      <c r="B137" s="14" t="s">
        <v>2393</v>
      </c>
      <c r="C137" s="26" t="s">
        <v>1438</v>
      </c>
      <c r="D137" s="14" t="s">
        <v>1497</v>
      </c>
      <c r="E137" s="1" t="s">
        <v>1545</v>
      </c>
      <c r="F137" s="14"/>
      <c r="G137" s="296"/>
      <c r="H137" s="296">
        <v>452031.95</v>
      </c>
      <c r="I137" s="296"/>
      <c r="J137" s="296"/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4.3700000000000003E-2</v>
      </c>
      <c r="Q137" s="19">
        <v>0</v>
      </c>
      <c r="R137" s="19">
        <v>3</v>
      </c>
      <c r="S137" s="19">
        <v>0</v>
      </c>
      <c r="T137" s="19">
        <v>1</v>
      </c>
      <c r="U137" s="19">
        <v>0</v>
      </c>
      <c r="V137" s="19">
        <v>2016.74</v>
      </c>
      <c r="W137" s="19">
        <v>0</v>
      </c>
      <c r="X137" s="19">
        <v>64.631100000000004</v>
      </c>
      <c r="Y137" s="19">
        <v>0</v>
      </c>
      <c r="Z137" s="19">
        <v>154.768</v>
      </c>
      <c r="AA137" s="19">
        <v>0</v>
      </c>
      <c r="AB137" s="19">
        <v>90136.883199999997</v>
      </c>
      <c r="AC137" s="19">
        <v>0</v>
      </c>
      <c r="AD137" s="20">
        <v>154058.76999999999</v>
      </c>
      <c r="AE137" s="19">
        <v>0</v>
      </c>
      <c r="AF137" s="20">
        <v>65.42</v>
      </c>
      <c r="AG137" s="19">
        <v>0</v>
      </c>
      <c r="AH137" s="20">
        <v>8.02</v>
      </c>
      <c r="AI137" s="19">
        <v>0</v>
      </c>
      <c r="AJ137" s="20">
        <v>39.64</v>
      </c>
      <c r="AK137" s="19">
        <v>0</v>
      </c>
      <c r="AL137" s="20">
        <v>239992.06</v>
      </c>
      <c r="AM137" s="19">
        <v>0</v>
      </c>
      <c r="AN137" s="20">
        <v>0</v>
      </c>
      <c r="AO137" s="19">
        <v>0</v>
      </c>
      <c r="AP137" s="20">
        <v>0</v>
      </c>
      <c r="AQ137" s="19">
        <v>0</v>
      </c>
      <c r="AR137" s="28">
        <v>0</v>
      </c>
    </row>
    <row r="138" spans="1:44" ht="12.75" customHeight="1" x14ac:dyDescent="0.25">
      <c r="A138" s="27" t="s">
        <v>1337</v>
      </c>
      <c r="B138" s="14" t="s">
        <v>2393</v>
      </c>
      <c r="C138" s="26" t="s">
        <v>1439</v>
      </c>
      <c r="D138" s="14" t="s">
        <v>1498</v>
      </c>
      <c r="E138" s="1" t="s">
        <v>1545</v>
      </c>
      <c r="F138" s="14"/>
      <c r="G138" s="296"/>
      <c r="H138" s="323">
        <v>940119.06</v>
      </c>
      <c r="I138" s="296"/>
      <c r="J138" s="296"/>
      <c r="K138" s="19">
        <v>0</v>
      </c>
      <c r="L138" s="19">
        <v>0</v>
      </c>
      <c r="M138" s="19">
        <v>0</v>
      </c>
      <c r="N138" s="19">
        <v>45.756</v>
      </c>
      <c r="O138" s="19">
        <v>0</v>
      </c>
      <c r="P138" s="19">
        <v>71.533000000000001</v>
      </c>
      <c r="Q138" s="19">
        <v>0</v>
      </c>
      <c r="R138" s="19">
        <v>3</v>
      </c>
      <c r="S138" s="19">
        <v>0</v>
      </c>
      <c r="T138" s="19">
        <v>1</v>
      </c>
      <c r="U138" s="19">
        <v>0</v>
      </c>
      <c r="V138" s="19">
        <v>1299</v>
      </c>
      <c r="W138" s="19">
        <v>0</v>
      </c>
      <c r="X138" s="19">
        <v>26.503</v>
      </c>
      <c r="Y138" s="19">
        <v>0</v>
      </c>
      <c r="Z138" s="19">
        <v>260.596</v>
      </c>
      <c r="AA138" s="19">
        <v>0</v>
      </c>
      <c r="AB138" s="19">
        <v>234093</v>
      </c>
      <c r="AC138" s="19">
        <v>0</v>
      </c>
      <c r="AD138" s="20">
        <v>234093</v>
      </c>
      <c r="AE138" s="19">
        <v>0</v>
      </c>
      <c r="AF138" s="20">
        <v>58</v>
      </c>
      <c r="AG138" s="19">
        <v>0</v>
      </c>
      <c r="AH138" s="20">
        <v>3</v>
      </c>
      <c r="AI138" s="19">
        <v>0</v>
      </c>
      <c r="AJ138" s="20">
        <v>1</v>
      </c>
      <c r="AK138" s="19">
        <v>0</v>
      </c>
      <c r="AL138" s="20">
        <v>598112</v>
      </c>
      <c r="AM138" s="19">
        <v>0</v>
      </c>
      <c r="AN138" s="20">
        <v>0</v>
      </c>
      <c r="AO138" s="19">
        <v>0</v>
      </c>
      <c r="AP138" s="20">
        <v>0.113</v>
      </c>
      <c r="AQ138" s="19">
        <v>0</v>
      </c>
      <c r="AR138" s="28">
        <v>0.113</v>
      </c>
    </row>
    <row r="139" spans="1:44" ht="12.75" customHeight="1" x14ac:dyDescent="0.25">
      <c r="A139" s="27" t="s">
        <v>1338</v>
      </c>
      <c r="B139" s="14" t="s">
        <v>2393</v>
      </c>
      <c r="C139" s="26" t="s">
        <v>997</v>
      </c>
      <c r="D139" s="14" t="s">
        <v>1095</v>
      </c>
      <c r="E139" s="1" t="s">
        <v>1545</v>
      </c>
      <c r="F139" s="14"/>
      <c r="G139" s="296"/>
      <c r="H139" s="296">
        <v>629329.93999999994</v>
      </c>
      <c r="I139" s="296"/>
      <c r="J139" s="296"/>
      <c r="K139" s="19">
        <v>0</v>
      </c>
      <c r="L139" s="19">
        <v>9.5</v>
      </c>
      <c r="M139" s="19">
        <v>0</v>
      </c>
      <c r="N139" s="19">
        <v>0</v>
      </c>
      <c r="O139" s="19">
        <v>0</v>
      </c>
      <c r="P139" s="19">
        <v>33.67</v>
      </c>
      <c r="Q139" s="19">
        <v>0</v>
      </c>
      <c r="R139" s="19">
        <v>4</v>
      </c>
      <c r="S139" s="19">
        <v>0</v>
      </c>
      <c r="T139" s="19">
        <v>1</v>
      </c>
      <c r="U139" s="19">
        <v>0</v>
      </c>
      <c r="V139" s="19">
        <v>2515</v>
      </c>
      <c r="W139" s="19">
        <v>0</v>
      </c>
      <c r="X139" s="19">
        <v>34.299999999999997</v>
      </c>
      <c r="Y139" s="19">
        <v>0</v>
      </c>
      <c r="Z139" s="19">
        <v>155.16999999999999</v>
      </c>
      <c r="AA139" s="19">
        <v>0</v>
      </c>
      <c r="AB139" s="19">
        <v>120882.94</v>
      </c>
      <c r="AC139" s="19">
        <v>0</v>
      </c>
      <c r="AD139" s="20">
        <v>129673.25</v>
      </c>
      <c r="AE139" s="19">
        <v>0</v>
      </c>
      <c r="AF139" s="20">
        <v>17.87</v>
      </c>
      <c r="AG139" s="19">
        <v>0</v>
      </c>
      <c r="AH139" s="20">
        <v>0</v>
      </c>
      <c r="AI139" s="19">
        <v>0</v>
      </c>
      <c r="AJ139" s="20">
        <v>0.11</v>
      </c>
      <c r="AK139" s="19">
        <v>0</v>
      </c>
      <c r="AL139" s="20">
        <v>198273</v>
      </c>
      <c r="AM139" s="19">
        <v>0</v>
      </c>
      <c r="AN139" s="20">
        <v>0</v>
      </c>
      <c r="AO139" s="19">
        <v>0</v>
      </c>
      <c r="AP139" s="20">
        <v>0</v>
      </c>
      <c r="AQ139" s="19">
        <v>0</v>
      </c>
      <c r="AR139" s="28">
        <v>0</v>
      </c>
    </row>
    <row r="140" spans="1:44" ht="12.75" customHeight="1" x14ac:dyDescent="0.25">
      <c r="A140" s="27" t="s">
        <v>1339</v>
      </c>
      <c r="B140" s="14" t="s">
        <v>2393</v>
      </c>
      <c r="C140" s="26" t="s">
        <v>1028</v>
      </c>
      <c r="D140" s="14" t="s">
        <v>1142</v>
      </c>
      <c r="E140" s="1" t="s">
        <v>1545</v>
      </c>
      <c r="F140" s="14"/>
      <c r="G140" s="296"/>
      <c r="H140" s="296">
        <v>579425.92000000004</v>
      </c>
      <c r="I140" s="296"/>
      <c r="J140" s="296"/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1</v>
      </c>
      <c r="U140" s="19">
        <v>0</v>
      </c>
      <c r="V140" s="19">
        <v>0</v>
      </c>
      <c r="W140" s="19">
        <v>0</v>
      </c>
      <c r="X140" s="19">
        <v>11.88</v>
      </c>
      <c r="Y140" s="19">
        <v>0</v>
      </c>
      <c r="Z140" s="19">
        <v>126.07</v>
      </c>
      <c r="AA140" s="19">
        <v>0</v>
      </c>
      <c r="AB140" s="19">
        <v>0</v>
      </c>
      <c r="AC140" s="19">
        <v>0</v>
      </c>
      <c r="AD140" s="20">
        <v>114189.91</v>
      </c>
      <c r="AE140" s="19">
        <v>0</v>
      </c>
      <c r="AF140" s="20">
        <v>0</v>
      </c>
      <c r="AG140" s="19">
        <v>0</v>
      </c>
      <c r="AH140" s="20">
        <v>0</v>
      </c>
      <c r="AI140" s="19">
        <v>0</v>
      </c>
      <c r="AJ140" s="20">
        <v>0</v>
      </c>
      <c r="AK140" s="19">
        <v>0</v>
      </c>
      <c r="AL140" s="20">
        <v>163223.19</v>
      </c>
      <c r="AM140" s="19">
        <v>0</v>
      </c>
      <c r="AN140" s="20">
        <v>0</v>
      </c>
      <c r="AO140" s="19">
        <v>0</v>
      </c>
      <c r="AP140" s="20">
        <v>0</v>
      </c>
      <c r="AQ140" s="19">
        <v>0</v>
      </c>
      <c r="AR140" s="28">
        <v>0</v>
      </c>
    </row>
    <row r="141" spans="1:44" ht="12.75" customHeight="1" x14ac:dyDescent="0.25">
      <c r="A141" s="27" t="s">
        <v>1340</v>
      </c>
      <c r="B141" s="14" t="s">
        <v>2393</v>
      </c>
      <c r="C141" s="26" t="s">
        <v>1062</v>
      </c>
      <c r="D141" s="14" t="s">
        <v>1197</v>
      </c>
      <c r="E141" s="1" t="s">
        <v>1545</v>
      </c>
      <c r="F141" s="14"/>
      <c r="G141" s="296"/>
      <c r="H141" s="296"/>
      <c r="I141" s="296"/>
      <c r="J141" s="296"/>
      <c r="K141" s="19">
        <v>0</v>
      </c>
      <c r="L141" s="19">
        <v>0</v>
      </c>
      <c r="M141" s="19">
        <v>0</v>
      </c>
      <c r="N141" s="19">
        <v>40.53</v>
      </c>
      <c r="O141" s="19">
        <v>0</v>
      </c>
      <c r="P141" s="19">
        <v>5.92</v>
      </c>
      <c r="Q141" s="19">
        <v>0</v>
      </c>
      <c r="R141" s="19">
        <v>2</v>
      </c>
      <c r="S141" s="19">
        <v>0</v>
      </c>
      <c r="T141" s="19">
        <v>1</v>
      </c>
      <c r="U141" s="19">
        <v>0</v>
      </c>
      <c r="V141" s="19">
        <v>1044.9000000000001</v>
      </c>
      <c r="W141" s="19">
        <v>0</v>
      </c>
      <c r="X141" s="19">
        <v>15.194000000000001</v>
      </c>
      <c r="Y141" s="19">
        <v>0</v>
      </c>
      <c r="Z141" s="19">
        <v>30.692</v>
      </c>
      <c r="AA141" s="19">
        <v>0</v>
      </c>
      <c r="AB141" s="19">
        <v>15498</v>
      </c>
      <c r="AC141" s="19">
        <v>0</v>
      </c>
      <c r="AD141" s="20">
        <v>127206.13</v>
      </c>
      <c r="AE141" s="19">
        <v>0</v>
      </c>
      <c r="AF141" s="20">
        <v>15.15</v>
      </c>
      <c r="AG141" s="19">
        <v>0</v>
      </c>
      <c r="AH141" s="20">
        <v>2.758</v>
      </c>
      <c r="AI141" s="19">
        <v>0</v>
      </c>
      <c r="AJ141" s="20">
        <v>13.79</v>
      </c>
      <c r="AK141" s="19">
        <v>0</v>
      </c>
      <c r="AL141" s="20">
        <v>15498</v>
      </c>
      <c r="AM141" s="19">
        <v>0</v>
      </c>
      <c r="AN141" s="20">
        <v>0</v>
      </c>
      <c r="AO141" s="19">
        <v>0</v>
      </c>
      <c r="AP141" s="20">
        <v>40.53</v>
      </c>
      <c r="AQ141" s="19">
        <v>0</v>
      </c>
      <c r="AR141" s="28">
        <v>40.53</v>
      </c>
    </row>
    <row r="142" spans="1:44" ht="12.75" customHeight="1" x14ac:dyDescent="0.25">
      <c r="A142" s="27" t="s">
        <v>1341</v>
      </c>
      <c r="B142" s="14" t="s">
        <v>2393</v>
      </c>
      <c r="C142" s="26" t="s">
        <v>1010</v>
      </c>
      <c r="D142" s="14" t="s">
        <v>1112</v>
      </c>
      <c r="E142" s="1" t="s">
        <v>1545</v>
      </c>
      <c r="F142" s="14"/>
      <c r="G142" s="296"/>
      <c r="H142" s="296"/>
      <c r="I142" s="296"/>
      <c r="J142" s="296"/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65.256799999999998</v>
      </c>
      <c r="Q142" s="19">
        <v>0</v>
      </c>
      <c r="R142" s="19">
        <v>4</v>
      </c>
      <c r="S142" s="19">
        <v>0</v>
      </c>
      <c r="T142" s="19">
        <v>1</v>
      </c>
      <c r="U142" s="19">
        <v>0</v>
      </c>
      <c r="V142" s="19">
        <v>3071.2</v>
      </c>
      <c r="W142" s="19">
        <v>0</v>
      </c>
      <c r="X142" s="19">
        <v>136.80000000000001</v>
      </c>
      <c r="Y142" s="19">
        <v>0</v>
      </c>
      <c r="Z142" s="19">
        <v>441.1</v>
      </c>
      <c r="AA142" s="19">
        <v>0</v>
      </c>
      <c r="AB142" s="19">
        <v>304304</v>
      </c>
      <c r="AC142" s="19">
        <v>0</v>
      </c>
      <c r="AD142" s="20">
        <v>510202</v>
      </c>
      <c r="AE142" s="19">
        <v>0</v>
      </c>
      <c r="AF142" s="20">
        <v>23.7</v>
      </c>
      <c r="AG142" s="19">
        <v>0</v>
      </c>
      <c r="AH142" s="20">
        <v>0</v>
      </c>
      <c r="AI142" s="19">
        <v>0</v>
      </c>
      <c r="AJ142" s="20">
        <v>0</v>
      </c>
      <c r="AK142" s="19">
        <v>0</v>
      </c>
      <c r="AL142" s="20">
        <v>585245</v>
      </c>
      <c r="AM142" s="19">
        <v>0</v>
      </c>
      <c r="AN142" s="20">
        <v>0</v>
      </c>
      <c r="AO142" s="19">
        <v>0</v>
      </c>
      <c r="AP142" s="20">
        <v>0</v>
      </c>
      <c r="AQ142" s="19">
        <v>0</v>
      </c>
      <c r="AR142" s="28">
        <v>0</v>
      </c>
    </row>
    <row r="143" spans="1:44" ht="12.75" customHeight="1" x14ac:dyDescent="0.25">
      <c r="A143" s="27" t="s">
        <v>1342</v>
      </c>
      <c r="B143" s="14" t="s">
        <v>2393</v>
      </c>
      <c r="C143" s="26" t="s">
        <v>979</v>
      </c>
      <c r="D143" s="14" t="s">
        <v>1104</v>
      </c>
      <c r="E143" s="1" t="s">
        <v>1545</v>
      </c>
      <c r="F143" s="14"/>
      <c r="G143" s="296"/>
      <c r="H143" s="296"/>
      <c r="I143" s="296"/>
      <c r="J143" s="296"/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10.89</v>
      </c>
      <c r="Q143" s="19">
        <v>0</v>
      </c>
      <c r="R143" s="19">
        <v>6</v>
      </c>
      <c r="S143" s="19">
        <v>0</v>
      </c>
      <c r="T143" s="19">
        <v>1</v>
      </c>
      <c r="U143" s="19">
        <v>0</v>
      </c>
      <c r="V143" s="19">
        <v>742.56</v>
      </c>
      <c r="W143" s="19">
        <v>0</v>
      </c>
      <c r="X143" s="19">
        <v>56.433999999999997</v>
      </c>
      <c r="Y143" s="19">
        <v>0</v>
      </c>
      <c r="Z143" s="19">
        <v>273.79000000000002</v>
      </c>
      <c r="AA143" s="19">
        <v>0</v>
      </c>
      <c r="AB143" s="19">
        <v>81681.600000000006</v>
      </c>
      <c r="AC143" s="19">
        <v>0</v>
      </c>
      <c r="AD143" s="20">
        <v>110</v>
      </c>
      <c r="AE143" s="19">
        <v>0</v>
      </c>
      <c r="AF143" s="20">
        <v>8</v>
      </c>
      <c r="AG143" s="19">
        <v>0</v>
      </c>
      <c r="AH143" s="20">
        <v>0.4</v>
      </c>
      <c r="AI143" s="19">
        <v>0</v>
      </c>
      <c r="AJ143" s="20">
        <v>0.05</v>
      </c>
      <c r="AK143" s="19">
        <v>0</v>
      </c>
      <c r="AL143" s="20">
        <v>110</v>
      </c>
      <c r="AM143" s="19">
        <v>0</v>
      </c>
      <c r="AN143" s="20">
        <v>0</v>
      </c>
      <c r="AO143" s="19">
        <v>0</v>
      </c>
      <c r="AP143" s="20">
        <v>0</v>
      </c>
      <c r="AQ143" s="19">
        <v>0</v>
      </c>
      <c r="AR143" s="28">
        <v>0</v>
      </c>
    </row>
    <row r="144" spans="1:44" ht="12.75" customHeight="1" x14ac:dyDescent="0.25">
      <c r="A144" s="27" t="s">
        <v>1343</v>
      </c>
      <c r="B144" s="14" t="s">
        <v>2393</v>
      </c>
      <c r="C144" s="26" t="s">
        <v>1001</v>
      </c>
      <c r="D144" s="14" t="s">
        <v>1100</v>
      </c>
      <c r="E144" s="1" t="s">
        <v>1545</v>
      </c>
      <c r="F144" s="14"/>
      <c r="G144" s="296"/>
      <c r="H144" s="296">
        <v>371731.96</v>
      </c>
      <c r="I144" s="296"/>
      <c r="J144" s="296"/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19.190000000000001</v>
      </c>
      <c r="Q144" s="19">
        <v>0</v>
      </c>
      <c r="R144" s="19">
        <v>5</v>
      </c>
      <c r="S144" s="19">
        <v>0</v>
      </c>
      <c r="T144" s="19">
        <v>1</v>
      </c>
      <c r="U144" s="19">
        <v>0</v>
      </c>
      <c r="V144" s="19">
        <v>648.74</v>
      </c>
      <c r="W144" s="19">
        <v>0</v>
      </c>
      <c r="X144" s="19">
        <v>22.05</v>
      </c>
      <c r="Y144" s="19">
        <v>0</v>
      </c>
      <c r="Z144" s="19">
        <v>114.78</v>
      </c>
      <c r="AA144" s="19">
        <v>0</v>
      </c>
      <c r="AB144" s="19">
        <v>92730</v>
      </c>
      <c r="AC144" s="19">
        <v>0</v>
      </c>
      <c r="AD144" s="20">
        <v>152918.37</v>
      </c>
      <c r="AE144" s="19">
        <v>0</v>
      </c>
      <c r="AF144" s="20">
        <v>25</v>
      </c>
      <c r="AG144" s="19">
        <v>0</v>
      </c>
      <c r="AH144" s="20">
        <v>0.76</v>
      </c>
      <c r="AI144" s="19">
        <v>0</v>
      </c>
      <c r="AJ144" s="20">
        <v>3.83</v>
      </c>
      <c r="AK144" s="19">
        <v>0</v>
      </c>
      <c r="AL144" s="20">
        <v>215940.15</v>
      </c>
      <c r="AM144" s="19">
        <v>0</v>
      </c>
      <c r="AN144" s="20">
        <v>0</v>
      </c>
      <c r="AO144" s="19">
        <v>0</v>
      </c>
      <c r="AP144" s="20">
        <v>0</v>
      </c>
      <c r="AQ144" s="19">
        <v>0</v>
      </c>
      <c r="AR144" s="28">
        <v>0</v>
      </c>
    </row>
    <row r="145" spans="1:44" ht="12.75" customHeight="1" x14ac:dyDescent="0.25">
      <c r="A145" s="27" t="s">
        <v>1344</v>
      </c>
      <c r="B145" s="14" t="s">
        <v>2393</v>
      </c>
      <c r="C145" s="26" t="s">
        <v>1440</v>
      </c>
      <c r="D145" s="14" t="s">
        <v>1499</v>
      </c>
      <c r="E145" s="1" t="s">
        <v>1545</v>
      </c>
      <c r="F145" s="14"/>
      <c r="G145" s="296"/>
      <c r="H145" s="296"/>
      <c r="I145" s="296"/>
      <c r="J145" s="296"/>
      <c r="K145" s="19">
        <v>0</v>
      </c>
      <c r="L145" s="19">
        <v>9.17</v>
      </c>
      <c r="M145" s="19">
        <v>0</v>
      </c>
      <c r="N145" s="19">
        <v>0</v>
      </c>
      <c r="O145" s="19">
        <v>0</v>
      </c>
      <c r="P145" s="19">
        <v>53.34</v>
      </c>
      <c r="Q145" s="19">
        <v>0</v>
      </c>
      <c r="R145" s="19">
        <v>6</v>
      </c>
      <c r="S145" s="19">
        <v>0</v>
      </c>
      <c r="T145" s="19">
        <v>1</v>
      </c>
      <c r="U145" s="19">
        <v>0</v>
      </c>
      <c r="V145" s="19">
        <v>1194.17</v>
      </c>
      <c r="W145" s="19">
        <v>0</v>
      </c>
      <c r="X145" s="19">
        <v>75.59</v>
      </c>
      <c r="Y145" s="19">
        <v>0</v>
      </c>
      <c r="Z145" s="19">
        <v>162.97999999999999</v>
      </c>
      <c r="AA145" s="19">
        <v>0</v>
      </c>
      <c r="AB145" s="19">
        <v>87396.3</v>
      </c>
      <c r="AC145" s="19">
        <v>0</v>
      </c>
      <c r="AD145" s="20">
        <v>87396.3</v>
      </c>
      <c r="AE145" s="19">
        <v>0</v>
      </c>
      <c r="AF145" s="20">
        <v>0.04</v>
      </c>
      <c r="AG145" s="19">
        <v>0</v>
      </c>
      <c r="AH145" s="20">
        <v>0.04</v>
      </c>
      <c r="AI145" s="19">
        <v>0</v>
      </c>
      <c r="AJ145" s="20">
        <v>0.15</v>
      </c>
      <c r="AK145" s="19">
        <v>0</v>
      </c>
      <c r="AL145" s="20">
        <v>151641.65</v>
      </c>
      <c r="AM145" s="19">
        <v>0</v>
      </c>
      <c r="AN145" s="20">
        <v>2E-3</v>
      </c>
      <c r="AO145" s="19">
        <v>0</v>
      </c>
      <c r="AP145" s="20">
        <v>2E-3</v>
      </c>
      <c r="AQ145" s="19">
        <v>0</v>
      </c>
      <c r="AR145" s="28">
        <v>0</v>
      </c>
    </row>
    <row r="146" spans="1:44" ht="12.75" customHeight="1" x14ac:dyDescent="0.25">
      <c r="A146" s="27" t="s">
        <v>1345</v>
      </c>
      <c r="B146" s="14" t="s">
        <v>2393</v>
      </c>
      <c r="C146" s="26" t="s">
        <v>993</v>
      </c>
      <c r="D146" s="14" t="s">
        <v>1090</v>
      </c>
      <c r="E146" s="1" t="s">
        <v>1545</v>
      </c>
      <c r="F146" s="14"/>
      <c r="G146" s="296"/>
      <c r="H146" s="296">
        <v>1090535.08</v>
      </c>
      <c r="I146" s="296"/>
      <c r="J146" s="296"/>
      <c r="K146" s="19">
        <v>0</v>
      </c>
      <c r="L146" s="19">
        <v>8.0500000000000007</v>
      </c>
      <c r="M146" s="19">
        <v>0</v>
      </c>
      <c r="N146" s="19">
        <v>0</v>
      </c>
      <c r="O146" s="19">
        <v>0</v>
      </c>
      <c r="P146" s="19">
        <v>106</v>
      </c>
      <c r="Q146" s="19">
        <v>0</v>
      </c>
      <c r="R146" s="19">
        <v>6</v>
      </c>
      <c r="S146" s="19">
        <v>0</v>
      </c>
      <c r="T146" s="19">
        <v>1</v>
      </c>
      <c r="U146" s="19">
        <v>0</v>
      </c>
      <c r="V146" s="19">
        <v>3559</v>
      </c>
      <c r="W146" s="19">
        <v>0</v>
      </c>
      <c r="X146" s="19">
        <v>71.61</v>
      </c>
      <c r="Y146" s="19">
        <v>0</v>
      </c>
      <c r="Z146" s="19">
        <v>446.18</v>
      </c>
      <c r="AA146" s="19">
        <v>0</v>
      </c>
      <c r="AB146" s="19">
        <v>374570</v>
      </c>
      <c r="AC146" s="19">
        <v>0</v>
      </c>
      <c r="AD146" s="20">
        <v>409923</v>
      </c>
      <c r="AE146" s="19">
        <v>0</v>
      </c>
      <c r="AF146" s="20">
        <v>0</v>
      </c>
      <c r="AG146" s="19">
        <v>0</v>
      </c>
      <c r="AH146" s="20">
        <v>0</v>
      </c>
      <c r="AI146" s="19">
        <v>0</v>
      </c>
      <c r="AJ146" s="20">
        <v>0</v>
      </c>
      <c r="AK146" s="19">
        <v>0</v>
      </c>
      <c r="AL146" s="20">
        <v>554981</v>
      </c>
      <c r="AM146" s="19">
        <v>0</v>
      </c>
      <c r="AN146" s="20">
        <v>0.01</v>
      </c>
      <c r="AO146" s="19">
        <v>0</v>
      </c>
      <c r="AP146" s="20">
        <v>0.01</v>
      </c>
      <c r="AQ146" s="19">
        <v>0</v>
      </c>
      <c r="AR146" s="28">
        <v>0</v>
      </c>
    </row>
    <row r="147" spans="1:44" ht="12.75" customHeight="1" x14ac:dyDescent="0.25">
      <c r="A147" s="27" t="s">
        <v>1346</v>
      </c>
      <c r="B147" s="14" t="s">
        <v>2393</v>
      </c>
      <c r="C147" s="26" t="s">
        <v>1441</v>
      </c>
      <c r="D147" s="14" t="s">
        <v>1500</v>
      </c>
      <c r="E147" s="1" t="s">
        <v>1545</v>
      </c>
      <c r="F147" s="14"/>
      <c r="G147" s="296"/>
      <c r="H147" s="296"/>
      <c r="I147" s="296"/>
      <c r="J147" s="296"/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72.599999999999994</v>
      </c>
      <c r="Q147" s="19">
        <v>0</v>
      </c>
      <c r="R147" s="19">
        <v>9</v>
      </c>
      <c r="S147" s="19">
        <v>0</v>
      </c>
      <c r="T147" s="19">
        <v>3</v>
      </c>
      <c r="U147" s="19">
        <v>0</v>
      </c>
      <c r="V147" s="19">
        <v>3145.5</v>
      </c>
      <c r="W147" s="19">
        <v>0</v>
      </c>
      <c r="X147" s="19">
        <v>116.2</v>
      </c>
      <c r="Y147" s="19">
        <v>0</v>
      </c>
      <c r="Z147" s="19">
        <v>367.3</v>
      </c>
      <c r="AA147" s="19">
        <v>0</v>
      </c>
      <c r="AB147" s="19">
        <v>251156</v>
      </c>
      <c r="AC147" s="19">
        <v>0</v>
      </c>
      <c r="AD147" s="20">
        <v>251156</v>
      </c>
      <c r="AE147" s="19">
        <v>0</v>
      </c>
      <c r="AF147" s="20">
        <v>27778.77</v>
      </c>
      <c r="AG147" s="19">
        <v>0</v>
      </c>
      <c r="AH147" s="20">
        <v>0</v>
      </c>
      <c r="AI147" s="19">
        <v>0</v>
      </c>
      <c r="AJ147" s="20">
        <v>176.24</v>
      </c>
      <c r="AK147" s="19">
        <v>0</v>
      </c>
      <c r="AL147" s="20">
        <v>545916.30000000005</v>
      </c>
      <c r="AM147" s="19">
        <v>0</v>
      </c>
      <c r="AN147" s="20">
        <v>0</v>
      </c>
      <c r="AO147" s="19">
        <v>0</v>
      </c>
      <c r="AP147" s="20">
        <v>0</v>
      </c>
      <c r="AQ147" s="19">
        <v>0</v>
      </c>
      <c r="AR147" s="28">
        <v>0</v>
      </c>
    </row>
    <row r="148" spans="1:44" ht="12.75" customHeight="1" x14ac:dyDescent="0.25">
      <c r="A148" s="27" t="s">
        <v>1347</v>
      </c>
      <c r="B148" s="14" t="s">
        <v>2393</v>
      </c>
      <c r="C148" s="26" t="s">
        <v>1442</v>
      </c>
      <c r="D148" s="14" t="s">
        <v>1501</v>
      </c>
      <c r="E148" s="1" t="s">
        <v>1545</v>
      </c>
      <c r="F148" s="14"/>
      <c r="G148" s="296"/>
      <c r="H148" s="296"/>
      <c r="I148" s="296"/>
      <c r="J148" s="296"/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2.5219999999999998</v>
      </c>
      <c r="Q148" s="19">
        <v>0</v>
      </c>
      <c r="R148" s="19">
        <v>5</v>
      </c>
      <c r="S148" s="19">
        <v>0</v>
      </c>
      <c r="T148" s="19">
        <v>1</v>
      </c>
      <c r="U148" s="19">
        <v>0</v>
      </c>
      <c r="V148" s="19">
        <v>1090.3340000000001</v>
      </c>
      <c r="W148" s="19">
        <v>0</v>
      </c>
      <c r="X148" s="19">
        <v>12.99</v>
      </c>
      <c r="Y148" s="19">
        <v>0</v>
      </c>
      <c r="Z148" s="19">
        <v>100.6</v>
      </c>
      <c r="AA148" s="19">
        <v>0</v>
      </c>
      <c r="AB148" s="19">
        <v>87610</v>
      </c>
      <c r="AC148" s="19">
        <v>0</v>
      </c>
      <c r="AD148" s="20">
        <v>268922</v>
      </c>
      <c r="AE148" s="19">
        <v>0</v>
      </c>
      <c r="AF148" s="20">
        <v>21</v>
      </c>
      <c r="AG148" s="19">
        <v>0</v>
      </c>
      <c r="AH148" s="20">
        <v>0</v>
      </c>
      <c r="AI148" s="19">
        <v>0</v>
      </c>
      <c r="AJ148" s="20">
        <v>0</v>
      </c>
      <c r="AK148" s="19">
        <v>0</v>
      </c>
      <c r="AL148" s="20">
        <v>400516.98</v>
      </c>
      <c r="AM148" s="19">
        <v>0</v>
      </c>
      <c r="AN148" s="20">
        <v>0</v>
      </c>
      <c r="AO148" s="19">
        <v>0</v>
      </c>
      <c r="AP148" s="20">
        <v>4.5999999999999999E-2</v>
      </c>
      <c r="AQ148" s="19">
        <v>0</v>
      </c>
      <c r="AR148" s="28">
        <v>4.5999999999999999E-2</v>
      </c>
    </row>
    <row r="149" spans="1:44" ht="12.75" customHeight="1" x14ac:dyDescent="0.25">
      <c r="A149" s="27" t="s">
        <v>1348</v>
      </c>
      <c r="B149" s="14" t="s">
        <v>2393</v>
      </c>
      <c r="C149" s="26" t="s">
        <v>1443</v>
      </c>
      <c r="D149" s="14" t="s">
        <v>1502</v>
      </c>
      <c r="E149" s="1" t="s">
        <v>1545</v>
      </c>
      <c r="F149" s="14"/>
      <c r="G149" s="296"/>
      <c r="H149" s="296"/>
      <c r="I149" s="296"/>
      <c r="J149" s="296"/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12.273999999999999</v>
      </c>
      <c r="Q149" s="19">
        <v>0</v>
      </c>
      <c r="R149" s="19">
        <v>4</v>
      </c>
      <c r="S149" s="19">
        <v>0</v>
      </c>
      <c r="T149" s="19">
        <v>1</v>
      </c>
      <c r="U149" s="19">
        <v>0</v>
      </c>
      <c r="V149" s="19">
        <v>2170.8000000000002</v>
      </c>
      <c r="W149" s="19">
        <v>0</v>
      </c>
      <c r="X149" s="19">
        <v>96</v>
      </c>
      <c r="Y149" s="19">
        <v>0</v>
      </c>
      <c r="Z149" s="19">
        <v>345.5</v>
      </c>
      <c r="AA149" s="19">
        <v>0</v>
      </c>
      <c r="AB149" s="19">
        <v>249.4</v>
      </c>
      <c r="AC149" s="19">
        <v>0</v>
      </c>
      <c r="AD149" s="20">
        <v>249420.31</v>
      </c>
      <c r="AE149" s="19">
        <v>0</v>
      </c>
      <c r="AF149" s="20">
        <v>394.92</v>
      </c>
      <c r="AG149" s="19">
        <v>0</v>
      </c>
      <c r="AH149" s="20">
        <v>806.53</v>
      </c>
      <c r="AI149" s="19">
        <v>0</v>
      </c>
      <c r="AJ149" s="20">
        <v>144.02000000000001</v>
      </c>
      <c r="AK149" s="19">
        <v>0</v>
      </c>
      <c r="AL149" s="20">
        <v>114302</v>
      </c>
      <c r="AM149" s="19">
        <v>0</v>
      </c>
      <c r="AN149" s="20">
        <v>0</v>
      </c>
      <c r="AO149" s="19">
        <v>0</v>
      </c>
      <c r="AP149" s="20">
        <v>0</v>
      </c>
      <c r="AQ149" s="19">
        <v>0</v>
      </c>
      <c r="AR149" s="28">
        <v>0</v>
      </c>
    </row>
    <row r="150" spans="1:44" ht="12.75" customHeight="1" x14ac:dyDescent="0.25">
      <c r="A150" s="27" t="s">
        <v>1349</v>
      </c>
      <c r="B150" s="14" t="s">
        <v>2393</v>
      </c>
      <c r="C150" s="26" t="s">
        <v>1051</v>
      </c>
      <c r="D150" s="14" t="s">
        <v>1178</v>
      </c>
      <c r="E150" s="1" t="s">
        <v>1545</v>
      </c>
      <c r="F150" s="14"/>
      <c r="G150" s="296"/>
      <c r="H150" s="296">
        <v>594672.63</v>
      </c>
      <c r="I150" s="296"/>
      <c r="J150" s="296"/>
      <c r="K150" s="19">
        <v>0</v>
      </c>
      <c r="L150" s="19">
        <v>0</v>
      </c>
      <c r="M150" s="19">
        <v>0</v>
      </c>
      <c r="N150" s="19">
        <v>5.12</v>
      </c>
      <c r="O150" s="19">
        <v>0</v>
      </c>
      <c r="P150" s="19">
        <v>10.51</v>
      </c>
      <c r="Q150" s="19">
        <v>0</v>
      </c>
      <c r="R150" s="19">
        <v>4</v>
      </c>
      <c r="S150" s="19">
        <v>0</v>
      </c>
      <c r="T150" s="19">
        <v>1</v>
      </c>
      <c r="U150" s="19">
        <v>0</v>
      </c>
      <c r="V150" s="19">
        <v>1259.8499999999999</v>
      </c>
      <c r="W150" s="19">
        <v>0</v>
      </c>
      <c r="X150" s="19">
        <v>8.3699999999999992</v>
      </c>
      <c r="Y150" s="19">
        <v>0</v>
      </c>
      <c r="Z150" s="19">
        <v>62.1</v>
      </c>
      <c r="AA150" s="19">
        <v>0</v>
      </c>
      <c r="AB150" s="19">
        <v>240666.13</v>
      </c>
      <c r="AC150" s="19">
        <v>0</v>
      </c>
      <c r="AD150" s="20">
        <v>53731</v>
      </c>
      <c r="AE150" s="19">
        <v>0</v>
      </c>
      <c r="AF150" s="20">
        <v>15.85</v>
      </c>
      <c r="AG150" s="19">
        <v>0</v>
      </c>
      <c r="AH150" s="20">
        <v>1.1000000000000001</v>
      </c>
      <c r="AI150" s="19">
        <v>0</v>
      </c>
      <c r="AJ150" s="20">
        <v>5.5</v>
      </c>
      <c r="AK150" s="19">
        <v>0</v>
      </c>
      <c r="AL150" s="20">
        <v>332935.40000000002</v>
      </c>
      <c r="AM150" s="19">
        <v>0</v>
      </c>
      <c r="AN150" s="20">
        <v>0</v>
      </c>
      <c r="AO150" s="19">
        <v>0</v>
      </c>
      <c r="AP150" s="20">
        <v>0</v>
      </c>
      <c r="AQ150" s="19">
        <v>0</v>
      </c>
      <c r="AR150" s="28">
        <v>0</v>
      </c>
    </row>
    <row r="151" spans="1:44" ht="12.75" customHeight="1" x14ac:dyDescent="0.25">
      <c r="A151" s="27" t="s">
        <v>1350</v>
      </c>
      <c r="B151" s="14" t="s">
        <v>2393</v>
      </c>
      <c r="C151" s="26" t="s">
        <v>1036</v>
      </c>
      <c r="D151" s="14" t="s">
        <v>1155</v>
      </c>
      <c r="E151" s="1" t="s">
        <v>1545</v>
      </c>
      <c r="F151" s="14"/>
      <c r="G151" s="296"/>
      <c r="H151" s="296"/>
      <c r="I151" s="296"/>
      <c r="J151" s="296"/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18.399999999999999</v>
      </c>
      <c r="Q151" s="19">
        <v>0</v>
      </c>
      <c r="R151" s="19">
        <v>3</v>
      </c>
      <c r="S151" s="19">
        <v>0</v>
      </c>
      <c r="T151" s="19">
        <v>3</v>
      </c>
      <c r="U151" s="19">
        <v>0</v>
      </c>
      <c r="V151" s="19">
        <v>3378.37</v>
      </c>
      <c r="W151" s="19">
        <v>0</v>
      </c>
      <c r="X151" s="19">
        <v>52.16</v>
      </c>
      <c r="Y151" s="19">
        <v>0</v>
      </c>
      <c r="Z151" s="19">
        <v>185.76</v>
      </c>
      <c r="AA151" s="19">
        <v>0</v>
      </c>
      <c r="AB151" s="19">
        <v>133600</v>
      </c>
      <c r="AC151" s="19">
        <v>0</v>
      </c>
      <c r="AD151" s="20">
        <v>133600</v>
      </c>
      <c r="AE151" s="19">
        <v>0</v>
      </c>
      <c r="AF151" s="20">
        <v>5.5999999999999999E-3</v>
      </c>
      <c r="AG151" s="19">
        <v>0</v>
      </c>
      <c r="AH151" s="20">
        <v>0</v>
      </c>
      <c r="AI151" s="19">
        <v>0</v>
      </c>
      <c r="AJ151" s="20">
        <v>1.17E-2</v>
      </c>
      <c r="AK151" s="19">
        <v>0</v>
      </c>
      <c r="AL151" s="20">
        <v>46.63</v>
      </c>
      <c r="AM151" s="19">
        <v>0</v>
      </c>
      <c r="AN151" s="20">
        <v>0</v>
      </c>
      <c r="AO151" s="19">
        <v>0</v>
      </c>
      <c r="AP151" s="20">
        <v>0</v>
      </c>
      <c r="AQ151" s="19">
        <v>0</v>
      </c>
      <c r="AR151" s="28">
        <v>0</v>
      </c>
    </row>
    <row r="152" spans="1:44" ht="12.75" customHeight="1" x14ac:dyDescent="0.25">
      <c r="A152" s="27" t="s">
        <v>1351</v>
      </c>
      <c r="B152" s="14" t="s">
        <v>2393</v>
      </c>
      <c r="C152" s="26" t="s">
        <v>1444</v>
      </c>
      <c r="D152" s="14" t="s">
        <v>1503</v>
      </c>
      <c r="E152" s="1" t="s">
        <v>1545</v>
      </c>
      <c r="F152" s="14"/>
      <c r="G152" s="296"/>
      <c r="H152" s="296"/>
      <c r="I152" s="296"/>
      <c r="J152" s="296"/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29.48</v>
      </c>
      <c r="Q152" s="19">
        <v>0</v>
      </c>
      <c r="R152" s="19">
        <v>4</v>
      </c>
      <c r="S152" s="19">
        <v>0</v>
      </c>
      <c r="T152" s="19">
        <v>1</v>
      </c>
      <c r="U152" s="19">
        <v>0</v>
      </c>
      <c r="V152" s="19">
        <v>380</v>
      </c>
      <c r="W152" s="19">
        <v>0</v>
      </c>
      <c r="X152" s="19">
        <v>12.39</v>
      </c>
      <c r="Y152" s="19">
        <v>0</v>
      </c>
      <c r="Z152" s="19">
        <v>118.51</v>
      </c>
      <c r="AA152" s="19">
        <v>0</v>
      </c>
      <c r="AB152" s="19">
        <v>106120</v>
      </c>
      <c r="AC152" s="19">
        <v>0</v>
      </c>
      <c r="AD152" s="20">
        <v>106120</v>
      </c>
      <c r="AE152" s="19">
        <v>0</v>
      </c>
      <c r="AF152" s="20">
        <v>22</v>
      </c>
      <c r="AG152" s="19">
        <v>0</v>
      </c>
      <c r="AH152" s="20">
        <v>0</v>
      </c>
      <c r="AI152" s="19">
        <v>0</v>
      </c>
      <c r="AJ152" s="20">
        <v>5</v>
      </c>
      <c r="AK152" s="19">
        <v>0</v>
      </c>
      <c r="AL152" s="20">
        <v>106120</v>
      </c>
      <c r="AM152" s="19">
        <v>0</v>
      </c>
      <c r="AN152" s="20">
        <v>0</v>
      </c>
      <c r="AO152" s="19">
        <v>0</v>
      </c>
      <c r="AP152" s="20">
        <v>0</v>
      </c>
      <c r="AQ152" s="19">
        <v>0</v>
      </c>
      <c r="AR152" s="28">
        <v>0</v>
      </c>
    </row>
    <row r="153" spans="1:44" ht="12.75" customHeight="1" x14ac:dyDescent="0.25">
      <c r="A153" s="27" t="s">
        <v>1352</v>
      </c>
      <c r="B153" s="14" t="s">
        <v>2393</v>
      </c>
      <c r="C153" s="26" t="s">
        <v>1445</v>
      </c>
      <c r="D153" s="14" t="s">
        <v>1504</v>
      </c>
      <c r="E153" s="1" t="s">
        <v>1545</v>
      </c>
      <c r="F153" s="14"/>
      <c r="G153" s="296"/>
      <c r="H153" s="296"/>
      <c r="I153" s="296"/>
      <c r="J153" s="296"/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23.155999999999999</v>
      </c>
      <c r="Q153" s="19">
        <v>0</v>
      </c>
      <c r="R153" s="19">
        <v>4</v>
      </c>
      <c r="S153" s="19">
        <v>0</v>
      </c>
      <c r="T153" s="19">
        <v>1</v>
      </c>
      <c r="U153" s="19">
        <v>0</v>
      </c>
      <c r="V153" s="19">
        <v>1129.2</v>
      </c>
      <c r="W153" s="19">
        <v>0</v>
      </c>
      <c r="X153" s="19">
        <v>42.372999999999998</v>
      </c>
      <c r="Y153" s="19">
        <v>0</v>
      </c>
      <c r="Z153" s="19">
        <v>94.352999999999994</v>
      </c>
      <c r="AA153" s="19">
        <v>0</v>
      </c>
      <c r="AB153" s="19">
        <v>51980</v>
      </c>
      <c r="AC153" s="19">
        <v>0</v>
      </c>
      <c r="AD153" s="20">
        <v>51980</v>
      </c>
      <c r="AE153" s="19">
        <v>0</v>
      </c>
      <c r="AF153" s="20">
        <v>34.299999999999997</v>
      </c>
      <c r="AG153" s="19">
        <v>0</v>
      </c>
      <c r="AH153" s="20">
        <v>0</v>
      </c>
      <c r="AI153" s="19">
        <v>0</v>
      </c>
      <c r="AJ153" s="20">
        <v>17.260000000000002</v>
      </c>
      <c r="AK153" s="19">
        <v>0</v>
      </c>
      <c r="AL153" s="20">
        <v>51980</v>
      </c>
      <c r="AM153" s="19">
        <v>0</v>
      </c>
      <c r="AN153" s="20">
        <v>0</v>
      </c>
      <c r="AO153" s="19">
        <v>0</v>
      </c>
      <c r="AP153" s="20">
        <v>0</v>
      </c>
      <c r="AQ153" s="19">
        <v>0</v>
      </c>
      <c r="AR153" s="28">
        <v>0</v>
      </c>
    </row>
    <row r="154" spans="1:44" ht="12.75" customHeight="1" x14ac:dyDescent="0.25">
      <c r="A154" s="27" t="s">
        <v>1353</v>
      </c>
      <c r="B154" s="14" t="s">
        <v>2393</v>
      </c>
      <c r="C154" s="26" t="s">
        <v>1006</v>
      </c>
      <c r="D154" s="14" t="s">
        <v>1107</v>
      </c>
      <c r="E154" s="1" t="s">
        <v>1545</v>
      </c>
      <c r="F154" s="14"/>
      <c r="G154" s="296"/>
      <c r="H154" s="296">
        <v>107711.37</v>
      </c>
      <c r="I154" s="296"/>
      <c r="J154" s="296"/>
      <c r="K154" s="19">
        <v>0</v>
      </c>
      <c r="L154" s="19">
        <v>0</v>
      </c>
      <c r="M154" s="19">
        <v>0</v>
      </c>
      <c r="N154" s="19">
        <v>2.2200000000000002</v>
      </c>
      <c r="O154" s="19">
        <v>0</v>
      </c>
      <c r="P154" s="19">
        <v>12.09</v>
      </c>
      <c r="Q154" s="19">
        <v>0</v>
      </c>
      <c r="R154" s="19">
        <v>7</v>
      </c>
      <c r="S154" s="19">
        <v>0</v>
      </c>
      <c r="T154" s="19">
        <v>1</v>
      </c>
      <c r="U154" s="19">
        <v>0</v>
      </c>
      <c r="V154" s="19">
        <v>428.24</v>
      </c>
      <c r="W154" s="19">
        <v>0</v>
      </c>
      <c r="X154" s="19">
        <v>22.32</v>
      </c>
      <c r="Y154" s="19">
        <v>0</v>
      </c>
      <c r="Z154" s="19">
        <v>59.32</v>
      </c>
      <c r="AA154" s="19">
        <v>0</v>
      </c>
      <c r="AB154" s="19">
        <v>37000</v>
      </c>
      <c r="AC154" s="19">
        <v>0</v>
      </c>
      <c r="AD154" s="20">
        <v>37000</v>
      </c>
      <c r="AE154" s="19">
        <v>0</v>
      </c>
      <c r="AF154" s="20">
        <v>10320</v>
      </c>
      <c r="AG154" s="19">
        <v>0</v>
      </c>
      <c r="AH154" s="20">
        <v>5060</v>
      </c>
      <c r="AI154" s="19">
        <v>0</v>
      </c>
      <c r="AJ154" s="20">
        <v>19640</v>
      </c>
      <c r="AK154" s="19">
        <v>0</v>
      </c>
      <c r="AL154" s="20">
        <v>83678</v>
      </c>
      <c r="AM154" s="19">
        <v>0</v>
      </c>
      <c r="AN154" s="20">
        <v>0</v>
      </c>
      <c r="AO154" s="19">
        <v>0</v>
      </c>
      <c r="AP154" s="20">
        <v>4.0000000000000001E-3</v>
      </c>
      <c r="AQ154" s="19">
        <v>0</v>
      </c>
      <c r="AR154" s="28">
        <v>4.0000000000000001E-3</v>
      </c>
    </row>
    <row r="155" spans="1:44" ht="12.75" customHeight="1" x14ac:dyDescent="0.25">
      <c r="A155" s="27" t="s">
        <v>1354</v>
      </c>
      <c r="B155" s="14" t="s">
        <v>2393</v>
      </c>
      <c r="C155" s="26" t="s">
        <v>1040</v>
      </c>
      <c r="D155" s="14" t="s">
        <v>1161</v>
      </c>
      <c r="E155" s="1" t="s">
        <v>1545</v>
      </c>
      <c r="F155" s="14"/>
      <c r="G155" s="296"/>
      <c r="H155" s="296"/>
      <c r="I155" s="296"/>
      <c r="J155" s="296"/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19.654</v>
      </c>
      <c r="Q155" s="19">
        <v>0</v>
      </c>
      <c r="R155" s="19">
        <v>5</v>
      </c>
      <c r="S155" s="19">
        <v>0</v>
      </c>
      <c r="T155" s="19">
        <v>1</v>
      </c>
      <c r="U155" s="19">
        <v>0</v>
      </c>
      <c r="V155" s="19">
        <v>583.19000000000005</v>
      </c>
      <c r="W155" s="19">
        <v>0</v>
      </c>
      <c r="X155" s="19">
        <v>40.695</v>
      </c>
      <c r="Y155" s="19">
        <v>0</v>
      </c>
      <c r="Z155" s="19">
        <v>105.108</v>
      </c>
      <c r="AA155" s="19">
        <v>0</v>
      </c>
      <c r="AB155" s="19">
        <v>64413.34</v>
      </c>
      <c r="AC155" s="19">
        <v>0</v>
      </c>
      <c r="AD155" s="20">
        <v>62090</v>
      </c>
      <c r="AE155" s="19">
        <v>0</v>
      </c>
      <c r="AF155" s="20">
        <v>5.7908999999999997</v>
      </c>
      <c r="AG155" s="19">
        <v>0</v>
      </c>
      <c r="AH155" s="20">
        <v>1.26</v>
      </c>
      <c r="AI155" s="19">
        <v>0</v>
      </c>
      <c r="AJ155" s="20">
        <v>1.3732</v>
      </c>
      <c r="AK155" s="19">
        <v>0</v>
      </c>
      <c r="AL155" s="20">
        <v>120038</v>
      </c>
      <c r="AM155" s="19">
        <v>0</v>
      </c>
      <c r="AN155" s="20">
        <v>0</v>
      </c>
      <c r="AO155" s="19">
        <v>0</v>
      </c>
      <c r="AP155" s="20">
        <v>0</v>
      </c>
      <c r="AQ155" s="19">
        <v>0</v>
      </c>
      <c r="AR155" s="28">
        <v>0</v>
      </c>
    </row>
    <row r="156" spans="1:44" ht="12.75" customHeight="1" x14ac:dyDescent="0.25">
      <c r="A156" s="27" t="s">
        <v>1355</v>
      </c>
      <c r="B156" s="14" t="s">
        <v>2393</v>
      </c>
      <c r="C156" s="26" t="s">
        <v>1049</v>
      </c>
      <c r="D156" s="14" t="s">
        <v>1174</v>
      </c>
      <c r="E156" s="1" t="s">
        <v>1545</v>
      </c>
      <c r="F156" s="14"/>
      <c r="G156" s="296"/>
      <c r="H156" s="323">
        <v>1939125.33</v>
      </c>
      <c r="I156" s="296"/>
      <c r="J156" s="296"/>
      <c r="K156" s="19">
        <v>0</v>
      </c>
      <c r="L156" s="19">
        <v>41.8</v>
      </c>
      <c r="M156" s="19">
        <v>0</v>
      </c>
      <c r="N156" s="19">
        <v>0</v>
      </c>
      <c r="O156" s="19">
        <v>0</v>
      </c>
      <c r="P156" s="19">
        <v>199.4</v>
      </c>
      <c r="Q156" s="19">
        <v>0</v>
      </c>
      <c r="R156" s="19">
        <v>4</v>
      </c>
      <c r="S156" s="19">
        <v>0</v>
      </c>
      <c r="T156" s="19">
        <v>1</v>
      </c>
      <c r="U156" s="19">
        <v>0</v>
      </c>
      <c r="V156" s="19">
        <v>3119.45</v>
      </c>
      <c r="W156" s="19">
        <v>0</v>
      </c>
      <c r="X156" s="19">
        <v>447.2</v>
      </c>
      <c r="Y156" s="19">
        <v>0</v>
      </c>
      <c r="Z156" s="19">
        <v>1118</v>
      </c>
      <c r="AA156" s="19">
        <v>0</v>
      </c>
      <c r="AB156" s="19">
        <v>670800</v>
      </c>
      <c r="AC156" s="19">
        <v>0</v>
      </c>
      <c r="AD156" s="20">
        <v>715162</v>
      </c>
      <c r="AE156" s="19">
        <v>0</v>
      </c>
      <c r="AF156" s="20">
        <v>142.18</v>
      </c>
      <c r="AG156" s="19">
        <v>0</v>
      </c>
      <c r="AH156" s="20">
        <v>40.1</v>
      </c>
      <c r="AI156" s="19">
        <v>0</v>
      </c>
      <c r="AJ156" s="20">
        <v>6.27</v>
      </c>
      <c r="AK156" s="19">
        <v>0</v>
      </c>
      <c r="AL156" s="20">
        <v>1082328</v>
      </c>
      <c r="AM156" s="19">
        <v>0</v>
      </c>
      <c r="AN156" s="20">
        <v>0.04</v>
      </c>
      <c r="AO156" s="19">
        <v>0</v>
      </c>
      <c r="AP156" s="20">
        <v>0.04</v>
      </c>
      <c r="AQ156" s="19">
        <v>0</v>
      </c>
      <c r="AR156" s="28">
        <v>0</v>
      </c>
    </row>
    <row r="157" spans="1:44" ht="12.75" customHeight="1" x14ac:dyDescent="0.25">
      <c r="A157" s="27" t="s">
        <v>1356</v>
      </c>
      <c r="B157" s="14" t="s">
        <v>2393</v>
      </c>
      <c r="C157" s="26" t="s">
        <v>1446</v>
      </c>
      <c r="D157" s="14" t="s">
        <v>1505</v>
      </c>
      <c r="E157" s="1" t="s">
        <v>1545</v>
      </c>
      <c r="F157" s="14"/>
      <c r="G157" s="296"/>
      <c r="H157" s="323">
        <v>456298.87</v>
      </c>
      <c r="I157" s="296"/>
      <c r="J157" s="296"/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55.54</v>
      </c>
      <c r="Q157" s="19">
        <v>0</v>
      </c>
      <c r="R157" s="19">
        <v>4</v>
      </c>
      <c r="S157" s="19">
        <v>0</v>
      </c>
      <c r="T157" s="19">
        <v>1</v>
      </c>
      <c r="U157" s="19">
        <v>0</v>
      </c>
      <c r="V157" s="19">
        <v>900.71</v>
      </c>
      <c r="W157" s="19">
        <v>0</v>
      </c>
      <c r="X157" s="19">
        <v>0</v>
      </c>
      <c r="Y157" s="19">
        <v>0</v>
      </c>
      <c r="Z157" s="19">
        <v>115.46899999999999</v>
      </c>
      <c r="AA157" s="19">
        <v>0</v>
      </c>
      <c r="AB157" s="19">
        <v>0</v>
      </c>
      <c r="AC157" s="19">
        <v>0</v>
      </c>
      <c r="AD157" s="20">
        <v>196354.78</v>
      </c>
      <c r="AE157" s="19">
        <v>0</v>
      </c>
      <c r="AF157" s="20">
        <v>33</v>
      </c>
      <c r="AG157" s="19">
        <v>0</v>
      </c>
      <c r="AH157" s="20">
        <v>1.4</v>
      </c>
      <c r="AI157" s="19">
        <v>0</v>
      </c>
      <c r="AJ157" s="20">
        <v>0</v>
      </c>
      <c r="AK157" s="19">
        <v>0</v>
      </c>
      <c r="AL157" s="20">
        <v>272302.64</v>
      </c>
      <c r="AM157" s="19">
        <v>0</v>
      </c>
      <c r="AN157" s="20">
        <v>0</v>
      </c>
      <c r="AO157" s="19">
        <v>0</v>
      </c>
      <c r="AP157" s="20">
        <v>0</v>
      </c>
      <c r="AQ157" s="19">
        <v>0</v>
      </c>
      <c r="AR157" s="28">
        <v>0</v>
      </c>
    </row>
    <row r="158" spans="1:44" ht="12.75" customHeight="1" x14ac:dyDescent="0.25">
      <c r="A158" s="27" t="s">
        <v>1357</v>
      </c>
      <c r="B158" s="14" t="s">
        <v>2393</v>
      </c>
      <c r="C158" s="26" t="s">
        <v>1053</v>
      </c>
      <c r="D158" s="14" t="s">
        <v>1183</v>
      </c>
      <c r="E158" s="1" t="s">
        <v>1545</v>
      </c>
      <c r="F158" s="14"/>
      <c r="G158" s="296"/>
      <c r="H158" s="296">
        <v>207936.26</v>
      </c>
      <c r="I158" s="296"/>
      <c r="J158" s="296"/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14.4</v>
      </c>
      <c r="Q158" s="19">
        <v>0</v>
      </c>
      <c r="R158" s="19">
        <v>5</v>
      </c>
      <c r="S158" s="19">
        <v>0</v>
      </c>
      <c r="T158" s="19">
        <v>1</v>
      </c>
      <c r="U158" s="19">
        <v>0</v>
      </c>
      <c r="V158" s="19">
        <v>732.1</v>
      </c>
      <c r="W158" s="19">
        <v>0</v>
      </c>
      <c r="X158" s="19">
        <v>42.7</v>
      </c>
      <c r="Y158" s="19">
        <v>0</v>
      </c>
      <c r="Z158" s="19">
        <v>111.496</v>
      </c>
      <c r="AA158" s="19">
        <v>0</v>
      </c>
      <c r="AB158" s="19">
        <v>68796</v>
      </c>
      <c r="AC158" s="19">
        <v>0</v>
      </c>
      <c r="AD158" s="20">
        <v>68796</v>
      </c>
      <c r="AE158" s="19">
        <v>0</v>
      </c>
      <c r="AF158" s="20">
        <v>18</v>
      </c>
      <c r="AG158" s="19">
        <v>0</v>
      </c>
      <c r="AH158" s="20">
        <v>0</v>
      </c>
      <c r="AI158" s="19">
        <v>0</v>
      </c>
      <c r="AJ158" s="20">
        <v>2</v>
      </c>
      <c r="AK158" s="19">
        <v>0</v>
      </c>
      <c r="AL158" s="20">
        <v>66610</v>
      </c>
      <c r="AM158" s="19">
        <v>0</v>
      </c>
      <c r="AN158" s="20">
        <v>0</v>
      </c>
      <c r="AO158" s="19">
        <v>0</v>
      </c>
      <c r="AP158" s="20">
        <v>0</v>
      </c>
      <c r="AQ158" s="19">
        <v>0</v>
      </c>
      <c r="AR158" s="28">
        <v>0</v>
      </c>
    </row>
    <row r="159" spans="1:44" ht="12.75" customHeight="1" x14ac:dyDescent="0.25">
      <c r="A159" s="27" t="s">
        <v>1358</v>
      </c>
      <c r="B159" s="14" t="s">
        <v>2393</v>
      </c>
      <c r="C159" s="26" t="s">
        <v>1005</v>
      </c>
      <c r="D159" s="14" t="s">
        <v>1106</v>
      </c>
      <c r="E159" s="1" t="s">
        <v>1545</v>
      </c>
      <c r="F159" s="14"/>
      <c r="G159" s="296"/>
      <c r="H159" s="323">
        <v>125758.51</v>
      </c>
      <c r="I159" s="296"/>
      <c r="J159" s="296"/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20</v>
      </c>
      <c r="Q159" s="19">
        <v>0</v>
      </c>
      <c r="R159" s="19">
        <v>5</v>
      </c>
      <c r="S159" s="19">
        <v>0</v>
      </c>
      <c r="T159" s="19">
        <v>1</v>
      </c>
      <c r="U159" s="19">
        <v>0</v>
      </c>
      <c r="V159" s="19">
        <v>457</v>
      </c>
      <c r="W159" s="19">
        <v>0</v>
      </c>
      <c r="X159" s="19">
        <v>33.823999999999998</v>
      </c>
      <c r="Y159" s="19">
        <v>0</v>
      </c>
      <c r="Z159" s="19">
        <v>75.313999999999993</v>
      </c>
      <c r="AA159" s="19">
        <v>0</v>
      </c>
      <c r="AB159" s="19">
        <v>41491</v>
      </c>
      <c r="AC159" s="19">
        <v>0</v>
      </c>
      <c r="AD159" s="20">
        <v>124870</v>
      </c>
      <c r="AE159" s="19">
        <v>0</v>
      </c>
      <c r="AF159" s="20">
        <v>95</v>
      </c>
      <c r="AG159" s="19">
        <v>0</v>
      </c>
      <c r="AH159" s="20">
        <v>22</v>
      </c>
      <c r="AI159" s="19">
        <v>0</v>
      </c>
      <c r="AJ159" s="20">
        <v>1</v>
      </c>
      <c r="AK159" s="19">
        <v>0</v>
      </c>
      <c r="AL159" s="20">
        <v>29219.01</v>
      </c>
      <c r="AM159" s="19">
        <v>0</v>
      </c>
      <c r="AN159" s="20">
        <v>0</v>
      </c>
      <c r="AO159" s="19">
        <v>0</v>
      </c>
      <c r="AP159" s="20">
        <v>0</v>
      </c>
      <c r="AQ159" s="19">
        <v>0</v>
      </c>
      <c r="AR159" s="28">
        <v>0</v>
      </c>
    </row>
    <row r="160" spans="1:44" ht="12.75" customHeight="1" x14ac:dyDescent="0.25">
      <c r="A160" s="27" t="s">
        <v>1359</v>
      </c>
      <c r="B160" s="14" t="s">
        <v>2393</v>
      </c>
      <c r="C160" s="26" t="s">
        <v>1447</v>
      </c>
      <c r="D160" s="14" t="s">
        <v>1506</v>
      </c>
      <c r="E160" s="1" t="s">
        <v>1545</v>
      </c>
      <c r="F160" s="14"/>
      <c r="G160" s="296"/>
      <c r="H160" s="296"/>
      <c r="I160" s="296"/>
      <c r="J160" s="296"/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2.4799999999999999E-2</v>
      </c>
      <c r="Q160" s="19">
        <v>0</v>
      </c>
      <c r="R160" s="19">
        <v>3</v>
      </c>
      <c r="S160" s="19">
        <v>0</v>
      </c>
      <c r="T160" s="19">
        <v>1</v>
      </c>
      <c r="U160" s="19">
        <v>0</v>
      </c>
      <c r="V160" s="19">
        <v>0</v>
      </c>
      <c r="W160" s="19">
        <v>0</v>
      </c>
      <c r="X160" s="19">
        <v>262.94139999999999</v>
      </c>
      <c r="Y160" s="19">
        <v>0</v>
      </c>
      <c r="Z160" s="19">
        <v>656.97299999999996</v>
      </c>
      <c r="AA160" s="19">
        <v>0</v>
      </c>
      <c r="AB160" s="19">
        <v>394031.56</v>
      </c>
      <c r="AC160" s="19">
        <v>0</v>
      </c>
      <c r="AD160" s="20">
        <v>128.745</v>
      </c>
      <c r="AE160" s="19">
        <v>0</v>
      </c>
      <c r="AF160" s="20">
        <v>8.2699999999999996E-2</v>
      </c>
      <c r="AG160" s="19">
        <v>0</v>
      </c>
      <c r="AH160" s="20">
        <v>0</v>
      </c>
      <c r="AI160" s="19">
        <v>0</v>
      </c>
      <c r="AJ160" s="20">
        <v>7.5300000000000006E-2</v>
      </c>
      <c r="AK160" s="19">
        <v>0</v>
      </c>
      <c r="AL160" s="20">
        <v>106.64</v>
      </c>
      <c r="AM160" s="19">
        <v>0</v>
      </c>
      <c r="AN160" s="20">
        <v>0</v>
      </c>
      <c r="AO160" s="19">
        <v>0</v>
      </c>
      <c r="AP160" s="20">
        <v>0</v>
      </c>
      <c r="AQ160" s="19">
        <v>0</v>
      </c>
      <c r="AR160" s="28">
        <v>0</v>
      </c>
    </row>
    <row r="161" spans="1:44" ht="12.75" customHeight="1" x14ac:dyDescent="0.25">
      <c r="A161" s="27" t="s">
        <v>1360</v>
      </c>
      <c r="B161" s="14" t="s">
        <v>2393</v>
      </c>
      <c r="C161" s="26" t="s">
        <v>1448</v>
      </c>
      <c r="D161" s="14" t="s">
        <v>1507</v>
      </c>
      <c r="E161" s="1" t="s">
        <v>1545</v>
      </c>
      <c r="F161" s="14"/>
      <c r="G161" s="296"/>
      <c r="H161" s="296"/>
      <c r="I161" s="296"/>
      <c r="J161" s="296"/>
      <c r="K161" s="19">
        <v>0</v>
      </c>
      <c r="L161" s="19">
        <v>3.0009000000000001</v>
      </c>
      <c r="M161" s="19">
        <v>0</v>
      </c>
      <c r="N161" s="19">
        <v>9.9274000000000004</v>
      </c>
      <c r="O161" s="19">
        <v>0</v>
      </c>
      <c r="P161" s="19">
        <v>1.41E-2</v>
      </c>
      <c r="Q161" s="19">
        <v>0</v>
      </c>
      <c r="R161" s="19">
        <v>3</v>
      </c>
      <c r="S161" s="19">
        <v>0</v>
      </c>
      <c r="T161" s="19">
        <v>1</v>
      </c>
      <c r="U161" s="19">
        <v>0</v>
      </c>
      <c r="V161" s="19">
        <v>364.14</v>
      </c>
      <c r="W161" s="19">
        <v>0</v>
      </c>
      <c r="X161" s="19">
        <v>62.804200000000002</v>
      </c>
      <c r="Y161" s="19">
        <v>0</v>
      </c>
      <c r="Z161" s="19">
        <v>586.95500000000004</v>
      </c>
      <c r="AA161" s="19">
        <v>0</v>
      </c>
      <c r="AB161" s="19">
        <v>524150.815</v>
      </c>
      <c r="AC161" s="19">
        <v>0</v>
      </c>
      <c r="AD161" s="20">
        <v>119128.8</v>
      </c>
      <c r="AE161" s="19">
        <v>0</v>
      </c>
      <c r="AF161" s="20">
        <v>47.2</v>
      </c>
      <c r="AG161" s="19">
        <v>0</v>
      </c>
      <c r="AH161" s="20">
        <v>8.59</v>
      </c>
      <c r="AI161" s="19">
        <v>0</v>
      </c>
      <c r="AJ161" s="20">
        <v>42.95</v>
      </c>
      <c r="AK161" s="19">
        <v>0</v>
      </c>
      <c r="AL161" s="20">
        <v>180962.32</v>
      </c>
      <c r="AM161" s="19">
        <v>0</v>
      </c>
      <c r="AN161" s="20">
        <v>3.0009000000000001</v>
      </c>
      <c r="AO161" s="19">
        <v>0</v>
      </c>
      <c r="AP161" s="20">
        <v>12.9283</v>
      </c>
      <c r="AQ161" s="19">
        <v>0</v>
      </c>
      <c r="AR161" s="28">
        <v>0</v>
      </c>
    </row>
    <row r="162" spans="1:44" ht="12.75" customHeight="1" x14ac:dyDescent="0.25">
      <c r="A162" s="27" t="s">
        <v>1361</v>
      </c>
      <c r="B162" s="14" t="s">
        <v>2393</v>
      </c>
      <c r="C162" s="26" t="s">
        <v>1449</v>
      </c>
      <c r="D162" s="14" t="s">
        <v>1508</v>
      </c>
      <c r="E162" s="1" t="s">
        <v>1545</v>
      </c>
      <c r="F162" s="14"/>
      <c r="G162" s="296"/>
      <c r="H162" s="296">
        <v>560057.5</v>
      </c>
      <c r="I162" s="296"/>
      <c r="J162" s="296"/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43.57</v>
      </c>
      <c r="Q162" s="19">
        <v>0</v>
      </c>
      <c r="R162" s="19">
        <v>4</v>
      </c>
      <c r="S162" s="19">
        <v>0</v>
      </c>
      <c r="T162" s="19">
        <v>3</v>
      </c>
      <c r="U162" s="19">
        <v>0</v>
      </c>
      <c r="V162" s="19">
        <v>2210.9850000000001</v>
      </c>
      <c r="W162" s="19">
        <v>0</v>
      </c>
      <c r="X162" s="19">
        <v>69.55</v>
      </c>
      <c r="Y162" s="19">
        <v>0</v>
      </c>
      <c r="Z162" s="19">
        <v>298.67</v>
      </c>
      <c r="AA162" s="19">
        <v>0</v>
      </c>
      <c r="AB162" s="19">
        <v>229110</v>
      </c>
      <c r="AC162" s="19">
        <v>0</v>
      </c>
      <c r="AD162" s="20">
        <v>229110</v>
      </c>
      <c r="AE162" s="19">
        <v>0</v>
      </c>
      <c r="AF162" s="20">
        <v>54.96</v>
      </c>
      <c r="AG162" s="19">
        <v>0</v>
      </c>
      <c r="AH162" s="20">
        <v>0.55000000000000004</v>
      </c>
      <c r="AI162" s="19">
        <v>0</v>
      </c>
      <c r="AJ162" s="20">
        <v>2</v>
      </c>
      <c r="AK162" s="19">
        <v>0</v>
      </c>
      <c r="AL162" s="20">
        <v>229110</v>
      </c>
      <c r="AM162" s="19">
        <v>0</v>
      </c>
      <c r="AN162" s="20">
        <v>0</v>
      </c>
      <c r="AO162" s="19">
        <v>0</v>
      </c>
      <c r="AP162" s="20">
        <v>0</v>
      </c>
      <c r="AQ162" s="19">
        <v>0</v>
      </c>
      <c r="AR162" s="28">
        <v>0</v>
      </c>
    </row>
    <row r="163" spans="1:44" ht="12.75" customHeight="1" x14ac:dyDescent="0.25">
      <c r="A163" s="27" t="s">
        <v>1362</v>
      </c>
      <c r="B163" s="14" t="s">
        <v>2393</v>
      </c>
      <c r="C163" s="26" t="s">
        <v>1450</v>
      </c>
      <c r="D163" s="14" t="s">
        <v>1509</v>
      </c>
      <c r="E163" s="1" t="s">
        <v>1545</v>
      </c>
      <c r="F163" s="14"/>
      <c r="G163" s="296"/>
      <c r="H163" s="296"/>
      <c r="I163" s="296"/>
      <c r="J163" s="296"/>
      <c r="K163" s="19">
        <v>0</v>
      </c>
      <c r="L163" s="19">
        <v>2.29</v>
      </c>
      <c r="M163" s="19">
        <v>0</v>
      </c>
      <c r="N163" s="19">
        <v>0</v>
      </c>
      <c r="O163" s="19">
        <v>0</v>
      </c>
      <c r="P163" s="19">
        <v>10.95</v>
      </c>
      <c r="Q163" s="19">
        <v>0</v>
      </c>
      <c r="R163" s="19">
        <v>5</v>
      </c>
      <c r="S163" s="19">
        <v>0</v>
      </c>
      <c r="T163" s="19">
        <v>1</v>
      </c>
      <c r="U163" s="19">
        <v>0</v>
      </c>
      <c r="V163" s="19">
        <v>505.26</v>
      </c>
      <c r="W163" s="19">
        <v>0</v>
      </c>
      <c r="X163" s="19">
        <v>9.5150000000000006</v>
      </c>
      <c r="Y163" s="19">
        <v>0</v>
      </c>
      <c r="Z163" s="19">
        <v>48.84</v>
      </c>
      <c r="AA163" s="19">
        <v>0</v>
      </c>
      <c r="AB163" s="19">
        <v>39329.25</v>
      </c>
      <c r="AC163" s="19">
        <v>0</v>
      </c>
      <c r="AD163" s="20">
        <v>45306.12</v>
      </c>
      <c r="AE163" s="19">
        <v>0</v>
      </c>
      <c r="AF163" s="20">
        <v>5.9</v>
      </c>
      <c r="AG163" s="19">
        <v>0</v>
      </c>
      <c r="AH163" s="20">
        <v>0</v>
      </c>
      <c r="AI163" s="19">
        <v>0</v>
      </c>
      <c r="AJ163" s="20">
        <v>3.6299999999999999E-2</v>
      </c>
      <c r="AK163" s="19">
        <v>0</v>
      </c>
      <c r="AL163" s="20">
        <v>54238.29</v>
      </c>
      <c r="AM163" s="19">
        <v>0</v>
      </c>
      <c r="AN163" s="20">
        <v>0</v>
      </c>
      <c r="AO163" s="19">
        <v>0</v>
      </c>
      <c r="AP163" s="20">
        <v>0</v>
      </c>
      <c r="AQ163" s="19">
        <v>0</v>
      </c>
      <c r="AR163" s="28">
        <v>0</v>
      </c>
    </row>
    <row r="164" spans="1:44" ht="12.75" customHeight="1" x14ac:dyDescent="0.25">
      <c r="A164" s="27" t="s">
        <v>1363</v>
      </c>
      <c r="B164" s="14" t="s">
        <v>2393</v>
      </c>
      <c r="C164" s="26" t="s">
        <v>995</v>
      </c>
      <c r="D164" s="14" t="s">
        <v>1092</v>
      </c>
      <c r="E164" s="1" t="s">
        <v>1545</v>
      </c>
      <c r="F164" s="14"/>
      <c r="G164" s="296"/>
      <c r="H164" s="296">
        <v>452587.69</v>
      </c>
      <c r="I164" s="296"/>
      <c r="J164" s="296"/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18.669</v>
      </c>
      <c r="Q164" s="19">
        <v>0</v>
      </c>
      <c r="R164" s="19">
        <v>1</v>
      </c>
      <c r="S164" s="19">
        <v>0</v>
      </c>
      <c r="T164" s="19">
        <v>1</v>
      </c>
      <c r="U164" s="19">
        <v>0</v>
      </c>
      <c r="V164" s="19">
        <v>708.03200000000004</v>
      </c>
      <c r="W164" s="19">
        <v>0</v>
      </c>
      <c r="X164" s="19">
        <v>53.197000000000003</v>
      </c>
      <c r="Y164" s="19">
        <v>0</v>
      </c>
      <c r="Z164" s="19">
        <v>116.285</v>
      </c>
      <c r="AA164" s="19">
        <v>0</v>
      </c>
      <c r="AB164" s="19">
        <v>63087</v>
      </c>
      <c r="AC164" s="19">
        <v>0</v>
      </c>
      <c r="AD164" s="20">
        <v>176117</v>
      </c>
      <c r="AE164" s="19">
        <v>0</v>
      </c>
      <c r="AF164" s="20">
        <v>0</v>
      </c>
      <c r="AG164" s="19">
        <v>0</v>
      </c>
      <c r="AH164" s="20">
        <v>0</v>
      </c>
      <c r="AI164" s="19">
        <v>0</v>
      </c>
      <c r="AJ164" s="20">
        <v>0</v>
      </c>
      <c r="AK164" s="19">
        <v>0</v>
      </c>
      <c r="AL164" s="20">
        <v>176117</v>
      </c>
      <c r="AM164" s="19">
        <v>0</v>
      </c>
      <c r="AN164" s="20">
        <v>0</v>
      </c>
      <c r="AO164" s="19">
        <v>0</v>
      </c>
      <c r="AP164" s="20">
        <v>0</v>
      </c>
      <c r="AQ164" s="19">
        <v>0</v>
      </c>
      <c r="AR164" s="28">
        <v>0</v>
      </c>
    </row>
    <row r="165" spans="1:44" ht="12.75" customHeight="1" x14ac:dyDescent="0.25">
      <c r="A165" s="27" t="s">
        <v>1364</v>
      </c>
      <c r="B165" s="14" t="s">
        <v>2393</v>
      </c>
      <c r="C165" s="26" t="s">
        <v>1451</v>
      </c>
      <c r="D165" s="14" t="s">
        <v>1510</v>
      </c>
      <c r="E165" s="1" t="s">
        <v>1545</v>
      </c>
      <c r="F165" s="14"/>
      <c r="G165" s="296"/>
      <c r="H165" s="296"/>
      <c r="I165" s="296"/>
      <c r="J165" s="296"/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11.7262</v>
      </c>
      <c r="Q165" s="19">
        <v>0</v>
      </c>
      <c r="R165" s="19">
        <v>3</v>
      </c>
      <c r="S165" s="19">
        <v>0</v>
      </c>
      <c r="T165" s="19">
        <v>1</v>
      </c>
      <c r="U165" s="19">
        <v>0</v>
      </c>
      <c r="V165" s="19">
        <v>544.62</v>
      </c>
      <c r="W165" s="19">
        <v>0</v>
      </c>
      <c r="X165" s="19">
        <v>53.994</v>
      </c>
      <c r="Y165" s="19">
        <v>0</v>
      </c>
      <c r="Z165" s="19">
        <v>103.015</v>
      </c>
      <c r="AA165" s="19">
        <v>0</v>
      </c>
      <c r="AB165" s="19">
        <v>80623</v>
      </c>
      <c r="AC165" s="19">
        <v>0</v>
      </c>
      <c r="AD165" s="20">
        <v>235.923</v>
      </c>
      <c r="AE165" s="19">
        <v>0</v>
      </c>
      <c r="AF165" s="20">
        <v>2.4</v>
      </c>
      <c r="AG165" s="19">
        <v>0</v>
      </c>
      <c r="AH165" s="20">
        <v>3.3</v>
      </c>
      <c r="AI165" s="19">
        <v>0</v>
      </c>
      <c r="AJ165" s="20">
        <v>0.1</v>
      </c>
      <c r="AK165" s="19">
        <v>0</v>
      </c>
      <c r="AL165" s="20">
        <v>103530</v>
      </c>
      <c r="AM165" s="19">
        <v>0</v>
      </c>
      <c r="AN165" s="20">
        <v>0</v>
      </c>
      <c r="AO165" s="19">
        <v>0</v>
      </c>
      <c r="AP165" s="20">
        <v>2.8000000000000001E-2</v>
      </c>
      <c r="AQ165" s="19">
        <v>0</v>
      </c>
      <c r="AR165" s="28">
        <v>2.8000000000000001E-2</v>
      </c>
    </row>
    <row r="166" spans="1:44" ht="12.75" customHeight="1" x14ac:dyDescent="0.25">
      <c r="A166" s="27" t="s">
        <v>1365</v>
      </c>
      <c r="B166" s="14" t="s">
        <v>2393</v>
      </c>
      <c r="C166" s="26" t="s">
        <v>901</v>
      </c>
      <c r="D166" s="14" t="s">
        <v>1511</v>
      </c>
      <c r="E166" s="1" t="s">
        <v>1545</v>
      </c>
      <c r="F166" s="14"/>
      <c r="G166" s="296"/>
      <c r="H166" s="296">
        <v>728384.59</v>
      </c>
      <c r="I166" s="296"/>
      <c r="J166" s="296"/>
      <c r="K166" s="19">
        <v>0</v>
      </c>
      <c r="L166" s="19">
        <v>5</v>
      </c>
      <c r="M166" s="19">
        <v>0</v>
      </c>
      <c r="N166" s="19">
        <v>0</v>
      </c>
      <c r="O166" s="19">
        <v>0</v>
      </c>
      <c r="P166" s="19">
        <v>45.905099999999997</v>
      </c>
      <c r="Q166" s="19">
        <v>0</v>
      </c>
      <c r="R166" s="19">
        <v>7</v>
      </c>
      <c r="S166" s="19">
        <v>0</v>
      </c>
      <c r="T166" s="19">
        <v>3</v>
      </c>
      <c r="U166" s="19">
        <v>0</v>
      </c>
      <c r="V166" s="19">
        <v>1364.67</v>
      </c>
      <c r="W166" s="19">
        <v>0</v>
      </c>
      <c r="X166" s="19">
        <v>53.99</v>
      </c>
      <c r="Y166" s="19">
        <v>0</v>
      </c>
      <c r="Z166" s="19">
        <v>220.01</v>
      </c>
      <c r="AA166" s="19">
        <v>0</v>
      </c>
      <c r="AB166" s="19">
        <v>166022.6</v>
      </c>
      <c r="AC166" s="19">
        <v>0</v>
      </c>
      <c r="AD166" s="20">
        <v>247389.28</v>
      </c>
      <c r="AE166" s="19">
        <v>0</v>
      </c>
      <c r="AF166" s="20">
        <v>31.2</v>
      </c>
      <c r="AG166" s="19">
        <v>0</v>
      </c>
      <c r="AH166" s="20">
        <v>3.2</v>
      </c>
      <c r="AI166" s="19">
        <v>0</v>
      </c>
      <c r="AJ166" s="20">
        <v>5.3</v>
      </c>
      <c r="AK166" s="19">
        <v>0</v>
      </c>
      <c r="AL166" s="20">
        <v>327191.45</v>
      </c>
      <c r="AM166" s="19">
        <v>0</v>
      </c>
      <c r="AN166" s="20">
        <v>0.01</v>
      </c>
      <c r="AO166" s="19">
        <v>0</v>
      </c>
      <c r="AP166" s="20">
        <v>0.01</v>
      </c>
      <c r="AQ166" s="19">
        <v>0</v>
      </c>
      <c r="AR166" s="28">
        <v>0</v>
      </c>
    </row>
    <row r="167" spans="1:44" ht="12.75" customHeight="1" x14ac:dyDescent="0.25">
      <c r="A167" s="27" t="s">
        <v>1366</v>
      </c>
      <c r="B167" s="14" t="s">
        <v>2393</v>
      </c>
      <c r="C167" s="26" t="s">
        <v>1047</v>
      </c>
      <c r="D167" s="14" t="s">
        <v>1171</v>
      </c>
      <c r="E167" s="1" t="s">
        <v>1545</v>
      </c>
      <c r="F167" s="14"/>
      <c r="G167" s="296"/>
      <c r="H167" s="296">
        <v>737793.04</v>
      </c>
      <c r="I167" s="296"/>
      <c r="J167" s="296"/>
      <c r="K167" s="19">
        <v>0</v>
      </c>
      <c r="L167" s="19">
        <v>17.670000000000002</v>
      </c>
      <c r="M167" s="19">
        <v>0</v>
      </c>
      <c r="N167" s="19">
        <v>0</v>
      </c>
      <c r="O167" s="19">
        <v>0</v>
      </c>
      <c r="P167" s="19">
        <v>21.2</v>
      </c>
      <c r="Q167" s="19">
        <v>0</v>
      </c>
      <c r="R167" s="19">
        <v>4</v>
      </c>
      <c r="S167" s="19">
        <v>0</v>
      </c>
      <c r="T167" s="19">
        <v>1</v>
      </c>
      <c r="U167" s="19">
        <v>0</v>
      </c>
      <c r="V167" s="19">
        <v>3332</v>
      </c>
      <c r="W167" s="19">
        <v>0</v>
      </c>
      <c r="X167" s="19">
        <v>100</v>
      </c>
      <c r="Y167" s="19">
        <v>0</v>
      </c>
      <c r="Z167" s="19">
        <v>365</v>
      </c>
      <c r="AA167" s="19">
        <v>0</v>
      </c>
      <c r="AB167" s="19">
        <v>265047</v>
      </c>
      <c r="AC167" s="19">
        <v>0</v>
      </c>
      <c r="AD167" s="20">
        <v>265047</v>
      </c>
      <c r="AE167" s="19">
        <v>0</v>
      </c>
      <c r="AF167" s="20">
        <v>43100</v>
      </c>
      <c r="AG167" s="19">
        <v>0</v>
      </c>
      <c r="AH167" s="20">
        <v>2200</v>
      </c>
      <c r="AI167" s="19">
        <v>0</v>
      </c>
      <c r="AJ167" s="20">
        <v>300</v>
      </c>
      <c r="AK167" s="19">
        <v>0</v>
      </c>
      <c r="AL167" s="20">
        <v>225495</v>
      </c>
      <c r="AM167" s="19">
        <v>0</v>
      </c>
      <c r="AN167" s="20">
        <v>0.01</v>
      </c>
      <c r="AO167" s="19">
        <v>0</v>
      </c>
      <c r="AP167" s="20">
        <v>1.6E-2</v>
      </c>
      <c r="AQ167" s="19">
        <v>0</v>
      </c>
      <c r="AR167" s="28">
        <v>6.0000000000000001E-3</v>
      </c>
    </row>
    <row r="168" spans="1:44" ht="12.75" customHeight="1" x14ac:dyDescent="0.25">
      <c r="A168" s="27" t="s">
        <v>1367</v>
      </c>
      <c r="B168" s="14" t="s">
        <v>2393</v>
      </c>
      <c r="C168" s="26" t="s">
        <v>1017</v>
      </c>
      <c r="D168" s="14" t="s">
        <v>1123</v>
      </c>
      <c r="E168" s="1" t="s">
        <v>1545</v>
      </c>
      <c r="F168" s="14"/>
      <c r="G168" s="296"/>
      <c r="H168" s="296">
        <v>464434.23</v>
      </c>
      <c r="I168" s="296"/>
      <c r="J168" s="296"/>
      <c r="K168" s="19">
        <v>0</v>
      </c>
      <c r="L168" s="19">
        <v>0</v>
      </c>
      <c r="M168" s="19">
        <v>0</v>
      </c>
      <c r="N168" s="19">
        <v>7.1</v>
      </c>
      <c r="O168" s="19">
        <v>0</v>
      </c>
      <c r="P168" s="19">
        <v>54.21</v>
      </c>
      <c r="Q168" s="19">
        <v>0</v>
      </c>
      <c r="R168" s="19">
        <v>3</v>
      </c>
      <c r="S168" s="19">
        <v>0</v>
      </c>
      <c r="T168" s="19">
        <v>1</v>
      </c>
      <c r="U168" s="19">
        <v>0</v>
      </c>
      <c r="V168" s="19">
        <v>2500</v>
      </c>
      <c r="W168" s="19">
        <v>0</v>
      </c>
      <c r="X168" s="19">
        <v>45.8</v>
      </c>
      <c r="Y168" s="19">
        <v>0</v>
      </c>
      <c r="Z168" s="19">
        <v>215</v>
      </c>
      <c r="AA168" s="19">
        <v>0</v>
      </c>
      <c r="AB168" s="19">
        <v>194775</v>
      </c>
      <c r="AC168" s="19">
        <v>0</v>
      </c>
      <c r="AD168" s="20">
        <v>194775</v>
      </c>
      <c r="AE168" s="19">
        <v>0</v>
      </c>
      <c r="AF168" s="20">
        <v>113</v>
      </c>
      <c r="AG168" s="19">
        <v>0</v>
      </c>
      <c r="AH168" s="20">
        <v>7</v>
      </c>
      <c r="AI168" s="19">
        <v>0</v>
      </c>
      <c r="AJ168" s="20">
        <v>37</v>
      </c>
      <c r="AK168" s="19">
        <v>0</v>
      </c>
      <c r="AL168" s="20">
        <v>321084</v>
      </c>
      <c r="AM168" s="19">
        <v>0</v>
      </c>
      <c r="AN168" s="20">
        <v>0</v>
      </c>
      <c r="AO168" s="19">
        <v>0</v>
      </c>
      <c r="AP168" s="20">
        <v>2.3999999999999998E-3</v>
      </c>
      <c r="AQ168" s="19">
        <v>0</v>
      </c>
      <c r="AR168" s="28">
        <v>2.3999999999999998E-3</v>
      </c>
    </row>
    <row r="169" spans="1:44" ht="12.75" customHeight="1" x14ac:dyDescent="0.25">
      <c r="A169" s="27" t="s">
        <v>1368</v>
      </c>
      <c r="B169" s="14" t="s">
        <v>2393</v>
      </c>
      <c r="C169" s="26" t="s">
        <v>1452</v>
      </c>
      <c r="D169" s="14" t="s">
        <v>1512</v>
      </c>
      <c r="E169" s="1" t="s">
        <v>1545</v>
      </c>
      <c r="F169" s="14"/>
      <c r="G169" s="296"/>
      <c r="H169" s="296">
        <v>327520.28000000003</v>
      </c>
      <c r="I169" s="296"/>
      <c r="J169" s="296"/>
      <c r="K169" s="19">
        <v>0</v>
      </c>
      <c r="L169" s="19">
        <v>0</v>
      </c>
      <c r="M169" s="19">
        <v>0</v>
      </c>
      <c r="N169" s="19">
        <v>43.850999999999999</v>
      </c>
      <c r="O169" s="19">
        <v>0</v>
      </c>
      <c r="P169" s="19">
        <v>93.793000000000006</v>
      </c>
      <c r="Q169" s="19">
        <v>0</v>
      </c>
      <c r="R169" s="19">
        <v>3</v>
      </c>
      <c r="S169" s="19">
        <v>0</v>
      </c>
      <c r="T169" s="19">
        <v>1</v>
      </c>
      <c r="U169" s="19">
        <v>0</v>
      </c>
      <c r="V169" s="19">
        <v>587.1</v>
      </c>
      <c r="W169" s="19">
        <v>0</v>
      </c>
      <c r="X169" s="19">
        <v>29.355</v>
      </c>
      <c r="Y169" s="19">
        <v>0</v>
      </c>
      <c r="Z169" s="19">
        <v>206.072</v>
      </c>
      <c r="AA169" s="19">
        <v>0</v>
      </c>
      <c r="AB169" s="19">
        <v>131453</v>
      </c>
      <c r="AC169" s="19">
        <v>0</v>
      </c>
      <c r="AD169" s="20">
        <v>131453</v>
      </c>
      <c r="AE169" s="19">
        <v>0</v>
      </c>
      <c r="AF169" s="20">
        <v>5.3999999999999999E-2</v>
      </c>
      <c r="AG169" s="19">
        <v>0</v>
      </c>
      <c r="AH169" s="20">
        <v>0.90400000000000003</v>
      </c>
      <c r="AI169" s="19">
        <v>0</v>
      </c>
      <c r="AJ169" s="20">
        <v>0.24199999999999999</v>
      </c>
      <c r="AK169" s="19">
        <v>0</v>
      </c>
      <c r="AL169" s="20">
        <v>176717</v>
      </c>
      <c r="AM169" s="19">
        <v>0</v>
      </c>
      <c r="AN169" s="20">
        <v>0</v>
      </c>
      <c r="AO169" s="19">
        <v>0</v>
      </c>
      <c r="AP169" s="20">
        <v>0.02</v>
      </c>
      <c r="AQ169" s="19">
        <v>0</v>
      </c>
      <c r="AR169" s="28">
        <v>20</v>
      </c>
    </row>
    <row r="170" spans="1:44" ht="12.75" customHeight="1" x14ac:dyDescent="0.25">
      <c r="A170" s="27" t="s">
        <v>1369</v>
      </c>
      <c r="B170" s="14" t="s">
        <v>2393</v>
      </c>
      <c r="C170" s="26" t="s">
        <v>1453</v>
      </c>
      <c r="D170" s="14" t="s">
        <v>1513</v>
      </c>
      <c r="E170" s="1" t="s">
        <v>1545</v>
      </c>
      <c r="F170" s="14"/>
      <c r="G170" s="296"/>
      <c r="H170" s="296">
        <v>203590.5</v>
      </c>
      <c r="I170" s="296"/>
      <c r="J170" s="296"/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9.6211000000000002</v>
      </c>
      <c r="Q170" s="19">
        <v>0</v>
      </c>
      <c r="R170" s="19">
        <v>3</v>
      </c>
      <c r="S170" s="19">
        <v>0</v>
      </c>
      <c r="T170" s="19">
        <v>1</v>
      </c>
      <c r="U170" s="19">
        <v>0</v>
      </c>
      <c r="V170" s="19">
        <v>521.14</v>
      </c>
      <c r="W170" s="19">
        <v>0</v>
      </c>
      <c r="X170" s="19">
        <v>9.98</v>
      </c>
      <c r="Y170" s="19">
        <v>0</v>
      </c>
      <c r="Z170" s="19">
        <v>44.54</v>
      </c>
      <c r="AA170" s="19">
        <v>0</v>
      </c>
      <c r="AB170" s="19">
        <v>34560</v>
      </c>
      <c r="AC170" s="19">
        <v>0</v>
      </c>
      <c r="AD170" s="20">
        <v>142860.10999999999</v>
      </c>
      <c r="AE170" s="19">
        <v>0</v>
      </c>
      <c r="AF170" s="20">
        <v>6.25</v>
      </c>
      <c r="AG170" s="19">
        <v>0</v>
      </c>
      <c r="AH170" s="20">
        <v>1.5</v>
      </c>
      <c r="AI170" s="19">
        <v>0</v>
      </c>
      <c r="AJ170" s="20">
        <v>5.15</v>
      </c>
      <c r="AK170" s="19">
        <v>0</v>
      </c>
      <c r="AL170" s="20">
        <v>232506.61</v>
      </c>
      <c r="AM170" s="19">
        <v>0</v>
      </c>
      <c r="AN170" s="20">
        <v>0</v>
      </c>
      <c r="AO170" s="19">
        <v>0</v>
      </c>
      <c r="AP170" s="20">
        <v>0</v>
      </c>
      <c r="AQ170" s="19">
        <v>0</v>
      </c>
      <c r="AR170" s="28">
        <v>0</v>
      </c>
    </row>
    <row r="171" spans="1:44" ht="12.75" customHeight="1" x14ac:dyDescent="0.25">
      <c r="A171" s="27" t="s">
        <v>1370</v>
      </c>
      <c r="B171" s="14" t="s">
        <v>2393</v>
      </c>
      <c r="C171" s="26" t="s">
        <v>1046</v>
      </c>
      <c r="D171" s="14" t="s">
        <v>1170</v>
      </c>
      <c r="E171" s="1" t="s">
        <v>1545</v>
      </c>
      <c r="F171" s="14"/>
      <c r="G171" s="296"/>
      <c r="H171" s="296">
        <v>239221.22</v>
      </c>
      <c r="I171" s="296"/>
      <c r="J171" s="296"/>
      <c r="K171" s="19">
        <v>0</v>
      </c>
      <c r="L171" s="19">
        <v>9</v>
      </c>
      <c r="M171" s="19">
        <v>0</v>
      </c>
      <c r="N171" s="19">
        <v>0</v>
      </c>
      <c r="O171" s="19">
        <v>0</v>
      </c>
      <c r="P171" s="19">
        <v>2.5700000000000001E-2</v>
      </c>
      <c r="Q171" s="19">
        <v>0</v>
      </c>
      <c r="R171" s="19">
        <v>4</v>
      </c>
      <c r="S171" s="19">
        <v>0</v>
      </c>
      <c r="T171" s="19">
        <v>1</v>
      </c>
      <c r="U171" s="19">
        <v>0</v>
      </c>
      <c r="V171" s="19">
        <v>0</v>
      </c>
      <c r="W171" s="19">
        <v>0</v>
      </c>
      <c r="X171" s="19">
        <v>12.58</v>
      </c>
      <c r="Y171" s="19">
        <v>0</v>
      </c>
      <c r="Z171" s="19">
        <v>105.4</v>
      </c>
      <c r="AA171" s="19">
        <v>0</v>
      </c>
      <c r="AB171" s="19">
        <v>92820</v>
      </c>
      <c r="AC171" s="19">
        <v>0</v>
      </c>
      <c r="AD171" s="20">
        <v>214760.9</v>
      </c>
      <c r="AE171" s="19">
        <v>0</v>
      </c>
      <c r="AF171" s="20">
        <v>14</v>
      </c>
      <c r="AG171" s="19">
        <v>0</v>
      </c>
      <c r="AH171" s="20">
        <v>0</v>
      </c>
      <c r="AI171" s="19">
        <v>0</v>
      </c>
      <c r="AJ171" s="20">
        <v>9.4</v>
      </c>
      <c r="AK171" s="19">
        <v>0</v>
      </c>
      <c r="AL171" s="20">
        <v>332116.8</v>
      </c>
      <c r="AM171" s="19">
        <v>0</v>
      </c>
      <c r="AN171" s="20">
        <v>0</v>
      </c>
      <c r="AO171" s="19">
        <v>0</v>
      </c>
      <c r="AP171" s="20">
        <v>0</v>
      </c>
      <c r="AQ171" s="19">
        <v>0</v>
      </c>
      <c r="AR171" s="28">
        <v>0</v>
      </c>
    </row>
    <row r="172" spans="1:44" ht="12.75" customHeight="1" x14ac:dyDescent="0.25">
      <c r="A172" s="27" t="s">
        <v>1371</v>
      </c>
      <c r="B172" s="14" t="s">
        <v>2393</v>
      </c>
      <c r="C172" s="26" t="s">
        <v>1057</v>
      </c>
      <c r="D172" s="14" t="s">
        <v>1187</v>
      </c>
      <c r="E172" s="1" t="s">
        <v>1545</v>
      </c>
      <c r="F172" s="14"/>
      <c r="G172" s="296"/>
      <c r="H172" s="296">
        <v>209123.71</v>
      </c>
      <c r="I172" s="296"/>
      <c r="J172" s="296"/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7.7</v>
      </c>
      <c r="Q172" s="19">
        <v>0</v>
      </c>
      <c r="R172" s="19">
        <v>1</v>
      </c>
      <c r="S172" s="19">
        <v>0</v>
      </c>
      <c r="T172" s="19">
        <v>1</v>
      </c>
      <c r="U172" s="19">
        <v>0</v>
      </c>
      <c r="V172" s="19">
        <v>0</v>
      </c>
      <c r="W172" s="19">
        <v>0</v>
      </c>
      <c r="X172" s="19">
        <v>19.3</v>
      </c>
      <c r="Y172" s="19">
        <v>0</v>
      </c>
      <c r="Z172" s="19">
        <v>216.6</v>
      </c>
      <c r="AA172" s="19">
        <v>0</v>
      </c>
      <c r="AB172" s="19">
        <v>197300</v>
      </c>
      <c r="AC172" s="19">
        <v>0</v>
      </c>
      <c r="AD172" s="20">
        <v>197300</v>
      </c>
      <c r="AE172" s="19">
        <v>0</v>
      </c>
      <c r="AF172" s="20">
        <v>16.399999999999999</v>
      </c>
      <c r="AG172" s="19">
        <v>0</v>
      </c>
      <c r="AH172" s="20">
        <v>0</v>
      </c>
      <c r="AI172" s="19">
        <v>0</v>
      </c>
      <c r="AJ172" s="20">
        <v>0.3</v>
      </c>
      <c r="AK172" s="19">
        <v>0</v>
      </c>
      <c r="AL172" s="20">
        <v>0</v>
      </c>
      <c r="AM172" s="19">
        <v>0</v>
      </c>
      <c r="AN172" s="20">
        <v>0</v>
      </c>
      <c r="AO172" s="19">
        <v>0</v>
      </c>
      <c r="AP172" s="20">
        <v>0</v>
      </c>
      <c r="AQ172" s="19">
        <v>0</v>
      </c>
      <c r="AR172" s="28">
        <v>0</v>
      </c>
    </row>
    <row r="173" spans="1:44" ht="12.75" customHeight="1" x14ac:dyDescent="0.25">
      <c r="A173" s="27" t="s">
        <v>1372</v>
      </c>
      <c r="B173" s="14" t="s">
        <v>2393</v>
      </c>
      <c r="C173" s="26" t="s">
        <v>1454</v>
      </c>
      <c r="D173" s="14" t="s">
        <v>1514</v>
      </c>
      <c r="E173" s="1" t="s">
        <v>1545</v>
      </c>
      <c r="F173" s="14"/>
      <c r="G173" s="296"/>
      <c r="H173" s="296">
        <v>513534.74</v>
      </c>
      <c r="I173" s="296"/>
      <c r="J173" s="296"/>
      <c r="K173" s="19">
        <v>0</v>
      </c>
      <c r="L173" s="19">
        <v>6.0006000000000004</v>
      </c>
      <c r="M173" s="19">
        <v>0</v>
      </c>
      <c r="N173" s="19">
        <v>0</v>
      </c>
      <c r="O173" s="19">
        <v>0</v>
      </c>
      <c r="P173" s="19">
        <v>5.2699999999999997E-2</v>
      </c>
      <c r="Q173" s="19">
        <v>0</v>
      </c>
      <c r="R173" s="19">
        <v>4</v>
      </c>
      <c r="S173" s="19">
        <v>0</v>
      </c>
      <c r="T173" s="19">
        <v>1</v>
      </c>
      <c r="U173" s="19">
        <v>0</v>
      </c>
      <c r="V173" s="19">
        <v>961.65</v>
      </c>
      <c r="W173" s="19">
        <v>0</v>
      </c>
      <c r="X173" s="19">
        <v>11.815</v>
      </c>
      <c r="Y173" s="19">
        <v>0</v>
      </c>
      <c r="Z173" s="19">
        <v>40.743000000000002</v>
      </c>
      <c r="AA173" s="19">
        <v>0</v>
      </c>
      <c r="AB173" s="19">
        <v>28.927499999999998</v>
      </c>
      <c r="AC173" s="19">
        <v>0</v>
      </c>
      <c r="AD173" s="20">
        <v>97126.65</v>
      </c>
      <c r="AE173" s="19">
        <v>0</v>
      </c>
      <c r="AF173" s="20">
        <v>190.23</v>
      </c>
      <c r="AG173" s="19">
        <v>0</v>
      </c>
      <c r="AH173" s="20">
        <v>34.64</v>
      </c>
      <c r="AI173" s="19">
        <v>0</v>
      </c>
      <c r="AJ173" s="20">
        <v>173.13</v>
      </c>
      <c r="AK173" s="19">
        <v>0</v>
      </c>
      <c r="AL173" s="20">
        <v>363503.7</v>
      </c>
      <c r="AM173" s="19">
        <v>0</v>
      </c>
      <c r="AN173" s="20">
        <v>6</v>
      </c>
      <c r="AO173" s="19">
        <v>0</v>
      </c>
      <c r="AP173" s="20">
        <v>33.89</v>
      </c>
      <c r="AQ173" s="19">
        <v>0</v>
      </c>
      <c r="AR173" s="28">
        <v>0</v>
      </c>
    </row>
    <row r="174" spans="1:44" ht="12.75" customHeight="1" x14ac:dyDescent="0.25">
      <c r="A174" s="27" t="s">
        <v>1373</v>
      </c>
      <c r="B174" s="14" t="s">
        <v>2393</v>
      </c>
      <c r="C174" s="26" t="s">
        <v>1455</v>
      </c>
      <c r="D174" s="14" t="s">
        <v>1515</v>
      </c>
      <c r="E174" s="1" t="s">
        <v>1545</v>
      </c>
      <c r="F174" s="14"/>
      <c r="G174" s="296"/>
      <c r="H174" s="296"/>
      <c r="I174" s="296"/>
      <c r="J174" s="296"/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15.638</v>
      </c>
      <c r="Q174" s="19">
        <v>0</v>
      </c>
      <c r="R174" s="19">
        <v>1</v>
      </c>
      <c r="S174" s="19">
        <v>0</v>
      </c>
      <c r="T174" s="19">
        <v>1</v>
      </c>
      <c r="U174" s="19">
        <v>0</v>
      </c>
      <c r="V174" s="19">
        <v>510.7</v>
      </c>
      <c r="W174" s="19">
        <v>0</v>
      </c>
      <c r="X174" s="19">
        <v>25.98</v>
      </c>
      <c r="Y174" s="19">
        <v>0</v>
      </c>
      <c r="Z174" s="19">
        <v>94.866</v>
      </c>
      <c r="AA174" s="19">
        <v>0</v>
      </c>
      <c r="AB174" s="19">
        <v>68886</v>
      </c>
      <c r="AC174" s="19">
        <v>0</v>
      </c>
      <c r="AD174" s="20">
        <v>68886</v>
      </c>
      <c r="AE174" s="19">
        <v>0</v>
      </c>
      <c r="AF174" s="20">
        <v>11.21</v>
      </c>
      <c r="AG174" s="19">
        <v>0</v>
      </c>
      <c r="AH174" s="20">
        <v>0.56999999999999995</v>
      </c>
      <c r="AI174" s="19">
        <v>0</v>
      </c>
      <c r="AJ174" s="20">
        <v>7.0000000000000007E-2</v>
      </c>
      <c r="AK174" s="19">
        <v>0</v>
      </c>
      <c r="AL174" s="20">
        <v>127889</v>
      </c>
      <c r="AM174" s="19">
        <v>0</v>
      </c>
      <c r="AN174" s="20">
        <v>0</v>
      </c>
      <c r="AO174" s="19">
        <v>0</v>
      </c>
      <c r="AP174" s="20">
        <v>0</v>
      </c>
      <c r="AQ174" s="19">
        <v>0</v>
      </c>
      <c r="AR174" s="28">
        <v>0</v>
      </c>
    </row>
    <row r="175" spans="1:44" ht="12.75" customHeight="1" x14ac:dyDescent="0.25">
      <c r="A175" s="27" t="s">
        <v>1374</v>
      </c>
      <c r="B175" s="14" t="s">
        <v>2393</v>
      </c>
      <c r="C175" s="26" t="s">
        <v>987</v>
      </c>
      <c r="D175" s="14" t="s">
        <v>1516</v>
      </c>
      <c r="E175" s="1" t="s">
        <v>1545</v>
      </c>
      <c r="F175" s="14"/>
      <c r="G175" s="296"/>
      <c r="H175" s="296"/>
      <c r="I175" s="296"/>
      <c r="J175" s="296"/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43.372199999999999</v>
      </c>
      <c r="Q175" s="19">
        <v>0</v>
      </c>
      <c r="R175" s="19">
        <v>6</v>
      </c>
      <c r="S175" s="19">
        <v>0</v>
      </c>
      <c r="T175" s="19">
        <v>1</v>
      </c>
      <c r="U175" s="19">
        <v>0</v>
      </c>
      <c r="V175" s="19">
        <v>2206.2199999999998</v>
      </c>
      <c r="W175" s="19">
        <v>0</v>
      </c>
      <c r="X175" s="19">
        <v>77.34</v>
      </c>
      <c r="Y175" s="19">
        <v>0</v>
      </c>
      <c r="Z175" s="19">
        <v>342.02</v>
      </c>
      <c r="AA175" s="19">
        <v>0</v>
      </c>
      <c r="AB175" s="19">
        <v>264688</v>
      </c>
      <c r="AC175" s="19">
        <v>0</v>
      </c>
      <c r="AD175" s="20">
        <v>426483</v>
      </c>
      <c r="AE175" s="19">
        <v>0</v>
      </c>
      <c r="AF175" s="20">
        <v>73.599999999999994</v>
      </c>
      <c r="AG175" s="19">
        <v>0</v>
      </c>
      <c r="AH175" s="20">
        <v>0</v>
      </c>
      <c r="AI175" s="19">
        <v>0</v>
      </c>
      <c r="AJ175" s="20">
        <v>0</v>
      </c>
      <c r="AK175" s="19">
        <v>0</v>
      </c>
      <c r="AL175" s="20">
        <v>325641</v>
      </c>
      <c r="AM175" s="19">
        <v>0</v>
      </c>
      <c r="AN175" s="20">
        <v>0</v>
      </c>
      <c r="AO175" s="19">
        <v>0</v>
      </c>
      <c r="AP175" s="20">
        <v>0</v>
      </c>
      <c r="AQ175" s="19">
        <v>0</v>
      </c>
      <c r="AR175" s="28">
        <v>0</v>
      </c>
    </row>
    <row r="176" spans="1:44" ht="12.75" customHeight="1" x14ac:dyDescent="0.25">
      <c r="A176" s="27" t="s">
        <v>1375</v>
      </c>
      <c r="B176" s="14" t="s">
        <v>2393</v>
      </c>
      <c r="C176" s="26" t="s">
        <v>979</v>
      </c>
      <c r="D176" s="14" t="s">
        <v>1517</v>
      </c>
      <c r="E176" s="1" t="s">
        <v>1545</v>
      </c>
      <c r="F176" s="14"/>
      <c r="G176" s="296"/>
      <c r="H176" s="296">
        <v>610656.84</v>
      </c>
      <c r="I176" s="296"/>
      <c r="J176" s="296"/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46.41</v>
      </c>
      <c r="Q176" s="19">
        <v>0</v>
      </c>
      <c r="R176" s="19">
        <v>7</v>
      </c>
      <c r="S176" s="19">
        <v>0</v>
      </c>
      <c r="T176" s="19">
        <v>1</v>
      </c>
      <c r="U176" s="19">
        <v>0</v>
      </c>
      <c r="V176" s="19">
        <v>2741</v>
      </c>
      <c r="W176" s="19">
        <v>0</v>
      </c>
      <c r="X176" s="19">
        <v>227.74</v>
      </c>
      <c r="Y176" s="19">
        <v>0</v>
      </c>
      <c r="Z176" s="19">
        <v>400.71</v>
      </c>
      <c r="AA176" s="19">
        <v>0</v>
      </c>
      <c r="AB176" s="19">
        <v>422114</v>
      </c>
      <c r="AC176" s="19">
        <v>0</v>
      </c>
      <c r="AD176" s="20">
        <v>154</v>
      </c>
      <c r="AE176" s="19">
        <v>0</v>
      </c>
      <c r="AF176" s="20">
        <v>33</v>
      </c>
      <c r="AG176" s="19">
        <v>0</v>
      </c>
      <c r="AH176" s="20">
        <v>1.7</v>
      </c>
      <c r="AI176" s="19">
        <v>0</v>
      </c>
      <c r="AJ176" s="20">
        <v>0.21</v>
      </c>
      <c r="AK176" s="19">
        <v>0</v>
      </c>
      <c r="AL176" s="20">
        <v>154</v>
      </c>
      <c r="AM176" s="19">
        <v>0</v>
      </c>
      <c r="AN176" s="20">
        <v>0</v>
      </c>
      <c r="AO176" s="19">
        <v>0</v>
      </c>
      <c r="AP176" s="20">
        <v>0</v>
      </c>
      <c r="AQ176" s="19">
        <v>0</v>
      </c>
      <c r="AR176" s="28">
        <v>0</v>
      </c>
    </row>
    <row r="177" spans="1:44" ht="12.75" customHeight="1" x14ac:dyDescent="0.25">
      <c r="A177" s="27" t="s">
        <v>1376</v>
      </c>
      <c r="B177" s="14" t="s">
        <v>2393</v>
      </c>
      <c r="C177" s="26" t="s">
        <v>979</v>
      </c>
      <c r="D177" s="14" t="s">
        <v>1177</v>
      </c>
      <c r="E177" s="1" t="s">
        <v>1545</v>
      </c>
      <c r="F177" s="14"/>
      <c r="G177" s="296"/>
      <c r="H177" s="296">
        <v>757201.5</v>
      </c>
      <c r="I177" s="296"/>
      <c r="J177" s="296"/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65.14</v>
      </c>
      <c r="Q177" s="19">
        <v>0</v>
      </c>
      <c r="R177" s="19">
        <v>5</v>
      </c>
      <c r="S177" s="19">
        <v>0</v>
      </c>
      <c r="T177" s="19">
        <v>1</v>
      </c>
      <c r="U177" s="19">
        <v>0</v>
      </c>
      <c r="V177" s="19">
        <v>5679.9</v>
      </c>
      <c r="W177" s="19">
        <v>0</v>
      </c>
      <c r="X177" s="19">
        <v>244.24</v>
      </c>
      <c r="Y177" s="19">
        <v>0</v>
      </c>
      <c r="Z177" s="19">
        <v>786.72</v>
      </c>
      <c r="AA177" s="19">
        <v>0</v>
      </c>
      <c r="AB177" s="19">
        <v>596389.5</v>
      </c>
      <c r="AC177" s="19">
        <v>0</v>
      </c>
      <c r="AD177" s="20">
        <v>105</v>
      </c>
      <c r="AE177" s="19">
        <v>0</v>
      </c>
      <c r="AF177" s="20">
        <v>45</v>
      </c>
      <c r="AG177" s="19">
        <v>0</v>
      </c>
      <c r="AH177" s="20">
        <v>2.2999999999999998</v>
      </c>
      <c r="AI177" s="19">
        <v>0</v>
      </c>
      <c r="AJ177" s="20">
        <v>0.2</v>
      </c>
      <c r="AK177" s="19">
        <v>0</v>
      </c>
      <c r="AL177" s="20">
        <v>105</v>
      </c>
      <c r="AM177" s="19">
        <v>0</v>
      </c>
      <c r="AN177" s="20">
        <v>0</v>
      </c>
      <c r="AO177" s="19">
        <v>0</v>
      </c>
      <c r="AP177" s="20">
        <v>0</v>
      </c>
      <c r="AQ177" s="19">
        <v>0</v>
      </c>
      <c r="AR177" s="28">
        <v>0</v>
      </c>
    </row>
    <row r="178" spans="1:44" ht="12.75" customHeight="1" x14ac:dyDescent="0.25">
      <c r="A178" s="27" t="s">
        <v>1377</v>
      </c>
      <c r="B178" s="14" t="s">
        <v>2393</v>
      </c>
      <c r="C178" s="26" t="s">
        <v>979</v>
      </c>
      <c r="D178" s="14" t="s">
        <v>1071</v>
      </c>
      <c r="E178" s="1" t="s">
        <v>1545</v>
      </c>
      <c r="F178" s="14"/>
      <c r="G178" s="296"/>
      <c r="H178" s="296"/>
      <c r="I178" s="296"/>
      <c r="J178" s="296"/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80.400000000000006</v>
      </c>
      <c r="Q178" s="19">
        <v>0</v>
      </c>
      <c r="R178" s="19">
        <v>8</v>
      </c>
      <c r="S178" s="19">
        <v>0</v>
      </c>
      <c r="T178" s="19">
        <v>1</v>
      </c>
      <c r="U178" s="19">
        <v>0</v>
      </c>
      <c r="V178" s="19">
        <v>1878.2</v>
      </c>
      <c r="W178" s="19">
        <v>0</v>
      </c>
      <c r="X178" s="19">
        <v>132.6</v>
      </c>
      <c r="Y178" s="19">
        <v>0</v>
      </c>
      <c r="Z178" s="19">
        <v>258.06</v>
      </c>
      <c r="AA178" s="19">
        <v>0</v>
      </c>
      <c r="AB178" s="19">
        <v>125463</v>
      </c>
      <c r="AC178" s="19">
        <v>0</v>
      </c>
      <c r="AD178" s="20">
        <v>299513.7</v>
      </c>
      <c r="AE178" s="19">
        <v>0</v>
      </c>
      <c r="AF178" s="20">
        <v>39.299999999999997</v>
      </c>
      <c r="AG178" s="19">
        <v>0</v>
      </c>
      <c r="AH178" s="20">
        <v>2.02</v>
      </c>
      <c r="AI178" s="19">
        <v>0</v>
      </c>
      <c r="AJ178" s="20">
        <v>0.25</v>
      </c>
      <c r="AK178" s="19">
        <v>0</v>
      </c>
      <c r="AL178" s="20">
        <v>276.2</v>
      </c>
      <c r="AM178" s="19">
        <v>0</v>
      </c>
      <c r="AN178" s="20">
        <v>0</v>
      </c>
      <c r="AO178" s="19">
        <v>0</v>
      </c>
      <c r="AP178" s="20">
        <v>0</v>
      </c>
      <c r="AQ178" s="19">
        <v>0</v>
      </c>
      <c r="AR178" s="28">
        <v>0</v>
      </c>
    </row>
    <row r="179" spans="1:44" ht="12.75" customHeight="1" x14ac:dyDescent="0.25">
      <c r="A179" s="27" t="s">
        <v>1378</v>
      </c>
      <c r="B179" s="14" t="s">
        <v>2393</v>
      </c>
      <c r="C179" s="26" t="s">
        <v>979</v>
      </c>
      <c r="D179" s="14" t="s">
        <v>1153</v>
      </c>
      <c r="E179" s="1" t="s">
        <v>1545</v>
      </c>
      <c r="F179" s="14"/>
      <c r="G179" s="296"/>
      <c r="H179" s="296">
        <v>357251.75</v>
      </c>
      <c r="I179" s="296"/>
      <c r="J179" s="296"/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34.299999999999997</v>
      </c>
      <c r="Q179" s="19">
        <v>0</v>
      </c>
      <c r="R179" s="19">
        <v>6</v>
      </c>
      <c r="S179" s="19">
        <v>0</v>
      </c>
      <c r="T179" s="19">
        <v>1</v>
      </c>
      <c r="U179" s="19">
        <v>0</v>
      </c>
      <c r="V179" s="19">
        <v>2488.8000000000002</v>
      </c>
      <c r="W179" s="19">
        <v>0</v>
      </c>
      <c r="X179" s="19">
        <v>156.79400000000001</v>
      </c>
      <c r="Y179" s="19">
        <v>0</v>
      </c>
      <c r="Z179" s="19">
        <v>251.28</v>
      </c>
      <c r="AA179" s="19">
        <v>0</v>
      </c>
      <c r="AB179" s="19">
        <v>246391.2</v>
      </c>
      <c r="AC179" s="19">
        <v>0</v>
      </c>
      <c r="AD179" s="20">
        <v>99</v>
      </c>
      <c r="AE179" s="19">
        <v>0</v>
      </c>
      <c r="AF179" s="20">
        <v>25</v>
      </c>
      <c r="AG179" s="19">
        <v>0</v>
      </c>
      <c r="AH179" s="20">
        <v>1.3</v>
      </c>
      <c r="AI179" s="19">
        <v>0</v>
      </c>
      <c r="AJ179" s="20">
        <v>0.2</v>
      </c>
      <c r="AK179" s="19">
        <v>0</v>
      </c>
      <c r="AL179" s="20">
        <v>99</v>
      </c>
      <c r="AM179" s="19">
        <v>0</v>
      </c>
      <c r="AN179" s="20">
        <v>0</v>
      </c>
      <c r="AO179" s="19">
        <v>0</v>
      </c>
      <c r="AP179" s="20">
        <v>0</v>
      </c>
      <c r="AQ179" s="19">
        <v>0</v>
      </c>
      <c r="AR179" s="28">
        <v>0</v>
      </c>
    </row>
    <row r="180" spans="1:44" ht="12.75" customHeight="1" x14ac:dyDescent="0.25">
      <c r="A180" s="27" t="s">
        <v>1379</v>
      </c>
      <c r="B180" s="14" t="s">
        <v>2393</v>
      </c>
      <c r="C180" s="26" t="s">
        <v>979</v>
      </c>
      <c r="D180" s="14" t="s">
        <v>1518</v>
      </c>
      <c r="E180" s="1" t="s">
        <v>1545</v>
      </c>
      <c r="F180" s="14"/>
      <c r="G180" s="296"/>
      <c r="H180" s="296"/>
      <c r="I180" s="296"/>
      <c r="J180" s="296"/>
      <c r="K180" s="19">
        <v>0</v>
      </c>
      <c r="L180" s="19">
        <v>0</v>
      </c>
      <c r="M180" s="19">
        <v>0</v>
      </c>
      <c r="N180" s="19">
        <v>37.58</v>
      </c>
      <c r="O180" s="19">
        <v>0</v>
      </c>
      <c r="P180" s="19">
        <v>86.54</v>
      </c>
      <c r="Q180" s="19">
        <v>0</v>
      </c>
      <c r="R180" s="19">
        <v>7</v>
      </c>
      <c r="S180" s="19">
        <v>0</v>
      </c>
      <c r="T180" s="19">
        <v>1</v>
      </c>
      <c r="U180" s="19">
        <v>0</v>
      </c>
      <c r="V180" s="19">
        <v>7339</v>
      </c>
      <c r="W180" s="19">
        <v>0</v>
      </c>
      <c r="X180" s="19">
        <v>398.79</v>
      </c>
      <c r="Y180" s="19">
        <v>0</v>
      </c>
      <c r="Z180" s="19">
        <v>1106.08</v>
      </c>
      <c r="AA180" s="19">
        <v>0</v>
      </c>
      <c r="AB180" s="19">
        <v>707291</v>
      </c>
      <c r="AC180" s="19">
        <v>0</v>
      </c>
      <c r="AD180" s="20">
        <v>445981</v>
      </c>
      <c r="AE180" s="19">
        <v>0</v>
      </c>
      <c r="AF180" s="20">
        <v>54</v>
      </c>
      <c r="AG180" s="19">
        <v>0</v>
      </c>
      <c r="AH180" s="20">
        <v>3</v>
      </c>
      <c r="AI180" s="19">
        <v>0</v>
      </c>
      <c r="AJ180" s="20">
        <v>0.3</v>
      </c>
      <c r="AK180" s="19">
        <v>0</v>
      </c>
      <c r="AL180" s="20">
        <v>106</v>
      </c>
      <c r="AM180" s="19">
        <v>0</v>
      </c>
      <c r="AN180" s="20">
        <v>0</v>
      </c>
      <c r="AO180" s="19">
        <v>0</v>
      </c>
      <c r="AP180" s="20">
        <v>1.78E-2</v>
      </c>
      <c r="AQ180" s="19">
        <v>0</v>
      </c>
      <c r="AR180" s="28">
        <v>1.78E-2</v>
      </c>
    </row>
    <row r="181" spans="1:44" ht="12.75" customHeight="1" x14ac:dyDescent="0.25">
      <c r="A181" s="27" t="s">
        <v>1380</v>
      </c>
      <c r="B181" s="14" t="s">
        <v>2393</v>
      </c>
      <c r="C181" s="26" t="s">
        <v>979</v>
      </c>
      <c r="D181" s="14" t="s">
        <v>1169</v>
      </c>
      <c r="E181" s="1" t="s">
        <v>1545</v>
      </c>
      <c r="F181" s="14"/>
      <c r="G181" s="296"/>
      <c r="H181" s="296">
        <v>453796.78</v>
      </c>
      <c r="I181" s="296"/>
      <c r="J181" s="296"/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51.26</v>
      </c>
      <c r="Q181" s="19">
        <v>0</v>
      </c>
      <c r="R181" s="19">
        <v>6</v>
      </c>
      <c r="S181" s="19">
        <v>0</v>
      </c>
      <c r="T181" s="19">
        <v>1</v>
      </c>
      <c r="U181" s="19">
        <v>0</v>
      </c>
      <c r="V181" s="19">
        <v>6400</v>
      </c>
      <c r="W181" s="19">
        <v>0</v>
      </c>
      <c r="X181" s="19">
        <v>364.8</v>
      </c>
      <c r="Y181" s="19">
        <v>0</v>
      </c>
      <c r="Z181" s="19">
        <v>847.05</v>
      </c>
      <c r="AA181" s="19">
        <v>0</v>
      </c>
      <c r="AB181" s="19">
        <v>486400</v>
      </c>
      <c r="AC181" s="19">
        <v>0</v>
      </c>
      <c r="AD181" s="20">
        <v>76</v>
      </c>
      <c r="AE181" s="19">
        <v>0</v>
      </c>
      <c r="AF181" s="20">
        <v>30</v>
      </c>
      <c r="AG181" s="19">
        <v>0</v>
      </c>
      <c r="AH181" s="20">
        <v>2</v>
      </c>
      <c r="AI181" s="19">
        <v>0</v>
      </c>
      <c r="AJ181" s="20">
        <v>0.1</v>
      </c>
      <c r="AK181" s="19">
        <v>0</v>
      </c>
      <c r="AL181" s="20">
        <v>76</v>
      </c>
      <c r="AM181" s="19">
        <v>0</v>
      </c>
      <c r="AN181" s="20">
        <v>0</v>
      </c>
      <c r="AO181" s="19">
        <v>0</v>
      </c>
      <c r="AP181" s="20">
        <v>0</v>
      </c>
      <c r="AQ181" s="19">
        <v>0</v>
      </c>
      <c r="AR181" s="28">
        <v>0</v>
      </c>
    </row>
    <row r="182" spans="1:44" ht="12.75" customHeight="1" x14ac:dyDescent="0.25">
      <c r="A182" s="27" t="s">
        <v>1381</v>
      </c>
      <c r="B182" s="14" t="s">
        <v>2393</v>
      </c>
      <c r="C182" s="26" t="s">
        <v>979</v>
      </c>
      <c r="D182" s="14" t="s">
        <v>1133</v>
      </c>
      <c r="E182" s="1" t="s">
        <v>1545</v>
      </c>
      <c r="F182" s="14"/>
      <c r="G182" s="296"/>
      <c r="H182" s="296">
        <v>601349.47</v>
      </c>
      <c r="I182" s="296"/>
      <c r="J182" s="296"/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5.9</v>
      </c>
      <c r="Q182" s="19">
        <v>0</v>
      </c>
      <c r="R182" s="19">
        <v>6</v>
      </c>
      <c r="S182" s="19">
        <v>0</v>
      </c>
      <c r="T182" s="19">
        <v>1</v>
      </c>
      <c r="U182" s="19">
        <v>0</v>
      </c>
      <c r="V182" s="19">
        <v>2775.06</v>
      </c>
      <c r="W182" s="19">
        <v>0</v>
      </c>
      <c r="X182" s="19">
        <v>100.04</v>
      </c>
      <c r="Y182" s="19">
        <v>0</v>
      </c>
      <c r="Z182" s="19">
        <v>331.51</v>
      </c>
      <c r="AA182" s="19">
        <v>0</v>
      </c>
      <c r="AB182" s="19">
        <v>63881.88</v>
      </c>
      <c r="AC182" s="19">
        <v>0</v>
      </c>
      <c r="AD182" s="20">
        <v>23</v>
      </c>
      <c r="AE182" s="19">
        <v>0</v>
      </c>
      <c r="AF182" s="20">
        <v>0.255</v>
      </c>
      <c r="AG182" s="19">
        <v>0</v>
      </c>
      <c r="AH182" s="20">
        <v>0.1275</v>
      </c>
      <c r="AI182" s="19">
        <v>0</v>
      </c>
      <c r="AJ182" s="20">
        <v>0</v>
      </c>
      <c r="AK182" s="19">
        <v>0</v>
      </c>
      <c r="AL182" s="20">
        <v>23.02</v>
      </c>
      <c r="AM182" s="19">
        <v>0</v>
      </c>
      <c r="AN182" s="20">
        <v>0</v>
      </c>
      <c r="AO182" s="19">
        <v>0</v>
      </c>
      <c r="AP182" s="20">
        <v>0</v>
      </c>
      <c r="AQ182" s="19">
        <v>0</v>
      </c>
      <c r="AR182" s="28">
        <v>0</v>
      </c>
    </row>
    <row r="183" spans="1:44" ht="12.75" customHeight="1" x14ac:dyDescent="0.25">
      <c r="A183" s="27" t="s">
        <v>1382</v>
      </c>
      <c r="B183" s="14" t="s">
        <v>2393</v>
      </c>
      <c r="C183" s="26" t="s">
        <v>979</v>
      </c>
      <c r="D183" s="14" t="s">
        <v>1073</v>
      </c>
      <c r="E183" s="1" t="s">
        <v>1545</v>
      </c>
      <c r="F183" s="14"/>
      <c r="G183" s="296"/>
      <c r="H183" s="296">
        <v>575210.68999999994</v>
      </c>
      <c r="I183" s="296"/>
      <c r="J183" s="296"/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15.994</v>
      </c>
      <c r="Q183" s="19">
        <v>0</v>
      </c>
      <c r="R183" s="19">
        <v>7</v>
      </c>
      <c r="S183" s="19">
        <v>0</v>
      </c>
      <c r="T183" s="19">
        <v>1</v>
      </c>
      <c r="U183" s="19">
        <v>0</v>
      </c>
      <c r="V183" s="19">
        <v>4151</v>
      </c>
      <c r="W183" s="19">
        <v>0</v>
      </c>
      <c r="X183" s="19">
        <v>305.35000000000002</v>
      </c>
      <c r="Y183" s="19">
        <v>0</v>
      </c>
      <c r="Z183" s="19">
        <v>603.15</v>
      </c>
      <c r="AA183" s="19">
        <v>0</v>
      </c>
      <c r="AB183" s="19">
        <v>297806</v>
      </c>
      <c r="AC183" s="19">
        <v>0</v>
      </c>
      <c r="AD183" s="20">
        <v>415625.13</v>
      </c>
      <c r="AE183" s="19">
        <v>0</v>
      </c>
      <c r="AF183" s="20">
        <v>10.561</v>
      </c>
      <c r="AG183" s="19">
        <v>0</v>
      </c>
      <c r="AH183" s="20">
        <v>0.60599999999999998</v>
      </c>
      <c r="AI183" s="19">
        <v>0</v>
      </c>
      <c r="AJ183" s="20">
        <v>7.1999999999999995E-2</v>
      </c>
      <c r="AK183" s="19">
        <v>0</v>
      </c>
      <c r="AL183" s="20">
        <v>130.78399999999999</v>
      </c>
      <c r="AM183" s="19">
        <v>0</v>
      </c>
      <c r="AN183" s="20">
        <v>0</v>
      </c>
      <c r="AO183" s="19">
        <v>0</v>
      </c>
      <c r="AP183" s="20">
        <v>0</v>
      </c>
      <c r="AQ183" s="19">
        <v>0</v>
      </c>
      <c r="AR183" s="28">
        <v>0</v>
      </c>
    </row>
    <row r="184" spans="1:44" ht="12.75" customHeight="1" x14ac:dyDescent="0.25">
      <c r="A184" s="27" t="s">
        <v>1383</v>
      </c>
      <c r="B184" s="14" t="s">
        <v>2393</v>
      </c>
      <c r="C184" s="26" t="s">
        <v>979</v>
      </c>
      <c r="D184" s="14" t="s">
        <v>1519</v>
      </c>
      <c r="E184" s="1" t="s">
        <v>1545</v>
      </c>
      <c r="F184" s="14"/>
      <c r="G184" s="296"/>
      <c r="H184" s="296"/>
      <c r="I184" s="296"/>
      <c r="J184" s="296"/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35.896999999999998</v>
      </c>
      <c r="Q184" s="19">
        <v>0</v>
      </c>
      <c r="R184" s="19">
        <v>6</v>
      </c>
      <c r="S184" s="19">
        <v>0</v>
      </c>
      <c r="T184" s="19">
        <v>1</v>
      </c>
      <c r="U184" s="19">
        <v>0</v>
      </c>
      <c r="V184" s="19">
        <v>2513</v>
      </c>
      <c r="W184" s="19">
        <v>0</v>
      </c>
      <c r="X184" s="19">
        <v>135.97999999999999</v>
      </c>
      <c r="Y184" s="19">
        <v>0</v>
      </c>
      <c r="Z184" s="19">
        <v>325.66000000000003</v>
      </c>
      <c r="AA184" s="19">
        <v>0</v>
      </c>
      <c r="AB184" s="19">
        <v>189681</v>
      </c>
      <c r="AC184" s="19">
        <v>0</v>
      </c>
      <c r="AD184" s="20">
        <v>250186.77</v>
      </c>
      <c r="AE184" s="19">
        <v>0</v>
      </c>
      <c r="AF184" s="20">
        <v>26.547000000000001</v>
      </c>
      <c r="AG184" s="19">
        <v>0</v>
      </c>
      <c r="AH184" s="20">
        <v>1.3620000000000001</v>
      </c>
      <c r="AI184" s="19">
        <v>0</v>
      </c>
      <c r="AJ184" s="20">
        <v>0.16400000000000001</v>
      </c>
      <c r="AK184" s="19">
        <v>0</v>
      </c>
      <c r="AL184" s="20">
        <v>132.37</v>
      </c>
      <c r="AM184" s="19">
        <v>0</v>
      </c>
      <c r="AN184" s="20">
        <v>0</v>
      </c>
      <c r="AO184" s="19">
        <v>0</v>
      </c>
      <c r="AP184" s="20">
        <v>0</v>
      </c>
      <c r="AQ184" s="19">
        <v>0</v>
      </c>
      <c r="AR184" s="28">
        <v>0</v>
      </c>
    </row>
    <row r="185" spans="1:44" ht="12.75" customHeight="1" x14ac:dyDescent="0.25">
      <c r="A185" s="27" t="s">
        <v>1384</v>
      </c>
      <c r="B185" s="14" t="s">
        <v>2393</v>
      </c>
      <c r="C185" s="26" t="s">
        <v>556</v>
      </c>
      <c r="D185" s="14" t="s">
        <v>1520</v>
      </c>
      <c r="E185" s="1" t="s">
        <v>1545</v>
      </c>
      <c r="F185" s="14"/>
      <c r="G185" s="296"/>
      <c r="H185" s="296"/>
      <c r="I185" s="296"/>
      <c r="J185" s="296"/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130.31</v>
      </c>
      <c r="Q185" s="19">
        <v>0</v>
      </c>
      <c r="R185" s="19">
        <v>3</v>
      </c>
      <c r="S185" s="19">
        <v>0</v>
      </c>
      <c r="T185" s="19">
        <v>1</v>
      </c>
      <c r="U185" s="19">
        <v>0</v>
      </c>
      <c r="V185" s="19">
        <v>3265</v>
      </c>
      <c r="W185" s="19">
        <v>0</v>
      </c>
      <c r="X185" s="19">
        <v>185.94</v>
      </c>
      <c r="Y185" s="19">
        <v>0</v>
      </c>
      <c r="Z185" s="19">
        <v>639.88300000000004</v>
      </c>
      <c r="AA185" s="19">
        <v>0</v>
      </c>
      <c r="AB185" s="19">
        <v>453943</v>
      </c>
      <c r="AC185" s="19">
        <v>0</v>
      </c>
      <c r="AD185" s="20">
        <v>453943</v>
      </c>
      <c r="AE185" s="19">
        <v>0</v>
      </c>
      <c r="AF185" s="20">
        <v>80</v>
      </c>
      <c r="AG185" s="19">
        <v>0</v>
      </c>
      <c r="AH185" s="20">
        <v>11</v>
      </c>
      <c r="AI185" s="19">
        <v>0</v>
      </c>
      <c r="AJ185" s="20">
        <v>15</v>
      </c>
      <c r="AK185" s="19">
        <v>0</v>
      </c>
      <c r="AL185" s="20">
        <v>591670.6</v>
      </c>
      <c r="AM185" s="19">
        <v>0</v>
      </c>
      <c r="AN185" s="20">
        <v>0</v>
      </c>
      <c r="AO185" s="19">
        <v>0</v>
      </c>
      <c r="AP185" s="20">
        <v>0</v>
      </c>
      <c r="AQ185" s="19">
        <v>0</v>
      </c>
      <c r="AR185" s="28">
        <v>0</v>
      </c>
    </row>
    <row r="186" spans="1:44" ht="12.75" customHeight="1" x14ac:dyDescent="0.25">
      <c r="A186" s="27" t="s">
        <v>1385</v>
      </c>
      <c r="B186" s="14" t="s">
        <v>2393</v>
      </c>
      <c r="C186" s="26" t="s">
        <v>1065</v>
      </c>
      <c r="D186" s="14" t="s">
        <v>1203</v>
      </c>
      <c r="E186" s="1" t="s">
        <v>1545</v>
      </c>
      <c r="F186" s="14"/>
      <c r="G186" s="296"/>
      <c r="H186" s="296">
        <v>517416.21</v>
      </c>
      <c r="I186" s="296"/>
      <c r="J186" s="296"/>
      <c r="K186" s="19">
        <v>0</v>
      </c>
      <c r="L186" s="19">
        <v>0</v>
      </c>
      <c r="M186" s="19">
        <v>0</v>
      </c>
      <c r="N186" s="19">
        <v>14.75</v>
      </c>
      <c r="O186" s="19">
        <v>0</v>
      </c>
      <c r="P186" s="19">
        <v>96.1</v>
      </c>
      <c r="Q186" s="19">
        <v>0</v>
      </c>
      <c r="R186" s="19">
        <v>5</v>
      </c>
      <c r="S186" s="19">
        <v>0</v>
      </c>
      <c r="T186" s="19">
        <v>1</v>
      </c>
      <c r="U186" s="19">
        <v>0</v>
      </c>
      <c r="V186" s="19">
        <v>2190.3200000000002</v>
      </c>
      <c r="W186" s="19">
        <v>0</v>
      </c>
      <c r="X186" s="19">
        <v>76.66</v>
      </c>
      <c r="Y186" s="19">
        <v>0</v>
      </c>
      <c r="Z186" s="19">
        <v>346.49</v>
      </c>
      <c r="AA186" s="19">
        <v>0</v>
      </c>
      <c r="AB186" s="19">
        <v>269830</v>
      </c>
      <c r="AC186" s="19">
        <v>0</v>
      </c>
      <c r="AD186" s="20">
        <v>346050</v>
      </c>
      <c r="AE186" s="19">
        <v>0</v>
      </c>
      <c r="AF186" s="20">
        <v>60.82</v>
      </c>
      <c r="AG186" s="19">
        <v>0</v>
      </c>
      <c r="AH186" s="20">
        <v>5.72</v>
      </c>
      <c r="AI186" s="19">
        <v>0</v>
      </c>
      <c r="AJ186" s="20">
        <v>18.41</v>
      </c>
      <c r="AK186" s="19">
        <v>0</v>
      </c>
      <c r="AL186" s="20">
        <v>149769</v>
      </c>
      <c r="AM186" s="19">
        <v>0</v>
      </c>
      <c r="AN186" s="20">
        <v>0</v>
      </c>
      <c r="AO186" s="19">
        <v>0</v>
      </c>
      <c r="AP186" s="20">
        <v>7.69</v>
      </c>
      <c r="AQ186" s="19">
        <v>0</v>
      </c>
      <c r="AR186" s="28">
        <v>7.69</v>
      </c>
    </row>
    <row r="187" spans="1:44" ht="12.75" customHeight="1" x14ac:dyDescent="0.25">
      <c r="A187" s="27" t="s">
        <v>1386</v>
      </c>
      <c r="B187" s="14" t="s">
        <v>2393</v>
      </c>
      <c r="C187" s="26" t="s">
        <v>987</v>
      </c>
      <c r="D187" s="14" t="s">
        <v>1144</v>
      </c>
      <c r="E187" s="1" t="s">
        <v>1545</v>
      </c>
      <c r="F187" s="14"/>
      <c r="G187" s="296"/>
      <c r="H187" s="296">
        <v>827651.27</v>
      </c>
      <c r="I187" s="296"/>
      <c r="J187" s="296"/>
      <c r="K187" s="19">
        <v>0</v>
      </c>
      <c r="L187" s="19">
        <v>0</v>
      </c>
      <c r="M187" s="19">
        <v>0</v>
      </c>
      <c r="N187" s="19">
        <v>1.9</v>
      </c>
      <c r="O187" s="19">
        <v>0</v>
      </c>
      <c r="P187" s="19">
        <v>34.588099999999997</v>
      </c>
      <c r="Q187" s="19">
        <v>0</v>
      </c>
      <c r="R187" s="19">
        <v>6</v>
      </c>
      <c r="S187" s="19">
        <v>0</v>
      </c>
      <c r="T187" s="19">
        <v>1</v>
      </c>
      <c r="U187" s="19">
        <v>0</v>
      </c>
      <c r="V187" s="19">
        <v>2093.5700000000002</v>
      </c>
      <c r="W187" s="19">
        <v>0</v>
      </c>
      <c r="X187" s="19">
        <v>88.11</v>
      </c>
      <c r="Y187" s="19">
        <v>0</v>
      </c>
      <c r="Z187" s="19">
        <v>296.08</v>
      </c>
      <c r="AA187" s="19">
        <v>0</v>
      </c>
      <c r="AB187" s="19">
        <v>207973</v>
      </c>
      <c r="AC187" s="19">
        <v>0</v>
      </c>
      <c r="AD187" s="20">
        <v>290154</v>
      </c>
      <c r="AE187" s="19">
        <v>0</v>
      </c>
      <c r="AF187" s="20">
        <v>67.5</v>
      </c>
      <c r="AG187" s="19">
        <v>0</v>
      </c>
      <c r="AH187" s="20">
        <v>0</v>
      </c>
      <c r="AI187" s="19">
        <v>0</v>
      </c>
      <c r="AJ187" s="20">
        <v>4.5</v>
      </c>
      <c r="AK187" s="19">
        <v>0</v>
      </c>
      <c r="AL187" s="20">
        <v>246624</v>
      </c>
      <c r="AM187" s="19">
        <v>0</v>
      </c>
      <c r="AN187" s="20">
        <v>0</v>
      </c>
      <c r="AO187" s="19">
        <v>0</v>
      </c>
      <c r="AP187" s="20">
        <v>0</v>
      </c>
      <c r="AQ187" s="19">
        <v>0</v>
      </c>
      <c r="AR187" s="28">
        <v>0</v>
      </c>
    </row>
    <row r="188" spans="1:44" ht="12.75" customHeight="1" x14ac:dyDescent="0.25">
      <c r="A188" s="27" t="s">
        <v>1387</v>
      </c>
      <c r="B188" s="14" t="s">
        <v>2393</v>
      </c>
      <c r="C188" s="26" t="s">
        <v>1034</v>
      </c>
      <c r="D188" s="14" t="s">
        <v>1151</v>
      </c>
      <c r="E188" s="1" t="s">
        <v>1545</v>
      </c>
      <c r="F188" s="14"/>
      <c r="G188" s="296"/>
      <c r="H188" s="296">
        <v>361381.4</v>
      </c>
      <c r="I188" s="296"/>
      <c r="J188" s="296"/>
      <c r="K188" s="19">
        <v>0</v>
      </c>
      <c r="L188" s="19">
        <v>0</v>
      </c>
      <c r="M188" s="19">
        <v>0</v>
      </c>
      <c r="N188" s="19">
        <v>39.164999999999999</v>
      </c>
      <c r="O188" s="19">
        <v>0</v>
      </c>
      <c r="P188" s="19">
        <v>0.52969999999999995</v>
      </c>
      <c r="Q188" s="19">
        <v>0</v>
      </c>
      <c r="R188" s="19">
        <v>5</v>
      </c>
      <c r="S188" s="19">
        <v>0</v>
      </c>
      <c r="T188" s="19">
        <v>1</v>
      </c>
      <c r="U188" s="19">
        <v>0</v>
      </c>
      <c r="V188" s="19">
        <v>878.9</v>
      </c>
      <c r="W188" s="19">
        <v>0</v>
      </c>
      <c r="X188" s="19">
        <v>65.917000000000002</v>
      </c>
      <c r="Y188" s="19">
        <v>0</v>
      </c>
      <c r="Z188" s="19">
        <v>310.25099999999998</v>
      </c>
      <c r="AA188" s="19">
        <v>0</v>
      </c>
      <c r="AB188" s="19">
        <v>244334</v>
      </c>
      <c r="AC188" s="19">
        <v>0</v>
      </c>
      <c r="AD188" s="20">
        <v>240554</v>
      </c>
      <c r="AE188" s="19">
        <v>0</v>
      </c>
      <c r="AF188" s="20">
        <v>0.45910000000000001</v>
      </c>
      <c r="AG188" s="19">
        <v>0</v>
      </c>
      <c r="AH188" s="20">
        <v>4.0000000000000002E-4</v>
      </c>
      <c r="AI188" s="19">
        <v>0</v>
      </c>
      <c r="AJ188" s="20">
        <v>0.15759999999999999</v>
      </c>
      <c r="AK188" s="19">
        <v>0</v>
      </c>
      <c r="AL188" s="20">
        <v>174366</v>
      </c>
      <c r="AM188" s="19">
        <v>0</v>
      </c>
      <c r="AN188" s="20">
        <v>0</v>
      </c>
      <c r="AO188" s="19">
        <v>0</v>
      </c>
      <c r="AP188" s="20">
        <v>0</v>
      </c>
      <c r="AQ188" s="19">
        <v>0</v>
      </c>
      <c r="AR188" s="28">
        <v>2.5000000000000001E-2</v>
      </c>
    </row>
    <row r="189" spans="1:44" ht="12.75" customHeight="1" x14ac:dyDescent="0.25">
      <c r="A189" s="27" t="s">
        <v>1388</v>
      </c>
      <c r="B189" s="14" t="s">
        <v>2393</v>
      </c>
      <c r="C189" s="26" t="s">
        <v>1024</v>
      </c>
      <c r="D189" s="14" t="s">
        <v>1132</v>
      </c>
      <c r="E189" s="1" t="s">
        <v>1545</v>
      </c>
      <c r="F189" s="14"/>
      <c r="G189" s="296"/>
      <c r="H189" s="296">
        <v>258114.91</v>
      </c>
      <c r="I189" s="296"/>
      <c r="J189" s="296"/>
      <c r="K189" s="19">
        <v>0</v>
      </c>
      <c r="L189" s="19">
        <v>0</v>
      </c>
      <c r="M189" s="19">
        <v>0</v>
      </c>
      <c r="N189" s="19">
        <v>5.5437000000000003</v>
      </c>
      <c r="O189" s="19">
        <v>0</v>
      </c>
      <c r="P189" s="19">
        <v>2.9600000000000001E-2</v>
      </c>
      <c r="Q189" s="19">
        <v>0</v>
      </c>
      <c r="R189" s="19">
        <v>3</v>
      </c>
      <c r="S189" s="19">
        <v>0</v>
      </c>
      <c r="T189" s="19">
        <v>1</v>
      </c>
      <c r="U189" s="19">
        <v>0</v>
      </c>
      <c r="V189" s="19">
        <v>414.33</v>
      </c>
      <c r="W189" s="19">
        <v>0</v>
      </c>
      <c r="X189" s="19">
        <v>7.4359999999999999</v>
      </c>
      <c r="Y189" s="19">
        <v>0</v>
      </c>
      <c r="Z189" s="19">
        <v>56.764000000000003</v>
      </c>
      <c r="AA189" s="19">
        <v>0</v>
      </c>
      <c r="AB189" s="19">
        <v>49327.915999999997</v>
      </c>
      <c r="AC189" s="19">
        <v>0</v>
      </c>
      <c r="AD189" s="20">
        <v>100682.19</v>
      </c>
      <c r="AE189" s="19">
        <v>0</v>
      </c>
      <c r="AF189" s="20">
        <v>2.9600000000000001E-2</v>
      </c>
      <c r="AG189" s="19">
        <v>0</v>
      </c>
      <c r="AH189" s="20">
        <v>8.9999999999999998E-4</v>
      </c>
      <c r="AI189" s="19">
        <v>0</v>
      </c>
      <c r="AJ189" s="20">
        <v>4.5999999999999999E-3</v>
      </c>
      <c r="AK189" s="19">
        <v>0</v>
      </c>
      <c r="AL189" s="20">
        <v>156202.41</v>
      </c>
      <c r="AM189" s="19">
        <v>0</v>
      </c>
      <c r="AN189" s="20">
        <v>0</v>
      </c>
      <c r="AO189" s="19">
        <v>0</v>
      </c>
      <c r="AP189" s="20">
        <v>3.2000000000000002E-3</v>
      </c>
      <c r="AQ189" s="19">
        <v>0</v>
      </c>
      <c r="AR189" s="28">
        <v>3.2000000000000002E-3</v>
      </c>
    </row>
    <row r="190" spans="1:44" ht="12.75" customHeight="1" x14ac:dyDescent="0.25">
      <c r="A190" s="27" t="s">
        <v>1389</v>
      </c>
      <c r="B190" s="14" t="s">
        <v>2393</v>
      </c>
      <c r="C190" s="26" t="s">
        <v>1456</v>
      </c>
      <c r="D190" s="14" t="s">
        <v>1521</v>
      </c>
      <c r="E190" s="1" t="s">
        <v>1545</v>
      </c>
      <c r="F190" s="14"/>
      <c r="G190" s="296"/>
      <c r="H190" s="296"/>
      <c r="I190" s="296"/>
      <c r="J190" s="296"/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152</v>
      </c>
      <c r="Q190" s="19">
        <v>0</v>
      </c>
      <c r="R190" s="19">
        <v>6</v>
      </c>
      <c r="S190" s="19">
        <v>0</v>
      </c>
      <c r="T190" s="19">
        <v>1</v>
      </c>
      <c r="U190" s="19">
        <v>0</v>
      </c>
      <c r="V190" s="19">
        <v>8722</v>
      </c>
      <c r="W190" s="19">
        <v>0</v>
      </c>
      <c r="X190" s="19">
        <v>345.75299999999999</v>
      </c>
      <c r="Y190" s="19">
        <v>0</v>
      </c>
      <c r="Z190" s="19">
        <v>820.75199999999995</v>
      </c>
      <c r="AA190" s="19">
        <v>0</v>
      </c>
      <c r="AB190" s="19">
        <v>474999</v>
      </c>
      <c r="AC190" s="19">
        <v>0</v>
      </c>
      <c r="AD190" s="20">
        <v>393207.0306</v>
      </c>
      <c r="AE190" s="19">
        <v>0</v>
      </c>
      <c r="AF190" s="20">
        <v>114</v>
      </c>
      <c r="AG190" s="19">
        <v>0</v>
      </c>
      <c r="AH190" s="20">
        <v>3</v>
      </c>
      <c r="AI190" s="19">
        <v>0</v>
      </c>
      <c r="AJ190" s="20">
        <v>16</v>
      </c>
      <c r="AK190" s="19">
        <v>0</v>
      </c>
      <c r="AL190" s="20">
        <v>601294.68000000005</v>
      </c>
      <c r="AM190" s="19">
        <v>0</v>
      </c>
      <c r="AN190" s="20">
        <v>0</v>
      </c>
      <c r="AO190" s="19">
        <v>0</v>
      </c>
      <c r="AP190" s="20">
        <v>0</v>
      </c>
      <c r="AQ190" s="19">
        <v>0</v>
      </c>
      <c r="AR190" s="28">
        <v>0</v>
      </c>
    </row>
    <row r="191" spans="1:44" ht="12.75" customHeight="1" x14ac:dyDescent="0.25">
      <c r="A191" s="27" t="s">
        <v>1390</v>
      </c>
      <c r="B191" s="14" t="s">
        <v>2393</v>
      </c>
      <c r="C191" s="26" t="s">
        <v>1457</v>
      </c>
      <c r="D191" s="14" t="s">
        <v>1522</v>
      </c>
      <c r="E191" s="1" t="s">
        <v>1545</v>
      </c>
      <c r="F191" s="14"/>
      <c r="G191" s="296"/>
      <c r="H191" s="296"/>
      <c r="I191" s="296"/>
      <c r="J191" s="296"/>
      <c r="K191" s="19">
        <v>0</v>
      </c>
      <c r="L191" s="19">
        <v>8.8000000000000005E-3</v>
      </c>
      <c r="M191" s="19">
        <v>0</v>
      </c>
      <c r="N191" s="19">
        <v>0</v>
      </c>
      <c r="O191" s="19">
        <v>0</v>
      </c>
      <c r="P191" s="19">
        <v>128.51</v>
      </c>
      <c r="Q191" s="19">
        <v>0</v>
      </c>
      <c r="R191" s="19">
        <v>4</v>
      </c>
      <c r="S191" s="19">
        <v>0</v>
      </c>
      <c r="T191" s="19">
        <v>1</v>
      </c>
      <c r="U191" s="19">
        <v>0</v>
      </c>
      <c r="V191" s="19">
        <v>2444.86</v>
      </c>
      <c r="W191" s="19">
        <v>0</v>
      </c>
      <c r="X191" s="19">
        <v>76.314999999999998</v>
      </c>
      <c r="Y191" s="19">
        <v>0</v>
      </c>
      <c r="Z191" s="19">
        <v>566.91700000000003</v>
      </c>
      <c r="AA191" s="19">
        <v>0</v>
      </c>
      <c r="AB191" s="19">
        <v>490.60199999999998</v>
      </c>
      <c r="AC191" s="19">
        <v>0</v>
      </c>
      <c r="AD191" s="20">
        <v>490.60199999999998</v>
      </c>
      <c r="AE191" s="19">
        <v>0</v>
      </c>
      <c r="AF191" s="20">
        <v>142.06</v>
      </c>
      <c r="AG191" s="19">
        <v>0</v>
      </c>
      <c r="AH191" s="20">
        <v>13.69</v>
      </c>
      <c r="AI191" s="19">
        <v>0</v>
      </c>
      <c r="AJ191" s="20">
        <v>67.239999999999995</v>
      </c>
      <c r="AK191" s="19">
        <v>0</v>
      </c>
      <c r="AL191" s="20">
        <v>693562.44</v>
      </c>
      <c r="AM191" s="19">
        <v>0</v>
      </c>
      <c r="AN191" s="20">
        <v>8.3000000000000001E-3</v>
      </c>
      <c r="AO191" s="19">
        <v>0</v>
      </c>
      <c r="AP191" s="20">
        <v>8.3000000000000001E-3</v>
      </c>
      <c r="AQ191" s="19">
        <v>0</v>
      </c>
      <c r="AR191" s="28">
        <v>0</v>
      </c>
    </row>
    <row r="192" spans="1:44" ht="12.75" customHeight="1" x14ac:dyDescent="0.25">
      <c r="A192" s="27" t="s">
        <v>1391</v>
      </c>
      <c r="B192" s="14" t="s">
        <v>2393</v>
      </c>
      <c r="C192" s="26" t="s">
        <v>979</v>
      </c>
      <c r="D192" s="14" t="s">
        <v>1523</v>
      </c>
      <c r="E192" s="1" t="s">
        <v>1545</v>
      </c>
      <c r="F192" s="14"/>
      <c r="G192" s="296"/>
      <c r="H192" s="296">
        <v>1251682.8799999999</v>
      </c>
      <c r="I192" s="296"/>
      <c r="J192" s="296"/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34.017000000000003</v>
      </c>
      <c r="Q192" s="19">
        <v>0</v>
      </c>
      <c r="R192" s="19">
        <v>7</v>
      </c>
      <c r="S192" s="19">
        <v>0</v>
      </c>
      <c r="T192" s="19">
        <v>1</v>
      </c>
      <c r="U192" s="19">
        <v>0</v>
      </c>
      <c r="V192" s="19">
        <v>5659.57</v>
      </c>
      <c r="W192" s="19">
        <v>0</v>
      </c>
      <c r="X192" s="19">
        <v>254.28</v>
      </c>
      <c r="Y192" s="19">
        <v>0</v>
      </c>
      <c r="Z192" s="19">
        <v>950.37</v>
      </c>
      <c r="AA192" s="19">
        <v>0</v>
      </c>
      <c r="AB192" s="19">
        <v>685600.3</v>
      </c>
      <c r="AC192" s="19">
        <v>0</v>
      </c>
      <c r="AD192" s="20">
        <v>121</v>
      </c>
      <c r="AE192" s="19">
        <v>0</v>
      </c>
      <c r="AF192" s="20">
        <v>25.156700000000001</v>
      </c>
      <c r="AG192" s="19">
        <v>0</v>
      </c>
      <c r="AH192" s="20">
        <v>1.2901</v>
      </c>
      <c r="AI192" s="19">
        <v>0</v>
      </c>
      <c r="AJ192" s="20">
        <v>0.15479999999999999</v>
      </c>
      <c r="AK192" s="19">
        <v>0</v>
      </c>
      <c r="AL192" s="20">
        <v>121.13509999999999</v>
      </c>
      <c r="AM192" s="19">
        <v>0</v>
      </c>
      <c r="AN192" s="20">
        <v>0</v>
      </c>
      <c r="AO192" s="19">
        <v>0</v>
      </c>
      <c r="AP192" s="20">
        <v>0</v>
      </c>
      <c r="AQ192" s="19">
        <v>0</v>
      </c>
      <c r="AR192" s="28">
        <v>0</v>
      </c>
    </row>
    <row r="193" spans="1:44" ht="12.75" customHeight="1" x14ac:dyDescent="0.25">
      <c r="A193" s="27" t="s">
        <v>1392</v>
      </c>
      <c r="B193" s="14" t="s">
        <v>2393</v>
      </c>
      <c r="C193" s="26" t="s">
        <v>979</v>
      </c>
      <c r="D193" s="14" t="s">
        <v>1068</v>
      </c>
      <c r="E193" s="1" t="s">
        <v>1545</v>
      </c>
      <c r="F193" s="14"/>
      <c r="G193" s="296"/>
      <c r="H193" s="296">
        <v>619485.30000000005</v>
      </c>
      <c r="I193" s="296"/>
      <c r="J193" s="296"/>
      <c r="K193" s="19">
        <v>0</v>
      </c>
      <c r="L193" s="19">
        <v>1.5287999999999999</v>
      </c>
      <c r="M193" s="19">
        <v>0</v>
      </c>
      <c r="N193" s="19">
        <v>0</v>
      </c>
      <c r="O193" s="19">
        <v>0</v>
      </c>
      <c r="P193" s="19">
        <v>78.03</v>
      </c>
      <c r="Q193" s="19">
        <v>0</v>
      </c>
      <c r="R193" s="19">
        <v>5</v>
      </c>
      <c r="S193" s="19">
        <v>0</v>
      </c>
      <c r="T193" s="19">
        <v>1</v>
      </c>
      <c r="U193" s="19">
        <v>0</v>
      </c>
      <c r="V193" s="19">
        <v>2072.4</v>
      </c>
      <c r="W193" s="19">
        <v>0</v>
      </c>
      <c r="X193" s="19">
        <v>139.28</v>
      </c>
      <c r="Y193" s="19">
        <v>0</v>
      </c>
      <c r="Z193" s="19">
        <v>313.93</v>
      </c>
      <c r="AA193" s="19">
        <v>0</v>
      </c>
      <c r="AB193" s="19">
        <v>174647</v>
      </c>
      <c r="AC193" s="19">
        <v>0</v>
      </c>
      <c r="AD193" s="20">
        <v>255954.05</v>
      </c>
      <c r="AE193" s="19">
        <v>0</v>
      </c>
      <c r="AF193" s="20">
        <v>9.8040000000000003</v>
      </c>
      <c r="AG193" s="19">
        <v>0</v>
      </c>
      <c r="AH193" s="20">
        <v>0.89300000000000002</v>
      </c>
      <c r="AI193" s="19">
        <v>0</v>
      </c>
      <c r="AJ193" s="20">
        <v>8.5990000000000002</v>
      </c>
      <c r="AK193" s="19">
        <v>0</v>
      </c>
      <c r="AL193" s="20">
        <v>158.71</v>
      </c>
      <c r="AM193" s="19">
        <v>0</v>
      </c>
      <c r="AN193" s="20">
        <v>1.1999999999999999E-3</v>
      </c>
      <c r="AO193" s="19">
        <v>0</v>
      </c>
      <c r="AP193" s="20">
        <v>1.1999999999999999E-3</v>
      </c>
      <c r="AQ193" s="19">
        <v>0</v>
      </c>
      <c r="AR193" s="28">
        <v>0</v>
      </c>
    </row>
    <row r="194" spans="1:44" ht="12.75" customHeight="1" x14ac:dyDescent="0.25">
      <c r="A194" s="27" t="s">
        <v>1393</v>
      </c>
      <c r="B194" s="14" t="s">
        <v>2393</v>
      </c>
      <c r="C194" s="26" t="s">
        <v>979</v>
      </c>
      <c r="D194" s="14" t="s">
        <v>1166</v>
      </c>
      <c r="E194" s="1" t="s">
        <v>1545</v>
      </c>
      <c r="F194" s="14"/>
      <c r="G194" s="296"/>
      <c r="H194" s="296">
        <v>1361420.1</v>
      </c>
      <c r="I194" s="296"/>
      <c r="J194" s="296"/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105.26</v>
      </c>
      <c r="Q194" s="19">
        <v>0</v>
      </c>
      <c r="R194" s="19">
        <v>5</v>
      </c>
      <c r="S194" s="19">
        <v>0</v>
      </c>
      <c r="T194" s="19">
        <v>1</v>
      </c>
      <c r="U194" s="19">
        <v>0</v>
      </c>
      <c r="V194" s="19">
        <v>9365</v>
      </c>
      <c r="W194" s="19">
        <v>0</v>
      </c>
      <c r="X194" s="19">
        <v>599.36</v>
      </c>
      <c r="Y194" s="19">
        <v>0</v>
      </c>
      <c r="Z194" s="19">
        <v>1198.8599999999999</v>
      </c>
      <c r="AA194" s="19">
        <v>0</v>
      </c>
      <c r="AB194" s="19">
        <v>955230</v>
      </c>
      <c r="AC194" s="19">
        <v>0</v>
      </c>
      <c r="AD194" s="20">
        <v>102</v>
      </c>
      <c r="AE194" s="19">
        <v>0</v>
      </c>
      <c r="AF194" s="20">
        <v>76</v>
      </c>
      <c r="AG194" s="19">
        <v>0</v>
      </c>
      <c r="AH194" s="20">
        <v>3.9</v>
      </c>
      <c r="AI194" s="19">
        <v>0</v>
      </c>
      <c r="AJ194" s="20">
        <v>0.5</v>
      </c>
      <c r="AK194" s="19">
        <v>0</v>
      </c>
      <c r="AL194" s="20">
        <v>102</v>
      </c>
      <c r="AM194" s="19">
        <v>0</v>
      </c>
      <c r="AN194" s="20">
        <v>0</v>
      </c>
      <c r="AO194" s="19">
        <v>0</v>
      </c>
      <c r="AP194" s="20">
        <v>0</v>
      </c>
      <c r="AQ194" s="19">
        <v>0</v>
      </c>
      <c r="AR194" s="28">
        <v>0</v>
      </c>
    </row>
    <row r="195" spans="1:44" ht="12.75" customHeight="1" x14ac:dyDescent="0.25">
      <c r="A195" s="27" t="s">
        <v>1394</v>
      </c>
      <c r="B195" s="14" t="s">
        <v>2393</v>
      </c>
      <c r="C195" s="26" t="s">
        <v>1458</v>
      </c>
      <c r="D195" s="14" t="s">
        <v>1524</v>
      </c>
      <c r="E195" s="1" t="s">
        <v>1545</v>
      </c>
      <c r="F195" s="14"/>
      <c r="G195" s="296"/>
      <c r="H195" s="296"/>
      <c r="I195" s="296"/>
      <c r="J195" s="296"/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38.771999999999998</v>
      </c>
      <c r="Q195" s="19">
        <v>0</v>
      </c>
      <c r="R195" s="19">
        <v>7</v>
      </c>
      <c r="S195" s="19">
        <v>0</v>
      </c>
      <c r="T195" s="19">
        <v>3</v>
      </c>
      <c r="U195" s="19">
        <v>0</v>
      </c>
      <c r="V195" s="19">
        <v>1238.48</v>
      </c>
      <c r="W195" s="19">
        <v>0</v>
      </c>
      <c r="X195" s="19">
        <v>60.05</v>
      </c>
      <c r="Y195" s="19">
        <v>0</v>
      </c>
      <c r="Z195" s="19">
        <v>199.41</v>
      </c>
      <c r="AA195" s="19">
        <v>0</v>
      </c>
      <c r="AB195" s="19">
        <v>139.36000000000001</v>
      </c>
      <c r="AC195" s="19">
        <v>0</v>
      </c>
      <c r="AD195" s="20">
        <v>238744</v>
      </c>
      <c r="AE195" s="19">
        <v>0</v>
      </c>
      <c r="AF195" s="20">
        <v>40.58</v>
      </c>
      <c r="AG195" s="19">
        <v>0</v>
      </c>
      <c r="AH195" s="20">
        <v>3.42</v>
      </c>
      <c r="AI195" s="19">
        <v>0</v>
      </c>
      <c r="AJ195" s="20">
        <v>14.66</v>
      </c>
      <c r="AK195" s="19">
        <v>0</v>
      </c>
      <c r="AL195" s="20">
        <v>341518</v>
      </c>
      <c r="AM195" s="19">
        <v>0</v>
      </c>
      <c r="AN195" s="20">
        <v>0</v>
      </c>
      <c r="AO195" s="19">
        <v>0</v>
      </c>
      <c r="AP195" s="20">
        <v>0</v>
      </c>
      <c r="AQ195" s="19">
        <v>0</v>
      </c>
      <c r="AR195" s="28">
        <v>0</v>
      </c>
    </row>
    <row r="196" spans="1:44" ht="12.75" customHeight="1" x14ac:dyDescent="0.25">
      <c r="A196" s="27" t="s">
        <v>1395</v>
      </c>
      <c r="B196" s="14" t="s">
        <v>2393</v>
      </c>
      <c r="C196" s="26" t="s">
        <v>998</v>
      </c>
      <c r="D196" s="14" t="s">
        <v>1097</v>
      </c>
      <c r="E196" s="1" t="s">
        <v>1545</v>
      </c>
      <c r="F196" s="14"/>
      <c r="G196" s="296"/>
      <c r="H196" s="296">
        <v>115539.39</v>
      </c>
      <c r="I196" s="296"/>
      <c r="J196" s="296"/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8.6999999999999993</v>
      </c>
      <c r="Q196" s="19">
        <v>0</v>
      </c>
      <c r="R196" s="19">
        <v>4</v>
      </c>
      <c r="S196" s="19">
        <v>0</v>
      </c>
      <c r="T196" s="19">
        <v>1</v>
      </c>
      <c r="U196" s="19">
        <v>0</v>
      </c>
      <c r="V196" s="19">
        <v>361.78</v>
      </c>
      <c r="W196" s="19">
        <v>0</v>
      </c>
      <c r="X196" s="19">
        <v>25.1</v>
      </c>
      <c r="Y196" s="19">
        <v>0</v>
      </c>
      <c r="Z196" s="19">
        <v>62.7</v>
      </c>
      <c r="AA196" s="19">
        <v>0</v>
      </c>
      <c r="AB196" s="19">
        <v>37600</v>
      </c>
      <c r="AC196" s="19">
        <v>0</v>
      </c>
      <c r="AD196" s="20">
        <v>37600</v>
      </c>
      <c r="AE196" s="19">
        <v>0</v>
      </c>
      <c r="AF196" s="20">
        <v>16.100000000000001</v>
      </c>
      <c r="AG196" s="19">
        <v>0</v>
      </c>
      <c r="AH196" s="20">
        <v>0.3</v>
      </c>
      <c r="AI196" s="19">
        <v>0</v>
      </c>
      <c r="AJ196" s="20">
        <v>1.7</v>
      </c>
      <c r="AK196" s="19">
        <v>0</v>
      </c>
      <c r="AL196" s="20">
        <v>54299.675000000003</v>
      </c>
      <c r="AM196" s="19">
        <v>0</v>
      </c>
      <c r="AN196" s="20">
        <v>0</v>
      </c>
      <c r="AO196" s="19">
        <v>0</v>
      </c>
      <c r="AP196" s="20">
        <v>0</v>
      </c>
      <c r="AQ196" s="19">
        <v>0</v>
      </c>
      <c r="AR196" s="28">
        <v>0</v>
      </c>
    </row>
    <row r="197" spans="1:44" ht="12.75" customHeight="1" x14ac:dyDescent="0.25">
      <c r="A197" s="27" t="s">
        <v>1396</v>
      </c>
      <c r="B197" s="14" t="s">
        <v>2393</v>
      </c>
      <c r="C197" s="26" t="s">
        <v>979</v>
      </c>
      <c r="D197" s="14" t="s">
        <v>1525</v>
      </c>
      <c r="E197" s="1" t="s">
        <v>1545</v>
      </c>
      <c r="F197" s="14"/>
      <c r="G197" s="296"/>
      <c r="H197" s="296"/>
      <c r="I197" s="296"/>
      <c r="J197" s="296"/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34.811300000000003</v>
      </c>
      <c r="Q197" s="19">
        <v>0</v>
      </c>
      <c r="R197" s="19">
        <v>7</v>
      </c>
      <c r="S197" s="19">
        <v>0</v>
      </c>
      <c r="T197" s="19">
        <v>1</v>
      </c>
      <c r="U197" s="19">
        <v>0</v>
      </c>
      <c r="V197" s="19">
        <v>1979.25</v>
      </c>
      <c r="W197" s="19">
        <v>0</v>
      </c>
      <c r="X197" s="19">
        <v>100.11</v>
      </c>
      <c r="Y197" s="19">
        <v>0</v>
      </c>
      <c r="Z197" s="19">
        <v>398.36</v>
      </c>
      <c r="AA197" s="19">
        <v>0</v>
      </c>
      <c r="AB197" s="19">
        <v>222073.16</v>
      </c>
      <c r="AC197" s="19">
        <v>0</v>
      </c>
      <c r="AD197" s="20">
        <v>1.0489999999999999</v>
      </c>
      <c r="AE197" s="19">
        <v>0</v>
      </c>
      <c r="AF197" s="20">
        <v>25.744599999999998</v>
      </c>
      <c r="AG197" s="19">
        <v>0</v>
      </c>
      <c r="AH197" s="20">
        <v>1.3199000000000001</v>
      </c>
      <c r="AI197" s="19">
        <v>0</v>
      </c>
      <c r="AJ197" s="20">
        <v>0.15840000000000001</v>
      </c>
      <c r="AK197" s="19">
        <v>0</v>
      </c>
      <c r="AL197" s="20">
        <v>160.13999999999999</v>
      </c>
      <c r="AM197" s="19">
        <v>0</v>
      </c>
      <c r="AN197" s="20">
        <v>0</v>
      </c>
      <c r="AO197" s="19">
        <v>0</v>
      </c>
      <c r="AP197" s="20">
        <v>0</v>
      </c>
      <c r="AQ197" s="19">
        <v>0</v>
      </c>
      <c r="AR197" s="28">
        <v>0</v>
      </c>
    </row>
    <row r="198" spans="1:44" ht="12.75" customHeight="1" x14ac:dyDescent="0.25">
      <c r="A198" s="27" t="s">
        <v>1397</v>
      </c>
      <c r="B198" s="14" t="s">
        <v>2393</v>
      </c>
      <c r="C198" s="26" t="s">
        <v>979</v>
      </c>
      <c r="D198" s="14" t="s">
        <v>1526</v>
      </c>
      <c r="E198" s="1" t="s">
        <v>1545</v>
      </c>
      <c r="F198" s="14"/>
      <c r="G198" s="296"/>
      <c r="H198" s="296">
        <v>647011.79</v>
      </c>
      <c r="I198" s="296"/>
      <c r="J198" s="296"/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47.817100000000003</v>
      </c>
      <c r="Q198" s="19">
        <v>0</v>
      </c>
      <c r="R198" s="19">
        <v>7</v>
      </c>
      <c r="S198" s="19">
        <v>0</v>
      </c>
      <c r="T198" s="19">
        <v>1</v>
      </c>
      <c r="U198" s="19">
        <v>0</v>
      </c>
      <c r="V198" s="19">
        <v>2800.4</v>
      </c>
      <c r="W198" s="19">
        <v>0</v>
      </c>
      <c r="X198" s="19">
        <v>134.76</v>
      </c>
      <c r="Y198" s="19">
        <v>0</v>
      </c>
      <c r="Z198" s="19">
        <v>385.21</v>
      </c>
      <c r="AA198" s="19">
        <v>0</v>
      </c>
      <c r="AB198" s="19">
        <v>285700.51</v>
      </c>
      <c r="AC198" s="19">
        <v>0</v>
      </c>
      <c r="AD198" s="20">
        <v>145</v>
      </c>
      <c r="AE198" s="19">
        <v>0</v>
      </c>
      <c r="AF198" s="20">
        <v>35.363100000000003</v>
      </c>
      <c r="AG198" s="19">
        <v>0</v>
      </c>
      <c r="AH198" s="20">
        <v>1.8139000000000001</v>
      </c>
      <c r="AI198" s="19">
        <v>0</v>
      </c>
      <c r="AJ198" s="20">
        <v>0.2172</v>
      </c>
      <c r="AK198" s="19">
        <v>0</v>
      </c>
      <c r="AL198" s="20">
        <v>145.02000000000001</v>
      </c>
      <c r="AM198" s="19">
        <v>0</v>
      </c>
      <c r="AN198" s="20">
        <v>0</v>
      </c>
      <c r="AO198" s="19">
        <v>0</v>
      </c>
      <c r="AP198" s="20">
        <v>0</v>
      </c>
      <c r="AQ198" s="19">
        <v>0</v>
      </c>
      <c r="AR198" s="28">
        <v>0</v>
      </c>
    </row>
    <row r="199" spans="1:44" ht="12.75" customHeight="1" x14ac:dyDescent="0.25">
      <c r="A199" s="27" t="s">
        <v>1398</v>
      </c>
      <c r="B199" s="14" t="s">
        <v>2393</v>
      </c>
      <c r="C199" s="26" t="s">
        <v>877</v>
      </c>
      <c r="D199" s="14" t="s">
        <v>1527</v>
      </c>
      <c r="E199" s="1" t="s">
        <v>1545</v>
      </c>
      <c r="F199" s="14"/>
      <c r="G199" s="296"/>
      <c r="H199" s="296"/>
      <c r="I199" s="296"/>
      <c r="J199" s="296"/>
      <c r="K199" s="19">
        <v>0</v>
      </c>
      <c r="L199" s="19">
        <v>0</v>
      </c>
      <c r="M199" s="19">
        <v>0</v>
      </c>
      <c r="N199" s="19">
        <v>27.92</v>
      </c>
      <c r="O199" s="19">
        <v>0</v>
      </c>
      <c r="P199" s="19">
        <v>328.76799999999997</v>
      </c>
      <c r="Q199" s="19">
        <v>0</v>
      </c>
      <c r="R199" s="19">
        <v>3</v>
      </c>
      <c r="S199" s="19">
        <v>0</v>
      </c>
      <c r="T199" s="19">
        <v>1</v>
      </c>
      <c r="U199" s="19">
        <v>0</v>
      </c>
      <c r="V199" s="19">
        <v>6488.5</v>
      </c>
      <c r="W199" s="19">
        <v>0</v>
      </c>
      <c r="X199" s="19">
        <v>158.12</v>
      </c>
      <c r="Y199" s="19">
        <v>0</v>
      </c>
      <c r="Z199" s="19">
        <v>986.92</v>
      </c>
      <c r="AA199" s="19">
        <v>0</v>
      </c>
      <c r="AB199" s="19">
        <v>828806.85</v>
      </c>
      <c r="AC199" s="19">
        <v>0</v>
      </c>
      <c r="AD199" s="20">
        <v>828806.9</v>
      </c>
      <c r="AE199" s="19">
        <v>0</v>
      </c>
      <c r="AF199" s="20">
        <v>931</v>
      </c>
      <c r="AG199" s="19">
        <v>0</v>
      </c>
      <c r="AH199" s="20">
        <v>67</v>
      </c>
      <c r="AI199" s="19">
        <v>0</v>
      </c>
      <c r="AJ199" s="20">
        <v>775</v>
      </c>
      <c r="AK199" s="19">
        <v>0</v>
      </c>
      <c r="AL199" s="20">
        <v>1492355</v>
      </c>
      <c r="AM199" s="19">
        <v>0</v>
      </c>
      <c r="AN199" s="20">
        <v>0</v>
      </c>
      <c r="AO199" s="19">
        <v>0</v>
      </c>
      <c r="AP199" s="20">
        <v>0.04</v>
      </c>
      <c r="AQ199" s="19">
        <v>0</v>
      </c>
      <c r="AR199" s="28">
        <v>0.04</v>
      </c>
    </row>
    <row r="200" spans="1:44" ht="12.75" customHeight="1" x14ac:dyDescent="0.25">
      <c r="A200" s="27" t="s">
        <v>1399</v>
      </c>
      <c r="B200" s="14" t="s">
        <v>2393</v>
      </c>
      <c r="C200" s="26" t="s">
        <v>877</v>
      </c>
      <c r="D200" s="14" t="s">
        <v>1528</v>
      </c>
      <c r="E200" s="1" t="s">
        <v>1545</v>
      </c>
      <c r="F200" s="14"/>
      <c r="G200" s="296"/>
      <c r="H200" s="296"/>
      <c r="I200" s="296"/>
      <c r="J200" s="296"/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302.786</v>
      </c>
      <c r="Q200" s="19">
        <v>0</v>
      </c>
      <c r="R200" s="19">
        <v>3</v>
      </c>
      <c r="S200" s="19">
        <v>0</v>
      </c>
      <c r="T200" s="19">
        <v>1</v>
      </c>
      <c r="U200" s="19">
        <v>0</v>
      </c>
      <c r="V200" s="19">
        <v>6483.6549999999997</v>
      </c>
      <c r="W200" s="19">
        <v>0</v>
      </c>
      <c r="X200" s="19">
        <v>155.02000000000001</v>
      </c>
      <c r="Y200" s="19">
        <v>0</v>
      </c>
      <c r="Z200" s="19">
        <v>920.39</v>
      </c>
      <c r="AA200" s="19">
        <v>0</v>
      </c>
      <c r="AB200" s="19">
        <v>765371.13</v>
      </c>
      <c r="AC200" s="19">
        <v>0</v>
      </c>
      <c r="AD200" s="20">
        <v>765371.13</v>
      </c>
      <c r="AE200" s="19">
        <v>0</v>
      </c>
      <c r="AF200" s="20">
        <v>858</v>
      </c>
      <c r="AG200" s="19">
        <v>0</v>
      </c>
      <c r="AH200" s="20">
        <v>62</v>
      </c>
      <c r="AI200" s="19">
        <v>0</v>
      </c>
      <c r="AJ200" s="20">
        <v>716</v>
      </c>
      <c r="AK200" s="19">
        <v>0</v>
      </c>
      <c r="AL200" s="20">
        <v>1384812</v>
      </c>
      <c r="AM200" s="19">
        <v>0</v>
      </c>
      <c r="AN200" s="20">
        <v>0</v>
      </c>
      <c r="AO200" s="19">
        <v>0</v>
      </c>
      <c r="AP200" s="20">
        <v>0</v>
      </c>
      <c r="AQ200" s="19">
        <v>0</v>
      </c>
      <c r="AR200" s="28">
        <v>0</v>
      </c>
    </row>
    <row r="201" spans="1:44" ht="12.75" customHeight="1" x14ac:dyDescent="0.25">
      <c r="A201" s="27" t="s">
        <v>1400</v>
      </c>
      <c r="B201" s="14" t="s">
        <v>2393</v>
      </c>
      <c r="C201" s="26" t="s">
        <v>979</v>
      </c>
      <c r="D201" s="14" t="s">
        <v>1199</v>
      </c>
      <c r="E201" s="1" t="s">
        <v>1545</v>
      </c>
      <c r="F201" s="14"/>
      <c r="G201" s="296"/>
      <c r="H201" s="296">
        <v>798341.62</v>
      </c>
      <c r="I201" s="296"/>
      <c r="J201" s="296"/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64.295100000000005</v>
      </c>
      <c r="Q201" s="19">
        <v>0</v>
      </c>
      <c r="R201" s="19">
        <v>5</v>
      </c>
      <c r="S201" s="19">
        <v>0</v>
      </c>
      <c r="T201" s="19">
        <v>1</v>
      </c>
      <c r="U201" s="19">
        <v>0</v>
      </c>
      <c r="V201" s="19">
        <v>4306</v>
      </c>
      <c r="W201" s="19">
        <v>0</v>
      </c>
      <c r="X201" s="19">
        <v>258.36</v>
      </c>
      <c r="Y201" s="19">
        <v>0</v>
      </c>
      <c r="Z201" s="19">
        <v>632.46</v>
      </c>
      <c r="AA201" s="19">
        <v>0</v>
      </c>
      <c r="AB201" s="19">
        <v>374098</v>
      </c>
      <c r="AC201" s="19">
        <v>0</v>
      </c>
      <c r="AD201" s="20">
        <v>340174</v>
      </c>
      <c r="AE201" s="19">
        <v>0</v>
      </c>
      <c r="AF201" s="20">
        <v>44.035600000000002</v>
      </c>
      <c r="AG201" s="19">
        <v>0</v>
      </c>
      <c r="AH201" s="20">
        <v>2.2582</v>
      </c>
      <c r="AI201" s="19">
        <v>0</v>
      </c>
      <c r="AJ201" s="20">
        <v>0.27089999999999997</v>
      </c>
      <c r="AK201" s="19">
        <v>0</v>
      </c>
      <c r="AL201" s="20">
        <v>119</v>
      </c>
      <c r="AM201" s="19">
        <v>0</v>
      </c>
      <c r="AN201" s="20">
        <v>0</v>
      </c>
      <c r="AO201" s="19">
        <v>0</v>
      </c>
      <c r="AP201" s="20">
        <v>0</v>
      </c>
      <c r="AQ201" s="19">
        <v>0</v>
      </c>
      <c r="AR201" s="28">
        <v>0</v>
      </c>
    </row>
    <row r="202" spans="1:44" ht="12.75" customHeight="1" x14ac:dyDescent="0.25">
      <c r="A202" s="27" t="s">
        <v>1401</v>
      </c>
      <c r="B202" s="14" t="s">
        <v>2393</v>
      </c>
      <c r="C202" s="26" t="s">
        <v>979</v>
      </c>
      <c r="D202" s="14" t="s">
        <v>1529</v>
      </c>
      <c r="E202" s="1" t="s">
        <v>1545</v>
      </c>
      <c r="F202" s="14"/>
      <c r="G202" s="296"/>
      <c r="H202" s="296">
        <v>577616.41</v>
      </c>
      <c r="I202" s="296"/>
      <c r="J202" s="296"/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45.316899999999997</v>
      </c>
      <c r="Q202" s="19">
        <v>0</v>
      </c>
      <c r="R202" s="19">
        <v>6</v>
      </c>
      <c r="S202" s="19">
        <v>0</v>
      </c>
      <c r="T202" s="19">
        <v>1</v>
      </c>
      <c r="U202" s="19">
        <v>0</v>
      </c>
      <c r="V202" s="19">
        <v>3206.25</v>
      </c>
      <c r="W202" s="19">
        <v>0</v>
      </c>
      <c r="X202" s="19">
        <v>186.16</v>
      </c>
      <c r="Y202" s="19">
        <v>0</v>
      </c>
      <c r="Z202" s="19">
        <v>366.21</v>
      </c>
      <c r="AA202" s="19">
        <v>0</v>
      </c>
      <c r="AB202" s="19">
        <v>180057</v>
      </c>
      <c r="AC202" s="19">
        <v>0</v>
      </c>
      <c r="AD202" s="20">
        <v>268010.44</v>
      </c>
      <c r="AE202" s="19">
        <v>0</v>
      </c>
      <c r="AF202" s="20">
        <v>33.514000000000003</v>
      </c>
      <c r="AG202" s="19">
        <v>0</v>
      </c>
      <c r="AH202" s="20">
        <v>1.7107000000000001</v>
      </c>
      <c r="AI202" s="19">
        <v>0</v>
      </c>
      <c r="AJ202" s="20">
        <v>0.20530000000000001</v>
      </c>
      <c r="AK202" s="19">
        <v>0</v>
      </c>
      <c r="AL202" s="20">
        <v>113.68</v>
      </c>
      <c r="AM202" s="19">
        <v>0</v>
      </c>
      <c r="AN202" s="20">
        <v>0</v>
      </c>
      <c r="AO202" s="19">
        <v>0</v>
      </c>
      <c r="AP202" s="20">
        <v>0</v>
      </c>
      <c r="AQ202" s="19">
        <v>0</v>
      </c>
      <c r="AR202" s="28">
        <v>0</v>
      </c>
    </row>
    <row r="203" spans="1:44" ht="12.75" customHeight="1" x14ac:dyDescent="0.25">
      <c r="A203" s="27" t="s">
        <v>1402</v>
      </c>
      <c r="B203" s="14" t="s">
        <v>2393</v>
      </c>
      <c r="C203" s="26" t="s">
        <v>979</v>
      </c>
      <c r="D203" s="14" t="s">
        <v>1124</v>
      </c>
      <c r="E203" s="1" t="s">
        <v>1545</v>
      </c>
      <c r="F203" s="14"/>
      <c r="G203" s="296"/>
      <c r="H203" s="296">
        <v>575897.96</v>
      </c>
      <c r="I203" s="296"/>
      <c r="J203" s="296"/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48.22</v>
      </c>
      <c r="Q203" s="19">
        <v>0</v>
      </c>
      <c r="R203" s="19">
        <v>7</v>
      </c>
      <c r="S203" s="19">
        <v>0</v>
      </c>
      <c r="T203" s="19">
        <v>1</v>
      </c>
      <c r="U203" s="19">
        <v>0</v>
      </c>
      <c r="V203" s="19">
        <v>2943</v>
      </c>
      <c r="W203" s="19">
        <v>0</v>
      </c>
      <c r="X203" s="19">
        <v>105.6</v>
      </c>
      <c r="Y203" s="19">
        <v>0</v>
      </c>
      <c r="Z203" s="19">
        <v>636.36</v>
      </c>
      <c r="AA203" s="19">
        <v>0</v>
      </c>
      <c r="AB203" s="19">
        <v>530768</v>
      </c>
      <c r="AC203" s="19">
        <v>0</v>
      </c>
      <c r="AD203" s="20">
        <v>263280.78000000003</v>
      </c>
      <c r="AE203" s="19">
        <v>0</v>
      </c>
      <c r="AF203" s="20">
        <v>35.75</v>
      </c>
      <c r="AG203" s="19">
        <v>0</v>
      </c>
      <c r="AH203" s="20">
        <v>1.83</v>
      </c>
      <c r="AI203" s="19">
        <v>0</v>
      </c>
      <c r="AJ203" s="20">
        <v>0.22</v>
      </c>
      <c r="AK203" s="19">
        <v>0</v>
      </c>
      <c r="AL203" s="20">
        <v>122.9</v>
      </c>
      <c r="AM203" s="19">
        <v>0</v>
      </c>
      <c r="AN203" s="20">
        <v>0</v>
      </c>
      <c r="AO203" s="19">
        <v>0</v>
      </c>
      <c r="AP203" s="20">
        <v>0</v>
      </c>
      <c r="AQ203" s="19">
        <v>0</v>
      </c>
      <c r="AR203" s="28">
        <v>0</v>
      </c>
    </row>
    <row r="204" spans="1:44" ht="12.75" customHeight="1" x14ac:dyDescent="0.25">
      <c r="A204" s="27" t="s">
        <v>1403</v>
      </c>
      <c r="B204" s="14" t="s">
        <v>2393</v>
      </c>
      <c r="C204" s="26" t="s">
        <v>979</v>
      </c>
      <c r="D204" s="14" t="s">
        <v>1176</v>
      </c>
      <c r="E204" s="1" t="s">
        <v>1545</v>
      </c>
      <c r="F204" s="14"/>
      <c r="G204" s="296"/>
      <c r="H204" s="296">
        <v>1508667.45</v>
      </c>
      <c r="I204" s="296"/>
      <c r="J204" s="296"/>
      <c r="K204" s="19">
        <v>0</v>
      </c>
      <c r="L204" s="19">
        <v>8.6280000000000001</v>
      </c>
      <c r="M204" s="19">
        <v>0</v>
      </c>
      <c r="N204" s="19">
        <v>0</v>
      </c>
      <c r="O204" s="19">
        <v>0</v>
      </c>
      <c r="P204" s="19">
        <v>89.249499999999998</v>
      </c>
      <c r="Q204" s="19">
        <v>0</v>
      </c>
      <c r="R204" s="19">
        <v>6</v>
      </c>
      <c r="S204" s="19">
        <v>0</v>
      </c>
      <c r="T204" s="19">
        <v>1</v>
      </c>
      <c r="U204" s="19">
        <v>0</v>
      </c>
      <c r="V204" s="19">
        <v>6961</v>
      </c>
      <c r="W204" s="19">
        <v>0</v>
      </c>
      <c r="X204" s="19">
        <v>339.91</v>
      </c>
      <c r="Y204" s="19">
        <v>0</v>
      </c>
      <c r="Z204" s="19">
        <v>824.59</v>
      </c>
      <c r="AA204" s="19">
        <v>0</v>
      </c>
      <c r="AB204" s="19">
        <v>484686</v>
      </c>
      <c r="AC204" s="19">
        <v>0</v>
      </c>
      <c r="AD204" s="20">
        <v>606094.27</v>
      </c>
      <c r="AE204" s="19">
        <v>0</v>
      </c>
      <c r="AF204" s="20">
        <v>66.004000000000005</v>
      </c>
      <c r="AG204" s="19">
        <v>0</v>
      </c>
      <c r="AH204" s="20">
        <v>3.3849999999999998</v>
      </c>
      <c r="AI204" s="19">
        <v>0</v>
      </c>
      <c r="AJ204" s="20">
        <v>0.40649999999999997</v>
      </c>
      <c r="AK204" s="19">
        <v>0</v>
      </c>
      <c r="AL204" s="20">
        <v>118.41</v>
      </c>
      <c r="AM204" s="19">
        <v>0</v>
      </c>
      <c r="AN204" s="20">
        <v>8.6280000000000001</v>
      </c>
      <c r="AO204" s="19">
        <v>0</v>
      </c>
      <c r="AP204" s="20">
        <v>8.6280000000000001</v>
      </c>
      <c r="AQ204" s="19">
        <v>0</v>
      </c>
      <c r="AR204" s="28">
        <v>0</v>
      </c>
    </row>
    <row r="205" spans="1:44" ht="12.75" customHeight="1" x14ac:dyDescent="0.25">
      <c r="A205" s="27" t="s">
        <v>1404</v>
      </c>
      <c r="B205" s="14" t="s">
        <v>2393</v>
      </c>
      <c r="C205" s="26" t="s">
        <v>979</v>
      </c>
      <c r="D205" s="14" t="s">
        <v>1530</v>
      </c>
      <c r="E205" s="1" t="s">
        <v>1545</v>
      </c>
      <c r="F205" s="14"/>
      <c r="G205" s="296"/>
      <c r="H205" s="296"/>
      <c r="I205" s="296"/>
      <c r="J205" s="296"/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51.48</v>
      </c>
      <c r="Q205" s="19">
        <v>0</v>
      </c>
      <c r="R205" s="19">
        <v>6</v>
      </c>
      <c r="S205" s="19">
        <v>0</v>
      </c>
      <c r="T205" s="19">
        <v>1</v>
      </c>
      <c r="U205" s="19">
        <v>0</v>
      </c>
      <c r="V205" s="19">
        <v>1810.62</v>
      </c>
      <c r="W205" s="19">
        <v>0</v>
      </c>
      <c r="X205" s="19">
        <v>81.48</v>
      </c>
      <c r="Y205" s="19">
        <v>0</v>
      </c>
      <c r="Z205" s="19">
        <v>162.5</v>
      </c>
      <c r="AA205" s="19">
        <v>0</v>
      </c>
      <c r="AB205" s="19">
        <v>201995.4</v>
      </c>
      <c r="AC205" s="19">
        <v>0</v>
      </c>
      <c r="AD205" s="20">
        <v>324</v>
      </c>
      <c r="AE205" s="19">
        <v>0</v>
      </c>
      <c r="AF205" s="20">
        <v>40.75</v>
      </c>
      <c r="AG205" s="19">
        <v>0</v>
      </c>
      <c r="AH205" s="20">
        <v>46.33</v>
      </c>
      <c r="AI205" s="19">
        <v>0</v>
      </c>
      <c r="AJ205" s="20">
        <v>229.03</v>
      </c>
      <c r="AK205" s="19">
        <v>0</v>
      </c>
      <c r="AL205" s="20">
        <v>324</v>
      </c>
      <c r="AM205" s="19">
        <v>0</v>
      </c>
      <c r="AN205" s="20">
        <v>0</v>
      </c>
      <c r="AO205" s="19">
        <v>0</v>
      </c>
      <c r="AP205" s="20">
        <v>0</v>
      </c>
      <c r="AQ205" s="19">
        <v>0</v>
      </c>
      <c r="AR205" s="28">
        <v>0</v>
      </c>
    </row>
    <row r="206" spans="1:44" ht="12.75" customHeight="1" x14ac:dyDescent="0.25">
      <c r="A206" s="27" t="s">
        <v>1405</v>
      </c>
      <c r="B206" s="14" t="s">
        <v>2393</v>
      </c>
      <c r="C206" s="26" t="s">
        <v>1459</v>
      </c>
      <c r="D206" s="14" t="s">
        <v>1531</v>
      </c>
      <c r="E206" s="1" t="s">
        <v>1545</v>
      </c>
      <c r="F206" s="14"/>
      <c r="G206" s="296"/>
      <c r="H206" s="296">
        <v>151969.63</v>
      </c>
      <c r="I206" s="296"/>
      <c r="J206" s="296"/>
      <c r="K206" s="19">
        <v>0</v>
      </c>
      <c r="L206" s="19">
        <v>13.5</v>
      </c>
      <c r="M206" s="19">
        <v>0</v>
      </c>
      <c r="N206" s="19">
        <v>0</v>
      </c>
      <c r="O206" s="19">
        <v>0</v>
      </c>
      <c r="P206" s="19">
        <v>25.47</v>
      </c>
      <c r="Q206" s="19">
        <v>0</v>
      </c>
      <c r="R206" s="19">
        <v>3</v>
      </c>
      <c r="S206" s="19">
        <v>0</v>
      </c>
      <c r="T206" s="19">
        <v>1</v>
      </c>
      <c r="U206" s="19">
        <v>0</v>
      </c>
      <c r="V206" s="19">
        <v>279.39999999999998</v>
      </c>
      <c r="W206" s="19">
        <v>0</v>
      </c>
      <c r="X206" s="19">
        <v>5.93</v>
      </c>
      <c r="Y206" s="19">
        <v>0</v>
      </c>
      <c r="Z206" s="19">
        <v>41.213000000000001</v>
      </c>
      <c r="AA206" s="19">
        <v>0</v>
      </c>
      <c r="AB206" s="19">
        <v>35278.328000000001</v>
      </c>
      <c r="AC206" s="19">
        <v>0</v>
      </c>
      <c r="AD206" s="20">
        <v>77584.320000000007</v>
      </c>
      <c r="AE206" s="19">
        <v>0</v>
      </c>
      <c r="AF206" s="20">
        <v>85.05</v>
      </c>
      <c r="AG206" s="19">
        <v>0</v>
      </c>
      <c r="AH206" s="20">
        <v>15.4</v>
      </c>
      <c r="AI206" s="19">
        <v>0</v>
      </c>
      <c r="AJ206" s="20">
        <v>77.400000000000006</v>
      </c>
      <c r="AK206" s="19">
        <v>0</v>
      </c>
      <c r="AL206" s="20">
        <v>251610.26</v>
      </c>
      <c r="AM206" s="19">
        <v>0</v>
      </c>
      <c r="AN206" s="20">
        <v>0</v>
      </c>
      <c r="AO206" s="19">
        <v>0</v>
      </c>
      <c r="AP206" s="20">
        <v>13.5</v>
      </c>
      <c r="AQ206" s="19">
        <v>0</v>
      </c>
      <c r="AR206" s="28">
        <v>0</v>
      </c>
    </row>
    <row r="207" spans="1:44" ht="12.75" customHeight="1" x14ac:dyDescent="0.25">
      <c r="A207" s="27" t="s">
        <v>1406</v>
      </c>
      <c r="B207" s="14" t="s">
        <v>2393</v>
      </c>
      <c r="C207" s="26" t="s">
        <v>979</v>
      </c>
      <c r="D207" s="14" t="s">
        <v>1190</v>
      </c>
      <c r="E207" s="1" t="s">
        <v>1545</v>
      </c>
      <c r="F207" s="14"/>
      <c r="G207" s="296"/>
      <c r="H207" s="296">
        <v>1936205.83</v>
      </c>
      <c r="I207" s="296"/>
      <c r="J207" s="296"/>
      <c r="K207" s="19">
        <v>0</v>
      </c>
      <c r="L207" s="19">
        <v>0</v>
      </c>
      <c r="M207" s="19">
        <v>0</v>
      </c>
      <c r="N207" s="19">
        <v>10.92</v>
      </c>
      <c r="O207" s="19">
        <v>0</v>
      </c>
      <c r="P207" s="19">
        <v>41.471800000000002</v>
      </c>
      <c r="Q207" s="19">
        <v>0</v>
      </c>
      <c r="R207" s="19">
        <v>5</v>
      </c>
      <c r="S207" s="19">
        <v>0</v>
      </c>
      <c r="T207" s="19">
        <v>1</v>
      </c>
      <c r="U207" s="19">
        <v>0</v>
      </c>
      <c r="V207" s="19">
        <v>3139</v>
      </c>
      <c r="W207" s="19">
        <v>0</v>
      </c>
      <c r="X207" s="19">
        <v>172.65</v>
      </c>
      <c r="Y207" s="19">
        <v>0</v>
      </c>
      <c r="Z207" s="19">
        <v>694.07</v>
      </c>
      <c r="AA207" s="19">
        <v>0</v>
      </c>
      <c r="AB207" s="19">
        <v>521429</v>
      </c>
      <c r="AC207" s="19">
        <v>0</v>
      </c>
      <c r="AD207" s="20">
        <v>247981</v>
      </c>
      <c r="AE207" s="19">
        <v>0</v>
      </c>
      <c r="AF207" s="20">
        <v>30.247499999999999</v>
      </c>
      <c r="AG207" s="19">
        <v>0</v>
      </c>
      <c r="AH207" s="20">
        <v>1.5506</v>
      </c>
      <c r="AI207" s="19">
        <v>0</v>
      </c>
      <c r="AJ207" s="20">
        <v>0.18609999999999999</v>
      </c>
      <c r="AK207" s="19">
        <v>0</v>
      </c>
      <c r="AL207" s="20">
        <v>110</v>
      </c>
      <c r="AM207" s="19">
        <v>0</v>
      </c>
      <c r="AN207" s="20">
        <v>0</v>
      </c>
      <c r="AO207" s="19">
        <v>0</v>
      </c>
      <c r="AP207" s="20">
        <v>5.7000000000000002E-3</v>
      </c>
      <c r="AQ207" s="19">
        <v>0</v>
      </c>
      <c r="AR207" s="28">
        <v>5.7000000000000002E-3</v>
      </c>
    </row>
    <row r="208" spans="1:44" ht="12.75" customHeight="1" x14ac:dyDescent="0.25">
      <c r="A208" s="27" t="s">
        <v>1407</v>
      </c>
      <c r="B208" s="14" t="s">
        <v>2393</v>
      </c>
      <c r="C208" s="26" t="s">
        <v>1460</v>
      </c>
      <c r="D208" s="14" t="s">
        <v>1532</v>
      </c>
      <c r="E208" s="1" t="s">
        <v>1545</v>
      </c>
      <c r="F208" s="14"/>
      <c r="G208" s="296"/>
      <c r="H208" s="296"/>
      <c r="I208" s="296"/>
      <c r="J208" s="296"/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22.97</v>
      </c>
      <c r="Q208" s="19">
        <v>0</v>
      </c>
      <c r="R208" s="19">
        <v>2</v>
      </c>
      <c r="S208" s="19">
        <v>0</v>
      </c>
      <c r="T208" s="19">
        <v>1</v>
      </c>
      <c r="U208" s="19">
        <v>0</v>
      </c>
      <c r="V208" s="19">
        <v>695.9</v>
      </c>
      <c r="W208" s="19">
        <v>0</v>
      </c>
      <c r="X208" s="19">
        <v>47.877899999999997</v>
      </c>
      <c r="Y208" s="19">
        <v>0</v>
      </c>
      <c r="Z208" s="19">
        <v>130.48099999999999</v>
      </c>
      <c r="AA208" s="19">
        <v>0</v>
      </c>
      <c r="AB208" s="19">
        <v>82603.33</v>
      </c>
      <c r="AC208" s="19">
        <v>0</v>
      </c>
      <c r="AD208" s="20">
        <v>82603.33</v>
      </c>
      <c r="AE208" s="19">
        <v>0</v>
      </c>
      <c r="AF208" s="20">
        <v>0</v>
      </c>
      <c r="AG208" s="19">
        <v>0</v>
      </c>
      <c r="AH208" s="20">
        <v>0</v>
      </c>
      <c r="AI208" s="19">
        <v>0</v>
      </c>
      <c r="AJ208" s="20">
        <v>0</v>
      </c>
      <c r="AK208" s="19">
        <v>0</v>
      </c>
      <c r="AL208" s="20">
        <v>125540.36</v>
      </c>
      <c r="AM208" s="19">
        <v>0</v>
      </c>
      <c r="AN208" s="20">
        <v>0</v>
      </c>
      <c r="AO208" s="19">
        <v>0</v>
      </c>
      <c r="AP208" s="20">
        <v>0</v>
      </c>
      <c r="AQ208" s="19">
        <v>0</v>
      </c>
      <c r="AR208" s="28">
        <v>0</v>
      </c>
    </row>
    <row r="209" spans="1:44" ht="12.75" customHeight="1" x14ac:dyDescent="0.25">
      <c r="A209" s="27" t="s">
        <v>1408</v>
      </c>
      <c r="B209" s="14" t="s">
        <v>2393</v>
      </c>
      <c r="C209" s="26" t="s">
        <v>1461</v>
      </c>
      <c r="D209" s="14" t="s">
        <v>1533</v>
      </c>
      <c r="E209" s="1" t="s">
        <v>1545</v>
      </c>
      <c r="F209" s="14"/>
      <c r="G209" s="296"/>
      <c r="H209" s="296"/>
      <c r="I209" s="296"/>
      <c r="J209" s="296"/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15.4</v>
      </c>
      <c r="Q209" s="19">
        <v>0</v>
      </c>
      <c r="R209" s="19">
        <v>2</v>
      </c>
      <c r="S209" s="19">
        <v>0</v>
      </c>
      <c r="T209" s="19">
        <v>1</v>
      </c>
      <c r="U209" s="19">
        <v>0</v>
      </c>
      <c r="V209" s="19">
        <v>650.58000000000004</v>
      </c>
      <c r="W209" s="19">
        <v>0</v>
      </c>
      <c r="X209" s="19">
        <v>35.716799999999999</v>
      </c>
      <c r="Y209" s="19">
        <v>0</v>
      </c>
      <c r="Z209" s="19">
        <v>176.50239999999999</v>
      </c>
      <c r="AA209" s="19">
        <v>0</v>
      </c>
      <c r="AB209" s="19">
        <v>140785.5</v>
      </c>
      <c r="AC209" s="19">
        <v>0</v>
      </c>
      <c r="AD209" s="20">
        <v>140785.5</v>
      </c>
      <c r="AE209" s="19">
        <v>0</v>
      </c>
      <c r="AF209" s="20">
        <v>22.5</v>
      </c>
      <c r="AG209" s="19">
        <v>0</v>
      </c>
      <c r="AH209" s="20">
        <v>0</v>
      </c>
      <c r="AI209" s="19">
        <v>0</v>
      </c>
      <c r="AJ209" s="20">
        <v>0</v>
      </c>
      <c r="AK209" s="19">
        <v>0</v>
      </c>
      <c r="AL209" s="20">
        <v>162319.70000000001</v>
      </c>
      <c r="AM209" s="19">
        <v>0</v>
      </c>
      <c r="AN209" s="20">
        <v>0</v>
      </c>
      <c r="AO209" s="19">
        <v>0</v>
      </c>
      <c r="AP209" s="20">
        <v>0</v>
      </c>
      <c r="AQ209" s="19">
        <v>0</v>
      </c>
      <c r="AR209" s="28">
        <v>0</v>
      </c>
    </row>
    <row r="210" spans="1:44" ht="12.75" customHeight="1" x14ac:dyDescent="0.25">
      <c r="A210" s="27" t="s">
        <v>1409</v>
      </c>
      <c r="B210" s="14" t="s">
        <v>2393</v>
      </c>
      <c r="C210" s="26" t="s">
        <v>1462</v>
      </c>
      <c r="D210" s="14" t="s">
        <v>1534</v>
      </c>
      <c r="E210" s="1" t="s">
        <v>1545</v>
      </c>
      <c r="F210" s="14"/>
      <c r="G210" s="296"/>
      <c r="H210" s="296"/>
      <c r="I210" s="296"/>
      <c r="J210" s="296"/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6.7400000000000002E-2</v>
      </c>
      <c r="Q210" s="19">
        <v>0</v>
      </c>
      <c r="R210" s="19">
        <v>3</v>
      </c>
      <c r="S210" s="19">
        <v>0</v>
      </c>
      <c r="T210" s="19">
        <v>1</v>
      </c>
      <c r="U210" s="19">
        <v>0</v>
      </c>
      <c r="V210" s="19">
        <v>1110.18</v>
      </c>
      <c r="W210" s="19">
        <v>0</v>
      </c>
      <c r="X210" s="19">
        <v>167.357</v>
      </c>
      <c r="Y210" s="19">
        <v>0</v>
      </c>
      <c r="Z210" s="19">
        <v>516.28</v>
      </c>
      <c r="AA210" s="19">
        <v>0</v>
      </c>
      <c r="AB210" s="19">
        <v>348925</v>
      </c>
      <c r="AC210" s="19">
        <v>0</v>
      </c>
      <c r="AD210" s="20">
        <v>348925</v>
      </c>
      <c r="AE210" s="19">
        <v>0</v>
      </c>
      <c r="AF210" s="20">
        <v>61.93</v>
      </c>
      <c r="AG210" s="19">
        <v>0</v>
      </c>
      <c r="AH210" s="20">
        <v>0</v>
      </c>
      <c r="AI210" s="19">
        <v>0</v>
      </c>
      <c r="AJ210" s="20">
        <v>22.23</v>
      </c>
      <c r="AK210" s="19">
        <v>0</v>
      </c>
      <c r="AL210" s="20">
        <v>0</v>
      </c>
      <c r="AM210" s="19">
        <v>0</v>
      </c>
      <c r="AN210" s="20">
        <v>0</v>
      </c>
      <c r="AO210" s="19">
        <v>0</v>
      </c>
      <c r="AP210" s="20">
        <v>0</v>
      </c>
      <c r="AQ210" s="19">
        <v>0</v>
      </c>
      <c r="AR210" s="28">
        <v>0</v>
      </c>
    </row>
    <row r="211" spans="1:44" ht="12.75" customHeight="1" x14ac:dyDescent="0.25">
      <c r="A211" s="27" t="s">
        <v>1410</v>
      </c>
      <c r="B211" s="14" t="s">
        <v>2393</v>
      </c>
      <c r="C211" s="26" t="s">
        <v>1463</v>
      </c>
      <c r="D211" s="14" t="s">
        <v>1535</v>
      </c>
      <c r="E211" s="1" t="s">
        <v>1545</v>
      </c>
      <c r="F211" s="14"/>
      <c r="G211" s="296"/>
      <c r="H211" s="296"/>
      <c r="I211" s="296"/>
      <c r="J211" s="296"/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130.21</v>
      </c>
      <c r="Q211" s="19">
        <v>0</v>
      </c>
      <c r="R211" s="19">
        <v>3</v>
      </c>
      <c r="S211" s="19">
        <v>0</v>
      </c>
      <c r="T211" s="19">
        <v>1</v>
      </c>
      <c r="U211" s="19">
        <v>0</v>
      </c>
      <c r="V211" s="19">
        <v>2125.6460000000002</v>
      </c>
      <c r="W211" s="19">
        <v>0</v>
      </c>
      <c r="X211" s="19">
        <v>112.553</v>
      </c>
      <c r="Y211" s="19">
        <v>0</v>
      </c>
      <c r="Z211" s="19">
        <v>451.69619999999998</v>
      </c>
      <c r="AA211" s="19">
        <v>0</v>
      </c>
      <c r="AB211" s="19">
        <v>127864</v>
      </c>
      <c r="AC211" s="19">
        <v>0</v>
      </c>
      <c r="AD211" s="20">
        <v>339143.2</v>
      </c>
      <c r="AE211" s="19">
        <v>0</v>
      </c>
      <c r="AF211" s="20">
        <v>14.89</v>
      </c>
      <c r="AG211" s="19">
        <v>0</v>
      </c>
      <c r="AH211" s="20">
        <v>0</v>
      </c>
      <c r="AI211" s="19">
        <v>0</v>
      </c>
      <c r="AJ211" s="20">
        <v>4.24</v>
      </c>
      <c r="AK211" s="19">
        <v>0</v>
      </c>
      <c r="AL211" s="20">
        <v>650947.30000000005</v>
      </c>
      <c r="AM211" s="19">
        <v>0</v>
      </c>
      <c r="AN211" s="20">
        <v>0</v>
      </c>
      <c r="AO211" s="19">
        <v>0</v>
      </c>
      <c r="AP211" s="20">
        <v>0.12</v>
      </c>
      <c r="AQ211" s="19">
        <v>0</v>
      </c>
      <c r="AR211" s="28">
        <v>0.12</v>
      </c>
    </row>
    <row r="212" spans="1:44" ht="12.75" customHeight="1" x14ac:dyDescent="0.25">
      <c r="A212" s="27" t="s">
        <v>1411</v>
      </c>
      <c r="B212" s="14" t="s">
        <v>2393</v>
      </c>
      <c r="C212" s="26" t="s">
        <v>1464</v>
      </c>
      <c r="D212" s="14" t="s">
        <v>1536</v>
      </c>
      <c r="E212" s="1" t="s">
        <v>1545</v>
      </c>
      <c r="F212" s="14"/>
      <c r="G212" s="296"/>
      <c r="H212" s="296"/>
      <c r="I212" s="296"/>
      <c r="J212" s="296"/>
      <c r="K212" s="19">
        <v>0</v>
      </c>
      <c r="L212" s="19">
        <v>12.02</v>
      </c>
      <c r="M212" s="19">
        <v>0</v>
      </c>
      <c r="N212" s="19">
        <v>12.914</v>
      </c>
      <c r="O212" s="19">
        <v>0</v>
      </c>
      <c r="P212" s="19">
        <v>69.001599999999996</v>
      </c>
      <c r="Q212" s="19">
        <v>0</v>
      </c>
      <c r="R212" s="19">
        <v>6</v>
      </c>
      <c r="S212" s="19">
        <v>0</v>
      </c>
      <c r="T212" s="19">
        <v>1</v>
      </c>
      <c r="U212" s="19">
        <v>0</v>
      </c>
      <c r="V212" s="19">
        <v>3151.84</v>
      </c>
      <c r="W212" s="19">
        <v>0</v>
      </c>
      <c r="X212" s="19">
        <v>198.13570000000001</v>
      </c>
      <c r="Y212" s="19">
        <v>0</v>
      </c>
      <c r="Z212" s="19">
        <v>577.62919999999997</v>
      </c>
      <c r="AA212" s="19">
        <v>0</v>
      </c>
      <c r="AB212" s="19">
        <v>379494</v>
      </c>
      <c r="AC212" s="19">
        <v>0</v>
      </c>
      <c r="AD212" s="20">
        <v>379494</v>
      </c>
      <c r="AE212" s="19">
        <v>0</v>
      </c>
      <c r="AF212" s="20">
        <v>136.19999999999999</v>
      </c>
      <c r="AG212" s="19">
        <v>0</v>
      </c>
      <c r="AH212" s="20">
        <v>17.3</v>
      </c>
      <c r="AI212" s="19">
        <v>0</v>
      </c>
      <c r="AJ212" s="20">
        <v>86.6</v>
      </c>
      <c r="AK212" s="19">
        <v>0</v>
      </c>
      <c r="AL212" s="20">
        <v>379494</v>
      </c>
      <c r="AM212" s="19">
        <v>0</v>
      </c>
      <c r="AN212" s="20">
        <v>1.2999999999999999E-2</v>
      </c>
      <c r="AO212" s="19">
        <v>0</v>
      </c>
      <c r="AP212" s="20">
        <v>2.9000000000000001E-2</v>
      </c>
      <c r="AQ212" s="19">
        <v>0</v>
      </c>
      <c r="AR212" s="28">
        <v>1.6E-2</v>
      </c>
    </row>
    <row r="213" spans="1:44" ht="12.75" customHeight="1" x14ac:dyDescent="0.25">
      <c r="A213" s="27" t="s">
        <v>1412</v>
      </c>
      <c r="B213" s="14" t="s">
        <v>2393</v>
      </c>
      <c r="C213" s="26" t="s">
        <v>1001</v>
      </c>
      <c r="D213" s="14" t="s">
        <v>1537</v>
      </c>
      <c r="E213" s="1" t="s">
        <v>1545</v>
      </c>
      <c r="F213" s="14"/>
      <c r="G213" s="296"/>
      <c r="H213" s="296">
        <v>492246.45</v>
      </c>
      <c r="I213" s="296"/>
      <c r="J213" s="296"/>
      <c r="K213" s="19">
        <v>0</v>
      </c>
      <c r="L213" s="19">
        <v>0</v>
      </c>
      <c r="M213" s="19">
        <v>0</v>
      </c>
      <c r="N213" s="19">
        <v>28.38</v>
      </c>
      <c r="O213" s="19">
        <v>0</v>
      </c>
      <c r="P213" s="19">
        <v>84.86</v>
      </c>
      <c r="Q213" s="19">
        <v>0</v>
      </c>
      <c r="R213" s="19">
        <v>5</v>
      </c>
      <c r="S213" s="19">
        <v>0</v>
      </c>
      <c r="T213" s="19">
        <v>1</v>
      </c>
      <c r="U213" s="19">
        <v>0</v>
      </c>
      <c r="V213" s="19">
        <v>1599.69</v>
      </c>
      <c r="W213" s="19">
        <v>0</v>
      </c>
      <c r="X213" s="19">
        <v>42.89</v>
      </c>
      <c r="Y213" s="19">
        <v>0</v>
      </c>
      <c r="Z213" s="19">
        <v>254.78</v>
      </c>
      <c r="AA213" s="19">
        <v>0</v>
      </c>
      <c r="AB213" s="19">
        <v>211890</v>
      </c>
      <c r="AC213" s="19">
        <v>0</v>
      </c>
      <c r="AD213" s="20">
        <v>446501.7</v>
      </c>
      <c r="AE213" s="19">
        <v>0</v>
      </c>
      <c r="AF213" s="20">
        <v>68.31</v>
      </c>
      <c r="AG213" s="19">
        <v>0</v>
      </c>
      <c r="AH213" s="20">
        <v>6.38</v>
      </c>
      <c r="AI213" s="19">
        <v>0</v>
      </c>
      <c r="AJ213" s="20">
        <v>20.3</v>
      </c>
      <c r="AK213" s="19">
        <v>0</v>
      </c>
      <c r="AL213" s="20">
        <v>318076.27</v>
      </c>
      <c r="AM213" s="19">
        <v>0</v>
      </c>
      <c r="AN213" s="20">
        <v>0</v>
      </c>
      <c r="AO213" s="19">
        <v>0</v>
      </c>
      <c r="AP213" s="20">
        <v>5.7000000000000002E-2</v>
      </c>
      <c r="AQ213" s="19">
        <v>0</v>
      </c>
      <c r="AR213" s="28">
        <v>6.7500000000000004E-2</v>
      </c>
    </row>
    <row r="214" spans="1:44" ht="12.75" customHeight="1" x14ac:dyDescent="0.25">
      <c r="A214" s="27" t="s">
        <v>1413</v>
      </c>
      <c r="B214" s="14" t="s">
        <v>2393</v>
      </c>
      <c r="C214" s="26" t="s">
        <v>1007</v>
      </c>
      <c r="D214" s="14" t="s">
        <v>1538</v>
      </c>
      <c r="E214" s="1" t="s">
        <v>1545</v>
      </c>
      <c r="F214" s="14"/>
      <c r="G214" s="296"/>
      <c r="H214" s="296"/>
      <c r="I214" s="296"/>
      <c r="J214" s="296"/>
      <c r="K214" s="19">
        <v>0</v>
      </c>
      <c r="L214" s="19">
        <v>6.78</v>
      </c>
      <c r="M214" s="19">
        <v>0</v>
      </c>
      <c r="N214" s="19">
        <v>45.09</v>
      </c>
      <c r="O214" s="19">
        <v>0</v>
      </c>
      <c r="P214" s="19">
        <v>222.75620000000001</v>
      </c>
      <c r="Q214" s="19">
        <v>0</v>
      </c>
      <c r="R214" s="19">
        <v>5</v>
      </c>
      <c r="S214" s="19">
        <v>0</v>
      </c>
      <c r="T214" s="19">
        <v>1</v>
      </c>
      <c r="U214" s="19">
        <v>0</v>
      </c>
      <c r="V214" s="19">
        <v>3943.89</v>
      </c>
      <c r="W214" s="19">
        <v>0</v>
      </c>
      <c r="X214" s="19">
        <v>142.38999999999999</v>
      </c>
      <c r="Y214" s="19">
        <v>0</v>
      </c>
      <c r="Z214" s="19">
        <v>441.59</v>
      </c>
      <c r="AA214" s="19">
        <v>0</v>
      </c>
      <c r="AB214" s="19">
        <v>299202.21000000002</v>
      </c>
      <c r="AC214" s="19">
        <v>0</v>
      </c>
      <c r="AD214" s="20">
        <v>639823.64</v>
      </c>
      <c r="AE214" s="19">
        <v>0</v>
      </c>
      <c r="AF214" s="20">
        <v>140.16</v>
      </c>
      <c r="AG214" s="19">
        <v>0</v>
      </c>
      <c r="AH214" s="20">
        <v>15.15</v>
      </c>
      <c r="AI214" s="19">
        <v>0</v>
      </c>
      <c r="AJ214" s="20">
        <v>55.92</v>
      </c>
      <c r="AK214" s="19">
        <v>0</v>
      </c>
      <c r="AL214" s="20">
        <v>989269.22</v>
      </c>
      <c r="AM214" s="19">
        <v>0</v>
      </c>
      <c r="AN214" s="20">
        <v>0.01</v>
      </c>
      <c r="AO214" s="19">
        <v>0</v>
      </c>
      <c r="AP214" s="20">
        <v>0.17</v>
      </c>
      <c r="AQ214" s="19">
        <v>0</v>
      </c>
      <c r="AR214" s="28">
        <v>0.16</v>
      </c>
    </row>
    <row r="215" spans="1:44" ht="12.75" customHeight="1" x14ac:dyDescent="0.25">
      <c r="A215" s="27" t="s">
        <v>1414</v>
      </c>
      <c r="B215" s="14" t="s">
        <v>2393</v>
      </c>
      <c r="C215" s="26" t="s">
        <v>1465</v>
      </c>
      <c r="D215" s="14" t="s">
        <v>1539</v>
      </c>
      <c r="E215" s="1" t="s">
        <v>1545</v>
      </c>
      <c r="F215" s="14"/>
      <c r="G215" s="296"/>
      <c r="H215" s="296"/>
      <c r="I215" s="296"/>
      <c r="J215" s="296"/>
      <c r="K215" s="19">
        <v>0</v>
      </c>
      <c r="L215" s="19">
        <v>0</v>
      </c>
      <c r="M215" s="19">
        <v>0</v>
      </c>
      <c r="N215" s="19">
        <v>1.1579999999999999</v>
      </c>
      <c r="O215" s="19">
        <v>0</v>
      </c>
      <c r="P215" s="19">
        <v>80.5</v>
      </c>
      <c r="Q215" s="19">
        <v>0</v>
      </c>
      <c r="R215" s="19">
        <v>5</v>
      </c>
      <c r="S215" s="19">
        <v>0</v>
      </c>
      <c r="T215" s="19">
        <v>1</v>
      </c>
      <c r="U215" s="19">
        <v>0</v>
      </c>
      <c r="V215" s="19">
        <v>2452.38</v>
      </c>
      <c r="W215" s="19">
        <v>0</v>
      </c>
      <c r="X215" s="19">
        <v>146.7193</v>
      </c>
      <c r="Y215" s="19">
        <v>0</v>
      </c>
      <c r="Z215" s="19">
        <v>476.61579999999998</v>
      </c>
      <c r="AA215" s="19">
        <v>0</v>
      </c>
      <c r="AB215" s="19">
        <v>329896.55</v>
      </c>
      <c r="AC215" s="19">
        <v>0</v>
      </c>
      <c r="AD215" s="20">
        <v>260494.26</v>
      </c>
      <c r="AE215" s="19">
        <v>0</v>
      </c>
      <c r="AF215" s="20">
        <v>3.9E-2</v>
      </c>
      <c r="AG215" s="19">
        <v>0</v>
      </c>
      <c r="AH215" s="20">
        <v>0</v>
      </c>
      <c r="AI215" s="19">
        <v>0</v>
      </c>
      <c r="AJ215" s="20">
        <v>0</v>
      </c>
      <c r="AK215" s="19">
        <v>0</v>
      </c>
      <c r="AL215" s="20">
        <v>411048.32</v>
      </c>
      <c r="AM215" s="19">
        <v>0</v>
      </c>
      <c r="AN215" s="20">
        <v>0</v>
      </c>
      <c r="AO215" s="19">
        <v>0</v>
      </c>
      <c r="AP215" s="20">
        <v>6.8999999999999999E-3</v>
      </c>
      <c r="AQ215" s="19">
        <v>0</v>
      </c>
      <c r="AR215" s="28">
        <v>6.8999999999999999E-3</v>
      </c>
    </row>
    <row r="216" spans="1:44" ht="12.75" customHeight="1" x14ac:dyDescent="0.25">
      <c r="A216" s="27" t="s">
        <v>1415</v>
      </c>
      <c r="B216" s="14" t="s">
        <v>2393</v>
      </c>
      <c r="C216" s="26" t="s">
        <v>1466</v>
      </c>
      <c r="D216" s="14" t="s">
        <v>1540</v>
      </c>
      <c r="E216" s="1" t="s">
        <v>1545</v>
      </c>
      <c r="F216" s="14"/>
      <c r="G216" s="296"/>
      <c r="H216" s="296"/>
      <c r="I216" s="296"/>
      <c r="J216" s="296"/>
      <c r="K216" s="19">
        <v>0</v>
      </c>
      <c r="L216" s="19">
        <v>0</v>
      </c>
      <c r="M216" s="19">
        <v>0</v>
      </c>
      <c r="N216" s="19">
        <v>13.62</v>
      </c>
      <c r="O216" s="19">
        <v>0</v>
      </c>
      <c r="P216" s="19">
        <v>50.52</v>
      </c>
      <c r="Q216" s="19">
        <v>0</v>
      </c>
      <c r="R216" s="19">
        <v>15</v>
      </c>
      <c r="S216" s="19">
        <v>0</v>
      </c>
      <c r="T216" s="19">
        <v>5</v>
      </c>
      <c r="U216" s="19">
        <v>0</v>
      </c>
      <c r="V216" s="19">
        <v>3273.38</v>
      </c>
      <c r="W216" s="19">
        <v>0</v>
      </c>
      <c r="X216" s="19">
        <v>194.65029999999999</v>
      </c>
      <c r="Y216" s="19">
        <v>0</v>
      </c>
      <c r="Z216" s="19">
        <v>518.11680000000001</v>
      </c>
      <c r="AA216" s="19">
        <v>0</v>
      </c>
      <c r="AB216" s="19">
        <v>323466.53000000003</v>
      </c>
      <c r="AC216" s="19">
        <v>0</v>
      </c>
      <c r="AD216" s="20">
        <v>323466.53000000003</v>
      </c>
      <c r="AE216" s="19">
        <v>0</v>
      </c>
      <c r="AF216" s="20">
        <v>2.1899999999999999E-2</v>
      </c>
      <c r="AG216" s="19">
        <v>0</v>
      </c>
      <c r="AH216" s="20">
        <v>0</v>
      </c>
      <c r="AI216" s="19">
        <v>0</v>
      </c>
      <c r="AJ216" s="20">
        <v>0</v>
      </c>
      <c r="AK216" s="19">
        <v>0</v>
      </c>
      <c r="AL216" s="20">
        <v>418050.76</v>
      </c>
      <c r="AM216" s="19">
        <v>0</v>
      </c>
      <c r="AN216" s="20">
        <v>0</v>
      </c>
      <c r="AO216" s="19">
        <v>0</v>
      </c>
      <c r="AP216" s="20">
        <v>2.8000000000000001E-2</v>
      </c>
      <c r="AQ216" s="19">
        <v>0</v>
      </c>
      <c r="AR216" s="28">
        <v>2.8000000000000001E-2</v>
      </c>
    </row>
    <row r="217" spans="1:44" ht="12.75" customHeight="1" x14ac:dyDescent="0.25">
      <c r="A217" s="27" t="s">
        <v>1416</v>
      </c>
      <c r="B217" s="14" t="s">
        <v>2393</v>
      </c>
      <c r="C217" s="26" t="s">
        <v>1467</v>
      </c>
      <c r="D217" s="14" t="s">
        <v>1541</v>
      </c>
      <c r="E217" s="1" t="s">
        <v>1545</v>
      </c>
      <c r="F217" s="14"/>
      <c r="G217" s="296"/>
      <c r="H217" s="296"/>
      <c r="I217" s="296"/>
      <c r="J217" s="296"/>
      <c r="K217" s="19">
        <v>0</v>
      </c>
      <c r="L217" s="19">
        <v>0</v>
      </c>
      <c r="M217" s="19">
        <v>0</v>
      </c>
      <c r="N217" s="19">
        <v>1.3859999999999999</v>
      </c>
      <c r="O217" s="19">
        <v>0</v>
      </c>
      <c r="P217" s="19">
        <v>3.6799999999999999E-2</v>
      </c>
      <c r="Q217" s="19">
        <v>0</v>
      </c>
      <c r="R217" s="19">
        <v>3</v>
      </c>
      <c r="S217" s="19">
        <v>0</v>
      </c>
      <c r="T217" s="19">
        <v>1</v>
      </c>
      <c r="U217" s="19">
        <v>0</v>
      </c>
      <c r="V217" s="19">
        <v>560.22</v>
      </c>
      <c r="W217" s="19">
        <v>0</v>
      </c>
      <c r="X217" s="19">
        <v>17.867100000000001</v>
      </c>
      <c r="Y217" s="19">
        <v>0</v>
      </c>
      <c r="Z217" s="19">
        <v>124.94499999999999</v>
      </c>
      <c r="AA217" s="19">
        <v>0</v>
      </c>
      <c r="AB217" s="19">
        <v>107077.86500000001</v>
      </c>
      <c r="AC217" s="19">
        <v>0</v>
      </c>
      <c r="AD217" s="20">
        <v>126049.5</v>
      </c>
      <c r="AE217" s="19">
        <v>0</v>
      </c>
      <c r="AF217" s="20">
        <v>32.64</v>
      </c>
      <c r="AG217" s="19">
        <v>0</v>
      </c>
      <c r="AH217" s="20">
        <v>2.21</v>
      </c>
      <c r="AI217" s="19">
        <v>0</v>
      </c>
      <c r="AJ217" s="20">
        <v>10.63</v>
      </c>
      <c r="AK217" s="19">
        <v>0</v>
      </c>
      <c r="AL217" s="20">
        <v>188794.14</v>
      </c>
      <c r="AM217" s="19">
        <v>0</v>
      </c>
      <c r="AN217" s="20">
        <v>0</v>
      </c>
      <c r="AO217" s="19">
        <v>0</v>
      </c>
      <c r="AP217" s="20">
        <v>6.9298999999999999</v>
      </c>
      <c r="AQ217" s="19">
        <v>0</v>
      </c>
      <c r="AR217" s="28">
        <v>0</v>
      </c>
    </row>
    <row r="218" spans="1:44" ht="12.75" customHeight="1" x14ac:dyDescent="0.25">
      <c r="A218" s="27" t="s">
        <v>1417</v>
      </c>
      <c r="B218" s="14" t="s">
        <v>2393</v>
      </c>
      <c r="C218" s="26" t="s">
        <v>1468</v>
      </c>
      <c r="D218" s="14" t="s">
        <v>1542</v>
      </c>
      <c r="E218" s="1" t="s">
        <v>1545</v>
      </c>
      <c r="F218" s="14"/>
      <c r="G218" s="296"/>
      <c r="H218" s="296"/>
      <c r="I218" s="296"/>
      <c r="J218" s="296"/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99.54</v>
      </c>
      <c r="Q218" s="19">
        <v>0</v>
      </c>
      <c r="R218" s="19">
        <v>3</v>
      </c>
      <c r="S218" s="19">
        <v>0</v>
      </c>
      <c r="T218" s="19">
        <v>1</v>
      </c>
      <c r="U218" s="19">
        <v>0</v>
      </c>
      <c r="V218" s="19">
        <v>5649</v>
      </c>
      <c r="W218" s="19">
        <v>0</v>
      </c>
      <c r="X218" s="19">
        <v>391.97399999999999</v>
      </c>
      <c r="Y218" s="19">
        <v>0</v>
      </c>
      <c r="Z218" s="19">
        <v>769.62699999999995</v>
      </c>
      <c r="AA218" s="19">
        <v>0</v>
      </c>
      <c r="AB218" s="19">
        <v>377653</v>
      </c>
      <c r="AC218" s="19">
        <v>0</v>
      </c>
      <c r="AD218" s="20">
        <v>388606</v>
      </c>
      <c r="AE218" s="19">
        <v>0</v>
      </c>
      <c r="AF218" s="20">
        <v>54</v>
      </c>
      <c r="AG218" s="19">
        <v>0</v>
      </c>
      <c r="AH218" s="20">
        <v>3</v>
      </c>
      <c r="AI218" s="19">
        <v>0</v>
      </c>
      <c r="AJ218" s="20">
        <v>37</v>
      </c>
      <c r="AK218" s="19">
        <v>0</v>
      </c>
      <c r="AL218" s="20">
        <v>768834</v>
      </c>
      <c r="AM218" s="19">
        <v>0</v>
      </c>
      <c r="AN218" s="20">
        <v>0</v>
      </c>
      <c r="AO218" s="19">
        <v>0</v>
      </c>
      <c r="AP218" s="20">
        <v>0</v>
      </c>
      <c r="AQ218" s="19">
        <v>0</v>
      </c>
      <c r="AR218" s="28">
        <v>0</v>
      </c>
    </row>
    <row r="219" spans="1:44" x14ac:dyDescent="0.25">
      <c r="A219" s="29" t="s">
        <v>1418</v>
      </c>
      <c r="B219" s="14" t="s">
        <v>2393</v>
      </c>
      <c r="C219" s="31" t="s">
        <v>1468</v>
      </c>
      <c r="D219" s="30" t="s">
        <v>1543</v>
      </c>
      <c r="E219" s="32" t="s">
        <v>1545</v>
      </c>
      <c r="F219" s="298">
        <v>43739</v>
      </c>
      <c r="G219" s="321"/>
      <c r="H219" s="321">
        <v>379875.48</v>
      </c>
      <c r="I219" s="321"/>
      <c r="J219" s="321"/>
      <c r="K219" s="33">
        <v>0</v>
      </c>
      <c r="L219" s="33">
        <v>0</v>
      </c>
      <c r="M219" s="33">
        <v>0</v>
      </c>
      <c r="N219" s="33">
        <v>15.75</v>
      </c>
      <c r="O219" s="33">
        <v>0</v>
      </c>
      <c r="P219" s="33">
        <v>12.51</v>
      </c>
      <c r="Q219" s="33">
        <v>0</v>
      </c>
      <c r="R219" s="33">
        <v>7</v>
      </c>
      <c r="S219" s="33">
        <v>0</v>
      </c>
      <c r="T219" s="33">
        <v>1</v>
      </c>
      <c r="U219" s="33">
        <v>0</v>
      </c>
      <c r="V219" s="33">
        <v>777</v>
      </c>
      <c r="W219" s="33">
        <v>0</v>
      </c>
      <c r="X219" s="33">
        <v>36.912999999999997</v>
      </c>
      <c r="Y219" s="33">
        <v>0</v>
      </c>
      <c r="Z219" s="33">
        <v>79.539000000000001</v>
      </c>
      <c r="AA219" s="33">
        <v>0</v>
      </c>
      <c r="AB219" s="33">
        <v>42626</v>
      </c>
      <c r="AC219" s="33">
        <v>0</v>
      </c>
      <c r="AD219" s="34">
        <v>55163</v>
      </c>
      <c r="AE219" s="33">
        <v>0</v>
      </c>
      <c r="AF219" s="34">
        <v>11</v>
      </c>
      <c r="AG219" s="33">
        <v>0</v>
      </c>
      <c r="AH219" s="34">
        <v>1</v>
      </c>
      <c r="AI219" s="33">
        <v>0</v>
      </c>
      <c r="AJ219" s="34">
        <v>129</v>
      </c>
      <c r="AK219" s="33">
        <v>0</v>
      </c>
      <c r="AL219" s="34">
        <v>180034</v>
      </c>
      <c r="AM219" s="33">
        <v>0</v>
      </c>
      <c r="AN219" s="34">
        <v>0</v>
      </c>
      <c r="AO219" s="33">
        <v>0</v>
      </c>
      <c r="AP219" s="34">
        <v>1.4999999999999999E-2</v>
      </c>
      <c r="AQ219" s="33">
        <v>0</v>
      </c>
      <c r="AR219" s="35">
        <v>1.4999999999999999E-2</v>
      </c>
    </row>
    <row r="220" spans="1:44" x14ac:dyDescent="0.25">
      <c r="A220" s="591"/>
      <c r="B220" s="592"/>
      <c r="C220" s="593"/>
      <c r="D220" s="592"/>
      <c r="E220" s="594"/>
      <c r="F220" s="592"/>
      <c r="G220" s="595">
        <f>SUBTOTAL(109,zonfp[Stĺpec7])</f>
        <v>0</v>
      </c>
      <c r="H220" s="595">
        <f>SUBTOTAL(109,zonfp[Stĺpec8])</f>
        <v>73678288.830000013</v>
      </c>
      <c r="I220" s="595">
        <f>SUBTOTAL(109,zonfp[Stĺpec9])</f>
        <v>0</v>
      </c>
      <c r="J220" s="595">
        <f>SUBTOTAL(109,zonfp[Stĺpec10])</f>
        <v>1570333.6600000001</v>
      </c>
      <c r="K220" s="596">
        <f>SUBTOTAL(109,zonfp[Stĺpec11])</f>
        <v>0</v>
      </c>
      <c r="L220" s="596">
        <f>SUBTOTAL(109,zonfp[Stĺpec12])</f>
        <v>299.20629999999994</v>
      </c>
      <c r="M220" s="596">
        <f>SUBTOTAL(109,zonfp[Stĺpec13])</f>
        <v>0</v>
      </c>
      <c r="N220" s="596">
        <f>SUBTOTAL(109,zonfp[Stĺpec14])</f>
        <v>1359.9761999999994</v>
      </c>
      <c r="O220" s="596">
        <f>SUBTOTAL(109,zonfp[Stĺpec15])</f>
        <v>0</v>
      </c>
      <c r="P220" s="596">
        <f>SUBTOTAL(109,zonfp[Stĺpec16])</f>
        <v>8572.2390999999989</v>
      </c>
      <c r="Q220" s="596">
        <f>SUBTOTAL(109,zonfp[Stĺpec17])</f>
        <v>0</v>
      </c>
      <c r="R220" s="596">
        <f>SUBTOTAL(109,zonfp[Stĺpec18])</f>
        <v>952</v>
      </c>
      <c r="S220" s="596">
        <f>SUBTOTAL(109,zonfp[Stĺpec19])</f>
        <v>0</v>
      </c>
      <c r="T220" s="596">
        <f>SUBTOTAL(109,zonfp[Stĺpec20])</f>
        <v>237</v>
      </c>
      <c r="U220" s="596">
        <f>SUBTOTAL(109,zonfp[Stĺpec21])</f>
        <v>0</v>
      </c>
      <c r="V220" s="596">
        <f>SUBTOTAL(109,zonfp[Stĺpec22])</f>
        <v>389174.42140000034</v>
      </c>
      <c r="W220" s="596">
        <f>SUBTOTAL(109,zonfp[Stĺpec23])</f>
        <v>0</v>
      </c>
      <c r="X220" s="596">
        <f>SUBTOTAL(109,zonfp[Stĺpec24])</f>
        <v>81874.157100000011</v>
      </c>
      <c r="Y220" s="596">
        <f>SUBTOTAL(109,zonfp[Stĺpec25])</f>
        <v>0</v>
      </c>
      <c r="Z220" s="596">
        <f>SUBTOTAL(109,zonfp[Stĺpec26])</f>
        <v>289079.4271000002</v>
      </c>
      <c r="AA220" s="596">
        <f>SUBTOTAL(109,zonfp[Stĺpec27])</f>
        <v>0</v>
      </c>
      <c r="AB220" s="596">
        <f>SUBTOTAL(109,zonfp[Stĺpec28])</f>
        <v>39300115.495700009</v>
      </c>
      <c r="AC220" s="596">
        <f>SUBTOTAL(109,zonfp[Stĺpec29])</f>
        <v>0</v>
      </c>
      <c r="AD220" s="596">
        <f>SUBTOTAL(109,zonfp[Stĺpec30])</f>
        <v>41861128.859000005</v>
      </c>
      <c r="AE220" s="596">
        <f>SUBTOTAL(109,zonfp[Stĺpec31])</f>
        <v>0</v>
      </c>
      <c r="AF220" s="596">
        <f>SUBTOTAL(109,zonfp[Stĺpec32])</f>
        <v>285587.84079999995</v>
      </c>
      <c r="AG220" s="596">
        <f>SUBTOTAL(109,zonfp[Stĺpec33])</f>
        <v>0</v>
      </c>
      <c r="AH220" s="596">
        <f>SUBTOTAL(109,zonfp[Stĺpec34])</f>
        <v>120106.24269999999</v>
      </c>
      <c r="AI220" s="596">
        <f>SUBTOTAL(109,zonfp[Stĺpec35])</f>
        <v>0</v>
      </c>
      <c r="AJ220" s="596">
        <f>SUBTOTAL(109,zonfp[Stĺpec36])</f>
        <v>73105.249400000073</v>
      </c>
      <c r="AK220" s="596">
        <f>SUBTOTAL(109,zonfp[Stĺpec37])</f>
        <v>0</v>
      </c>
      <c r="AL220" s="596">
        <f>SUBTOTAL(109,zonfp[Stĺpec38])</f>
        <v>49251108.136700004</v>
      </c>
      <c r="AM220" s="596">
        <f>SUBTOTAL(109,zonfp[Stĺpec39])</f>
        <v>0</v>
      </c>
      <c r="AN220" s="596">
        <f>SUBTOTAL(109,zonfp[Stĺpec40])</f>
        <v>73.105400000000003</v>
      </c>
      <c r="AO220" s="596">
        <f>SUBTOTAL(109,zonfp[Stĺpec41])</f>
        <v>0</v>
      </c>
      <c r="AP220" s="596">
        <f>SUBTOTAL(109,zonfp[Stĺpec42])</f>
        <v>295.03139999999996</v>
      </c>
      <c r="AQ220" s="596">
        <f>SUBTOTAL(109,zonfp[Stĺpec43])</f>
        <v>0</v>
      </c>
      <c r="AR220" s="596">
        <f>SUBTOTAL(109,zonfp[Stĺpec44])</f>
        <v>219.08639999999991</v>
      </c>
    </row>
  </sheetData>
  <sheetProtection algorithmName="SHA-512" hashValue="Cp+sT4SV+dAPtexqCjOtqI5zUzPOThsZlratuV5jxX5wcrlt1jnG5cSjTuRU/I6qmrstbm4IAR0HTRg8O4Tgow==" saltValue="kRIgekn1zUzthUWgv4KrKQ==" spinCount="100000" sheet="1" objects="1" scenarios="1" autoFilter="0"/>
  <mergeCells count="61">
    <mergeCell ref="G1:G3"/>
    <mergeCell ref="H1:H3"/>
    <mergeCell ref="I1:I3"/>
    <mergeCell ref="J1:J3"/>
    <mergeCell ref="AI3:A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K3:AL3"/>
    <mergeCell ref="AM3:AN3"/>
    <mergeCell ref="AO3:AP3"/>
    <mergeCell ref="AQ3:AR3"/>
    <mergeCell ref="AG3:AH3"/>
    <mergeCell ref="AQ2:AR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I1:AJ1"/>
    <mergeCell ref="AK1:AL1"/>
    <mergeCell ref="AM1:AN1"/>
    <mergeCell ref="AO1:AP1"/>
    <mergeCell ref="AQ1:AR1"/>
    <mergeCell ref="K2:L2"/>
    <mergeCell ref="M2:N2"/>
    <mergeCell ref="O2:P2"/>
    <mergeCell ref="Q2:R2"/>
    <mergeCell ref="S2:T2"/>
    <mergeCell ref="AG1:AH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20"/>
  <sheetViews>
    <sheetView zoomScale="80" zoomScaleNormal="80" workbookViewId="0">
      <selection activeCell="C12" sqref="C12"/>
    </sheetView>
  </sheetViews>
  <sheetFormatPr defaultRowHeight="15" x14ac:dyDescent="0.25"/>
  <cols>
    <col min="1" max="1" width="18.28515625" customWidth="1"/>
    <col min="2" max="2" width="22.140625" bestFit="1" customWidth="1"/>
    <col min="3" max="3" width="22" bestFit="1" customWidth="1"/>
    <col min="4" max="4" width="36.42578125" bestFit="1" customWidth="1"/>
    <col min="5" max="10" width="16.42578125" customWidth="1"/>
    <col min="11" max="13" width="11.42578125" customWidth="1"/>
    <col min="14" max="14" width="14.42578125" customWidth="1"/>
    <col min="15" max="32" width="11.42578125" customWidth="1"/>
  </cols>
  <sheetData>
    <row r="1" spans="1:34" ht="45.75" customHeight="1" x14ac:dyDescent="0.25">
      <c r="A1" s="1548" t="s">
        <v>476</v>
      </c>
      <c r="B1" s="1548" t="s">
        <v>477</v>
      </c>
      <c r="C1" s="1548" t="s">
        <v>478</v>
      </c>
      <c r="D1" s="1548" t="s">
        <v>479</v>
      </c>
      <c r="E1" s="1548" t="s">
        <v>481</v>
      </c>
      <c r="F1" s="1550" t="s">
        <v>684</v>
      </c>
      <c r="G1" s="1550" t="s">
        <v>2020</v>
      </c>
      <c r="H1" s="1550" t="s">
        <v>2021</v>
      </c>
      <c r="I1" s="1550" t="s">
        <v>2439</v>
      </c>
      <c r="J1" s="1572" t="s">
        <v>2022</v>
      </c>
      <c r="K1" s="1560" t="s">
        <v>130</v>
      </c>
      <c r="L1" s="1561"/>
      <c r="M1" s="1562"/>
      <c r="N1" s="1560" t="s">
        <v>1859</v>
      </c>
      <c r="O1" s="1561"/>
      <c r="P1" s="1561"/>
      <c r="Q1" s="1562"/>
      <c r="R1" s="1560" t="s">
        <v>392</v>
      </c>
      <c r="S1" s="1561"/>
      <c r="T1" s="1561"/>
      <c r="U1" s="1562"/>
      <c r="V1" s="1560" t="s">
        <v>395</v>
      </c>
      <c r="W1" s="1561"/>
      <c r="X1" s="1611"/>
      <c r="Y1" s="1559" t="s">
        <v>1860</v>
      </c>
      <c r="Z1" s="1559"/>
      <c r="AA1" s="1559" t="s">
        <v>1861</v>
      </c>
      <c r="AB1" s="1559"/>
      <c r="AC1" s="1559" t="s">
        <v>152</v>
      </c>
      <c r="AD1" s="1559"/>
      <c r="AE1" s="1586" t="s">
        <v>152</v>
      </c>
      <c r="AF1" s="1611"/>
      <c r="AG1" t="s">
        <v>128</v>
      </c>
    </row>
    <row r="2" spans="1:34" x14ac:dyDescent="0.25">
      <c r="A2" s="1549"/>
      <c r="B2" s="1549"/>
      <c r="C2" s="1549"/>
      <c r="D2" s="1549"/>
      <c r="E2" s="1549"/>
      <c r="F2" s="1550"/>
      <c r="G2" s="1550"/>
      <c r="H2" s="1550"/>
      <c r="I2" s="1550"/>
      <c r="J2" s="1572"/>
      <c r="K2" s="1563" t="s">
        <v>396</v>
      </c>
      <c r="L2" s="1570"/>
      <c r="M2" s="1564"/>
      <c r="N2" s="1563" t="s">
        <v>2407</v>
      </c>
      <c r="O2" s="1570"/>
      <c r="P2" s="1570"/>
      <c r="Q2" s="1564"/>
      <c r="R2" s="1563" t="s">
        <v>391</v>
      </c>
      <c r="S2" s="1570"/>
      <c r="T2" s="1570"/>
      <c r="U2" s="1564"/>
      <c r="V2" s="1563" t="s">
        <v>394</v>
      </c>
      <c r="W2" s="1570"/>
      <c r="X2" s="1612"/>
      <c r="Y2" s="1558" t="s">
        <v>1862</v>
      </c>
      <c r="Z2" s="1558"/>
      <c r="AA2" s="1558" t="s">
        <v>393</v>
      </c>
      <c r="AB2" s="1558"/>
      <c r="AC2" s="1558" t="s">
        <v>151</v>
      </c>
      <c r="AD2" s="1558"/>
      <c r="AE2" s="1558" t="s">
        <v>151</v>
      </c>
      <c r="AF2" s="1558"/>
      <c r="AG2" t="s">
        <v>2406</v>
      </c>
    </row>
    <row r="3" spans="1:34" x14ac:dyDescent="0.25">
      <c r="A3" s="1549"/>
      <c r="B3" s="1549"/>
      <c r="C3" s="1549"/>
      <c r="D3" s="1549"/>
      <c r="E3" s="1549"/>
      <c r="F3" s="1550"/>
      <c r="G3" s="1550"/>
      <c r="H3" s="1550"/>
      <c r="I3" s="1550"/>
      <c r="J3" s="1572"/>
      <c r="K3" s="1563" t="s">
        <v>471</v>
      </c>
      <c r="L3" s="1570"/>
      <c r="M3" s="1564"/>
      <c r="N3" s="1563" t="s">
        <v>475</v>
      </c>
      <c r="O3" s="1570"/>
      <c r="P3" s="1570"/>
      <c r="Q3" s="1564"/>
      <c r="R3" s="1563" t="s">
        <v>473</v>
      </c>
      <c r="S3" s="1570"/>
      <c r="T3" s="1570"/>
      <c r="U3" s="1564"/>
      <c r="V3" s="1563" t="s">
        <v>473</v>
      </c>
      <c r="W3" s="1570"/>
      <c r="X3" s="1612"/>
      <c r="Y3" s="1558" t="s">
        <v>473</v>
      </c>
      <c r="Z3" s="1558"/>
      <c r="AA3" s="1558" t="s">
        <v>474</v>
      </c>
      <c r="AB3" s="1558"/>
      <c r="AC3" s="1558" t="s">
        <v>436</v>
      </c>
      <c r="AD3" s="1558"/>
      <c r="AE3" s="1558" t="s">
        <v>437</v>
      </c>
      <c r="AF3" s="1558"/>
      <c r="AG3" s="1558" t="s">
        <v>15</v>
      </c>
      <c r="AH3" s="1558"/>
    </row>
    <row r="4" spans="1:34" ht="51" x14ac:dyDescent="0.25">
      <c r="A4" s="1554"/>
      <c r="B4" s="1554"/>
      <c r="C4" s="1554"/>
      <c r="D4" s="1554"/>
      <c r="E4" s="1554"/>
      <c r="F4" s="1550"/>
      <c r="G4" s="361" t="s">
        <v>410</v>
      </c>
      <c r="H4" s="361" t="s">
        <v>410</v>
      </c>
      <c r="I4" s="361" t="s">
        <v>410</v>
      </c>
      <c r="J4" s="441" t="s">
        <v>410</v>
      </c>
      <c r="K4" s="424" t="s">
        <v>484</v>
      </c>
      <c r="L4" s="91" t="s">
        <v>485</v>
      </c>
      <c r="M4" s="544" t="s">
        <v>2016</v>
      </c>
      <c r="N4" s="1250" t="s">
        <v>484</v>
      </c>
      <c r="O4" s="1251" t="s">
        <v>485</v>
      </c>
      <c r="P4" s="1251" t="s">
        <v>2405</v>
      </c>
      <c r="Q4" s="420" t="s">
        <v>2404</v>
      </c>
      <c r="R4" s="424" t="s">
        <v>484</v>
      </c>
      <c r="S4" s="91" t="s">
        <v>485</v>
      </c>
      <c r="T4" s="91" t="s">
        <v>2405</v>
      </c>
      <c r="U4" s="420" t="s">
        <v>2404</v>
      </c>
      <c r="V4" s="480" t="s">
        <v>484</v>
      </c>
      <c r="W4" s="91" t="s">
        <v>485</v>
      </c>
      <c r="X4" s="91"/>
      <c r="Y4" s="91" t="s">
        <v>484</v>
      </c>
      <c r="Z4" s="91" t="s">
        <v>485</v>
      </c>
      <c r="AA4" s="91" t="s">
        <v>484</v>
      </c>
      <c r="AB4" s="91" t="s">
        <v>485</v>
      </c>
      <c r="AC4" s="91" t="s">
        <v>484</v>
      </c>
      <c r="AD4" s="91" t="s">
        <v>485</v>
      </c>
      <c r="AE4" s="91" t="s">
        <v>484</v>
      </c>
      <c r="AF4" s="91" t="s">
        <v>485</v>
      </c>
      <c r="AG4" s="91" t="s">
        <v>484</v>
      </c>
      <c r="AH4" s="91" t="s">
        <v>485</v>
      </c>
    </row>
    <row r="5" spans="1:34" s="9" customFormat="1" ht="38.25" x14ac:dyDescent="0.25">
      <c r="A5" s="1255" t="s">
        <v>1863</v>
      </c>
      <c r="B5" s="1" t="s">
        <v>1864</v>
      </c>
      <c r="C5" s="1" t="s">
        <v>1865</v>
      </c>
      <c r="D5" s="1" t="s">
        <v>1866</v>
      </c>
      <c r="E5" s="1" t="s">
        <v>1544</v>
      </c>
      <c r="F5" s="1256">
        <v>42735</v>
      </c>
      <c r="G5" s="1257">
        <v>2991972.15</v>
      </c>
      <c r="H5" s="1257">
        <v>3605024.61</v>
      </c>
      <c r="I5" s="1258">
        <v>3605024.61</v>
      </c>
      <c r="J5" s="1259">
        <v>3605024.61</v>
      </c>
      <c r="K5" s="934" t="s">
        <v>413</v>
      </c>
      <c r="L5" s="935" t="s">
        <v>413</v>
      </c>
      <c r="M5" s="936" t="str">
        <f>K5</f>
        <v>N/A</v>
      </c>
      <c r="N5" s="1260">
        <v>120</v>
      </c>
      <c r="O5" s="365">
        <v>115.7</v>
      </c>
      <c r="P5" s="364">
        <v>65.989999999999995</v>
      </c>
      <c r="Q5" s="612">
        <v>49.71</v>
      </c>
      <c r="R5" s="1260" t="s">
        <v>413</v>
      </c>
      <c r="S5" s="364" t="s">
        <v>413</v>
      </c>
      <c r="T5" s="364" t="s">
        <v>413</v>
      </c>
      <c r="U5" s="612" t="s">
        <v>413</v>
      </c>
      <c r="V5" s="11" t="s">
        <v>413</v>
      </c>
      <c r="W5" s="935" t="s">
        <v>413</v>
      </c>
      <c r="X5" s="935"/>
      <c r="Y5" s="935" t="s">
        <v>413</v>
      </c>
      <c r="Z5" s="935" t="s">
        <v>413</v>
      </c>
      <c r="AA5" s="935" t="s">
        <v>413</v>
      </c>
      <c r="AB5" s="935" t="s">
        <v>413</v>
      </c>
      <c r="AC5" s="935" t="s">
        <v>413</v>
      </c>
      <c r="AD5" s="935" t="s">
        <v>413</v>
      </c>
      <c r="AE5" s="935" t="s">
        <v>413</v>
      </c>
      <c r="AF5" s="935" t="s">
        <v>413</v>
      </c>
    </row>
    <row r="6" spans="1:34" s="9" customFormat="1" ht="63.75" x14ac:dyDescent="0.25">
      <c r="A6" s="1255" t="s">
        <v>1867</v>
      </c>
      <c r="B6" s="1" t="s">
        <v>1868</v>
      </c>
      <c r="C6" s="1" t="s">
        <v>843</v>
      </c>
      <c r="D6" s="1" t="s">
        <v>1869</v>
      </c>
      <c r="E6" s="1" t="s">
        <v>1544</v>
      </c>
      <c r="F6" s="1256">
        <v>42705</v>
      </c>
      <c r="G6" s="1257">
        <v>2831434.46</v>
      </c>
      <c r="H6" s="1257">
        <v>3411592.89</v>
      </c>
      <c r="I6" s="1258">
        <v>3411592.89</v>
      </c>
      <c r="J6" s="1259">
        <v>3411592.89</v>
      </c>
      <c r="K6" s="934" t="s">
        <v>413</v>
      </c>
      <c r="L6" s="935" t="s">
        <v>413</v>
      </c>
      <c r="M6" s="936" t="str">
        <f t="shared" ref="M6:M9" si="0">K6</f>
        <v>N/A</v>
      </c>
      <c r="N6" s="1254">
        <v>60</v>
      </c>
      <c r="O6" s="365">
        <v>58.779899999999998</v>
      </c>
      <c r="P6" s="364">
        <v>38.206899999999997</v>
      </c>
      <c r="Q6" s="612">
        <v>20.573</v>
      </c>
      <c r="R6" s="1260" t="s">
        <v>413</v>
      </c>
      <c r="S6" s="364" t="s">
        <v>413</v>
      </c>
      <c r="T6" s="364" t="s">
        <v>413</v>
      </c>
      <c r="U6" s="612" t="s">
        <v>413</v>
      </c>
      <c r="V6" s="11" t="s">
        <v>413</v>
      </c>
      <c r="W6" s="935" t="s">
        <v>413</v>
      </c>
      <c r="X6" s="935"/>
      <c r="Y6" s="935" t="s">
        <v>413</v>
      </c>
      <c r="Z6" s="935" t="s">
        <v>413</v>
      </c>
      <c r="AA6" s="935" t="s">
        <v>413</v>
      </c>
      <c r="AB6" s="935" t="s">
        <v>413</v>
      </c>
      <c r="AC6" s="935" t="s">
        <v>413</v>
      </c>
      <c r="AD6" s="935" t="s">
        <v>413</v>
      </c>
      <c r="AE6" s="935" t="s">
        <v>413</v>
      </c>
      <c r="AF6" s="935" t="s">
        <v>413</v>
      </c>
    </row>
    <row r="7" spans="1:34" s="9" customFormat="1" ht="63.75" x14ac:dyDescent="0.25">
      <c r="A7" s="1255" t="s">
        <v>1870</v>
      </c>
      <c r="B7" s="1" t="s">
        <v>1871</v>
      </c>
      <c r="C7" s="1" t="s">
        <v>564</v>
      </c>
      <c r="D7" s="1" t="s">
        <v>1872</v>
      </c>
      <c r="E7" s="1" t="s">
        <v>1544</v>
      </c>
      <c r="F7" s="1256">
        <v>42705</v>
      </c>
      <c r="G7" s="1257">
        <v>4153759</v>
      </c>
      <c r="H7" s="1257">
        <v>5004860.5599999996</v>
      </c>
      <c r="I7" s="1258">
        <v>5004860.5599999996</v>
      </c>
      <c r="J7" s="1259">
        <v>5004860.5599999996</v>
      </c>
      <c r="K7" s="934" t="s">
        <v>413</v>
      </c>
      <c r="L7" s="935" t="s">
        <v>413</v>
      </c>
      <c r="M7" s="936" t="str">
        <f t="shared" si="0"/>
        <v>N/A</v>
      </c>
      <c r="N7" s="1260">
        <v>134</v>
      </c>
      <c r="O7" s="365">
        <v>105</v>
      </c>
      <c r="P7" s="365">
        <v>59</v>
      </c>
      <c r="Q7" s="613">
        <v>46</v>
      </c>
      <c r="R7" s="1260" t="s">
        <v>413</v>
      </c>
      <c r="S7" s="364" t="s">
        <v>413</v>
      </c>
      <c r="T7" s="364" t="s">
        <v>413</v>
      </c>
      <c r="U7" s="612" t="s">
        <v>413</v>
      </c>
      <c r="V7" s="11" t="s">
        <v>413</v>
      </c>
      <c r="W7" s="935" t="s">
        <v>413</v>
      </c>
      <c r="X7" s="935"/>
      <c r="Y7" s="935" t="s">
        <v>413</v>
      </c>
      <c r="Z7" s="935" t="s">
        <v>413</v>
      </c>
      <c r="AA7" s="935" t="s">
        <v>413</v>
      </c>
      <c r="AB7" s="935" t="s">
        <v>413</v>
      </c>
      <c r="AC7" s="935" t="s">
        <v>413</v>
      </c>
      <c r="AD7" s="935" t="s">
        <v>413</v>
      </c>
      <c r="AE7" s="935" t="s">
        <v>413</v>
      </c>
      <c r="AF7" s="935" t="s">
        <v>413</v>
      </c>
      <c r="AH7" s="9">
        <v>0</v>
      </c>
    </row>
    <row r="8" spans="1:34" s="9" customFormat="1" ht="38.25" x14ac:dyDescent="0.25">
      <c r="A8" s="1255" t="s">
        <v>1873</v>
      </c>
      <c r="B8" s="1" t="s">
        <v>1864</v>
      </c>
      <c r="C8" s="1" t="s">
        <v>1865</v>
      </c>
      <c r="D8" s="1" t="s">
        <v>1874</v>
      </c>
      <c r="E8" s="1" t="s">
        <v>1544</v>
      </c>
      <c r="F8" s="1256">
        <v>42705</v>
      </c>
      <c r="G8" s="1257">
        <v>235526.6</v>
      </c>
      <c r="H8" s="1257">
        <v>283785.78999999998</v>
      </c>
      <c r="I8" s="1258">
        <v>283785.78999999998</v>
      </c>
      <c r="J8" s="1259">
        <v>283785.78999999998</v>
      </c>
      <c r="K8" s="934" t="s">
        <v>413</v>
      </c>
      <c r="L8" s="935" t="s">
        <v>413</v>
      </c>
      <c r="M8" s="936" t="str">
        <f t="shared" si="0"/>
        <v>N/A</v>
      </c>
      <c r="N8" s="1260" t="s">
        <v>413</v>
      </c>
      <c r="O8" s="364" t="s">
        <v>413</v>
      </c>
      <c r="P8" s="364" t="s">
        <v>413</v>
      </c>
      <c r="Q8" s="614" t="s">
        <v>413</v>
      </c>
      <c r="R8" s="1260">
        <v>120</v>
      </c>
      <c r="S8" s="364">
        <v>115.7</v>
      </c>
      <c r="T8" s="364">
        <v>65.989999999999995</v>
      </c>
      <c r="U8" s="612">
        <v>49.71</v>
      </c>
      <c r="V8" s="11" t="s">
        <v>413</v>
      </c>
      <c r="W8" s="935" t="s">
        <v>413</v>
      </c>
      <c r="X8" s="935"/>
      <c r="Y8" s="935">
        <v>0</v>
      </c>
      <c r="Z8" s="935">
        <v>0</v>
      </c>
      <c r="AA8" s="935">
        <v>1</v>
      </c>
      <c r="AB8" s="935">
        <v>1</v>
      </c>
      <c r="AC8" s="935" t="s">
        <v>413</v>
      </c>
      <c r="AD8" s="935" t="s">
        <v>413</v>
      </c>
      <c r="AE8" s="935" t="s">
        <v>413</v>
      </c>
      <c r="AF8" s="935" t="s">
        <v>413</v>
      </c>
    </row>
    <row r="9" spans="1:34" s="9" customFormat="1" ht="38.25" x14ac:dyDescent="0.25">
      <c r="A9" s="1255" t="s">
        <v>1875</v>
      </c>
      <c r="B9" s="933" t="s">
        <v>1876</v>
      </c>
      <c r="C9" s="5" t="s">
        <v>979</v>
      </c>
      <c r="D9" s="5" t="s">
        <v>1877</v>
      </c>
      <c r="E9" s="1" t="s">
        <v>1544</v>
      </c>
      <c r="F9" s="1256">
        <v>42705</v>
      </c>
      <c r="G9" s="1257">
        <v>1146419.83</v>
      </c>
      <c r="H9" s="1257">
        <v>1381320.24</v>
      </c>
      <c r="I9" s="1258">
        <v>1381320.24</v>
      </c>
      <c r="J9" s="1259">
        <v>1381320.24</v>
      </c>
      <c r="K9" s="934" t="s">
        <v>413</v>
      </c>
      <c r="L9" s="935" t="s">
        <v>413</v>
      </c>
      <c r="M9" s="936" t="str">
        <f t="shared" si="0"/>
        <v>N/A</v>
      </c>
      <c r="N9" s="1260">
        <v>36</v>
      </c>
      <c r="O9" s="365">
        <v>33.729999999999997</v>
      </c>
      <c r="P9" s="365">
        <v>20.11</v>
      </c>
      <c r="Q9" s="615">
        <v>13.62</v>
      </c>
      <c r="R9" s="1260" t="s">
        <v>413</v>
      </c>
      <c r="S9" s="364" t="s">
        <v>413</v>
      </c>
      <c r="T9" s="364" t="s">
        <v>413</v>
      </c>
      <c r="U9" s="612" t="s">
        <v>413</v>
      </c>
      <c r="V9" s="11" t="s">
        <v>413</v>
      </c>
      <c r="W9" s="935" t="s">
        <v>413</v>
      </c>
      <c r="X9" s="935"/>
      <c r="Y9" s="935" t="s">
        <v>413</v>
      </c>
      <c r="Z9" s="935" t="s">
        <v>413</v>
      </c>
      <c r="AA9" s="935" t="s">
        <v>413</v>
      </c>
      <c r="AB9" s="935" t="s">
        <v>413</v>
      </c>
      <c r="AC9" s="935" t="s">
        <v>413</v>
      </c>
      <c r="AD9" s="935" t="s">
        <v>413</v>
      </c>
      <c r="AE9" s="935" t="s">
        <v>413</v>
      </c>
      <c r="AF9" s="935" t="s">
        <v>413</v>
      </c>
    </row>
    <row r="10" spans="1:34" s="9" customFormat="1" x14ac:dyDescent="0.25">
      <c r="G10" s="1261">
        <f>SUM(G5:G9)</f>
        <v>11359112.039999999</v>
      </c>
      <c r="H10" s="1261">
        <f t="shared" ref="H10:J10" si="1">SUM(H5:H9)</f>
        <v>13686584.089999998</v>
      </c>
      <c r="I10" s="1262">
        <f t="shared" si="1"/>
        <v>13686584.089999998</v>
      </c>
      <c r="J10" s="1263">
        <f t="shared" si="1"/>
        <v>13686584.089999998</v>
      </c>
      <c r="K10" s="245">
        <f>SUM(K5:K9)</f>
        <v>0</v>
      </c>
      <c r="L10" s="94">
        <f>SUM(L5:L9)</f>
        <v>0</v>
      </c>
      <c r="M10" s="246">
        <f>SUM(M5:M9)</f>
        <v>0</v>
      </c>
      <c r="N10" s="1252">
        <f>SUM(N5:N9)</f>
        <v>350</v>
      </c>
      <c r="O10" s="1253">
        <f t="shared" ref="O10:AF10" si="2">SUM(O5:O9)</f>
        <v>313.2099</v>
      </c>
      <c r="P10" s="1253">
        <f>SUM(P5:P9)</f>
        <v>183.30689999999998</v>
      </c>
      <c r="Q10" s="246">
        <f>SUM(Q5:Q9)</f>
        <v>129.90299999999999</v>
      </c>
      <c r="R10" s="245">
        <f t="shared" si="2"/>
        <v>120</v>
      </c>
      <c r="S10" s="94">
        <f t="shared" si="2"/>
        <v>115.7</v>
      </c>
      <c r="T10" s="94">
        <f>SUM(T5:T9)</f>
        <v>65.989999999999995</v>
      </c>
      <c r="U10" s="246">
        <f>SUM(U5:U9)</f>
        <v>49.71</v>
      </c>
      <c r="V10" s="239">
        <f t="shared" si="2"/>
        <v>0</v>
      </c>
      <c r="W10" s="94">
        <f t="shared" si="2"/>
        <v>0</v>
      </c>
      <c r="X10" s="94"/>
      <c r="Y10" s="94">
        <f t="shared" si="2"/>
        <v>0</v>
      </c>
      <c r="Z10" s="94">
        <f t="shared" si="2"/>
        <v>0</v>
      </c>
      <c r="AA10" s="94">
        <f t="shared" si="2"/>
        <v>1</v>
      </c>
      <c r="AB10" s="94">
        <f t="shared" si="2"/>
        <v>1</v>
      </c>
      <c r="AC10" s="94">
        <f t="shared" si="2"/>
        <v>0</v>
      </c>
      <c r="AD10" s="94">
        <f t="shared" si="2"/>
        <v>0</v>
      </c>
      <c r="AE10" s="94">
        <f t="shared" si="2"/>
        <v>0</v>
      </c>
      <c r="AF10" s="94">
        <f t="shared" si="2"/>
        <v>0</v>
      </c>
    </row>
    <row r="16" spans="1:34" x14ac:dyDescent="0.25">
      <c r="P16" s="363"/>
      <c r="Q16" s="363"/>
    </row>
    <row r="20" spans="16:16" x14ac:dyDescent="0.25">
      <c r="P20" s="363"/>
    </row>
  </sheetData>
  <sheetProtection algorithmName="SHA-512" hashValue="clbEPaz6W4Wfh0nWldqoTIU4fIYUhJX5SpYbbuObZ/S0psa7lIyt7IvclrBKcKvEsLES626o+dH8G5wcMA8B/Q==" saltValue="pz6Hqh8NAK1AQZ5NSz+iWw==" spinCount="100000" sheet="1" objects="1" scenarios="1" autoFilter="0"/>
  <mergeCells count="35">
    <mergeCell ref="AA2:AB2"/>
    <mergeCell ref="AC2:AD2"/>
    <mergeCell ref="K3:M3"/>
    <mergeCell ref="V1:X1"/>
    <mergeCell ref="V2:X2"/>
    <mergeCell ref="V3:X3"/>
    <mergeCell ref="Y1:Z1"/>
    <mergeCell ref="K1:M1"/>
    <mergeCell ref="K2:M2"/>
    <mergeCell ref="A1:A4"/>
    <mergeCell ref="B1:B4"/>
    <mergeCell ref="C1:C4"/>
    <mergeCell ref="D1:D4"/>
    <mergeCell ref="E1:E4"/>
    <mergeCell ref="G1:G3"/>
    <mergeCell ref="H1:H3"/>
    <mergeCell ref="I1:I3"/>
    <mergeCell ref="J1:J3"/>
    <mergeCell ref="F1:F4"/>
    <mergeCell ref="AG3:AH3"/>
    <mergeCell ref="R1:U1"/>
    <mergeCell ref="R2:U2"/>
    <mergeCell ref="R3:U3"/>
    <mergeCell ref="N1:Q1"/>
    <mergeCell ref="N2:Q2"/>
    <mergeCell ref="N3:Q3"/>
    <mergeCell ref="AC1:AD1"/>
    <mergeCell ref="AE1:AF1"/>
    <mergeCell ref="AE2:AF2"/>
    <mergeCell ref="AE3:AF3"/>
    <mergeCell ref="AA1:AB1"/>
    <mergeCell ref="AC3:AD3"/>
    <mergeCell ref="Y3:Z3"/>
    <mergeCell ref="AA3:AB3"/>
    <mergeCell ref="Y2:Z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6"/>
  <sheetViews>
    <sheetView tabSelected="1" zoomScale="70" zoomScaleNormal="70" workbookViewId="0">
      <selection activeCell="I18" sqref="I18"/>
    </sheetView>
  </sheetViews>
  <sheetFormatPr defaultRowHeight="15" x14ac:dyDescent="0.25"/>
  <cols>
    <col min="1" max="1" width="15" customWidth="1"/>
    <col min="2" max="2" width="22.140625" bestFit="1" customWidth="1"/>
    <col min="3" max="3" width="22" bestFit="1" customWidth="1"/>
    <col min="4" max="4" width="36.42578125" bestFit="1" customWidth="1"/>
    <col min="5" max="10" width="16.42578125" customWidth="1"/>
    <col min="11" max="20" width="11.42578125" customWidth="1"/>
  </cols>
  <sheetData>
    <row r="1" spans="1:26" ht="60.75" customHeight="1" x14ac:dyDescent="0.25">
      <c r="A1" s="1548" t="s">
        <v>709</v>
      </c>
      <c r="B1" s="1548" t="s">
        <v>477</v>
      </c>
      <c r="C1" s="1548" t="s">
        <v>710</v>
      </c>
      <c r="D1" s="1548" t="s">
        <v>711</v>
      </c>
      <c r="E1" s="1548" t="s">
        <v>712</v>
      </c>
      <c r="F1" s="1550" t="s">
        <v>684</v>
      </c>
      <c r="G1" s="1550" t="s">
        <v>2020</v>
      </c>
      <c r="H1" s="1550" t="s">
        <v>2021</v>
      </c>
      <c r="I1" s="1615" t="s">
        <v>2032</v>
      </c>
      <c r="J1" s="1550" t="s">
        <v>2022</v>
      </c>
      <c r="K1" s="1580" t="s">
        <v>130</v>
      </c>
      <c r="L1" s="1580"/>
      <c r="M1" s="1580" t="s">
        <v>1859</v>
      </c>
      <c r="N1" s="1580"/>
      <c r="O1" s="1580" t="s">
        <v>392</v>
      </c>
      <c r="P1" s="1580"/>
      <c r="Q1" s="1580" t="s">
        <v>395</v>
      </c>
      <c r="R1" s="1580"/>
      <c r="S1" s="1580" t="s">
        <v>1860</v>
      </c>
      <c r="T1" s="1580"/>
      <c r="U1" s="1580" t="s">
        <v>1861</v>
      </c>
      <c r="V1" s="1580"/>
      <c r="W1" s="1580" t="s">
        <v>152</v>
      </c>
      <c r="X1" s="1580"/>
      <c r="Y1" s="1541" t="s">
        <v>152</v>
      </c>
      <c r="Z1" s="1539"/>
    </row>
    <row r="2" spans="1:26" x14ac:dyDescent="0.25">
      <c r="A2" s="1549"/>
      <c r="B2" s="1549"/>
      <c r="C2" s="1549"/>
      <c r="D2" s="1549"/>
      <c r="E2" s="1549"/>
      <c r="F2" s="1550"/>
      <c r="G2" s="1550"/>
      <c r="H2" s="1550"/>
      <c r="I2" s="1615"/>
      <c r="J2" s="1550"/>
      <c r="K2" s="1579" t="s">
        <v>396</v>
      </c>
      <c r="L2" s="1579"/>
      <c r="M2" s="1579" t="s">
        <v>389</v>
      </c>
      <c r="N2" s="1579"/>
      <c r="O2" s="1579" t="s">
        <v>391</v>
      </c>
      <c r="P2" s="1579"/>
      <c r="Q2" s="1579" t="s">
        <v>394</v>
      </c>
      <c r="R2" s="1579"/>
      <c r="S2" s="1579" t="s">
        <v>1862</v>
      </c>
      <c r="T2" s="1579"/>
      <c r="U2" s="1579" t="s">
        <v>393</v>
      </c>
      <c r="V2" s="1579"/>
      <c r="W2" s="1579" t="s">
        <v>151</v>
      </c>
      <c r="X2" s="1579"/>
      <c r="Y2" s="1579" t="s">
        <v>151</v>
      </c>
      <c r="Z2" s="1579"/>
    </row>
    <row r="3" spans="1:26" x14ac:dyDescent="0.25">
      <c r="A3" s="1549"/>
      <c r="B3" s="1549"/>
      <c r="C3" s="1549"/>
      <c r="D3" s="1549"/>
      <c r="E3" s="1549"/>
      <c r="F3" s="1550"/>
      <c r="G3" s="1550"/>
      <c r="H3" s="1550"/>
      <c r="I3" s="1615"/>
      <c r="J3" s="1550"/>
      <c r="K3" s="1579" t="s">
        <v>471</v>
      </c>
      <c r="L3" s="1579"/>
      <c r="M3" s="1579" t="s">
        <v>475</v>
      </c>
      <c r="N3" s="1579"/>
      <c r="O3" s="1579" t="s">
        <v>473</v>
      </c>
      <c r="P3" s="1579"/>
      <c r="Q3" s="1579" t="s">
        <v>473</v>
      </c>
      <c r="R3" s="1579"/>
      <c r="S3" s="1579" t="s">
        <v>473</v>
      </c>
      <c r="T3" s="1579"/>
      <c r="U3" s="1579" t="s">
        <v>474</v>
      </c>
      <c r="V3" s="1579"/>
      <c r="W3" s="1579" t="s">
        <v>436</v>
      </c>
      <c r="X3" s="1579"/>
      <c r="Y3" s="1579" t="s">
        <v>437</v>
      </c>
      <c r="Z3" s="1579"/>
    </row>
    <row r="4" spans="1:26" ht="25.5" x14ac:dyDescent="0.25">
      <c r="A4" s="1554"/>
      <c r="B4" s="1554"/>
      <c r="C4" s="1554"/>
      <c r="D4" s="1554"/>
      <c r="E4" s="1554"/>
      <c r="F4" s="1550"/>
      <c r="G4" s="438" t="s">
        <v>410</v>
      </c>
      <c r="H4" s="438" t="s">
        <v>410</v>
      </c>
      <c r="I4" s="447" t="s">
        <v>410</v>
      </c>
      <c r="J4" s="438" t="s">
        <v>410</v>
      </c>
      <c r="K4" s="5" t="s">
        <v>1605</v>
      </c>
      <c r="L4" s="5" t="s">
        <v>713</v>
      </c>
      <c r="M4" s="5" t="s">
        <v>1605</v>
      </c>
      <c r="N4" s="5" t="s">
        <v>713</v>
      </c>
      <c r="O4" s="5" t="s">
        <v>1605</v>
      </c>
      <c r="P4" s="5" t="s">
        <v>713</v>
      </c>
      <c r="Q4" s="5" t="s">
        <v>1605</v>
      </c>
      <c r="R4" s="5" t="s">
        <v>713</v>
      </c>
      <c r="S4" s="5" t="s">
        <v>1605</v>
      </c>
      <c r="T4" s="5" t="s">
        <v>713</v>
      </c>
      <c r="U4" s="5" t="s">
        <v>1605</v>
      </c>
      <c r="V4" s="5" t="s">
        <v>713</v>
      </c>
      <c r="W4" s="5" t="s">
        <v>1605</v>
      </c>
      <c r="X4" s="5" t="s">
        <v>713</v>
      </c>
      <c r="Y4" s="5" t="s">
        <v>1605</v>
      </c>
      <c r="Z4" s="5" t="s">
        <v>713</v>
      </c>
    </row>
    <row r="5" spans="1:26" ht="76.5" x14ac:dyDescent="0.25">
      <c r="A5" s="102" t="s">
        <v>1878</v>
      </c>
      <c r="B5" s="103" t="s">
        <v>1868</v>
      </c>
      <c r="C5" s="103" t="s">
        <v>843</v>
      </c>
      <c r="D5" s="103" t="s">
        <v>1879</v>
      </c>
      <c r="E5" s="104" t="s">
        <v>1880</v>
      </c>
      <c r="F5" s="12">
        <v>43070</v>
      </c>
      <c r="G5" s="12"/>
      <c r="H5" s="610">
        <v>3404304.82</v>
      </c>
      <c r="I5" s="610">
        <v>0</v>
      </c>
      <c r="J5" s="610">
        <v>3404304.82</v>
      </c>
      <c r="K5" s="935" t="s">
        <v>413</v>
      </c>
      <c r="L5" s="935" t="s">
        <v>413</v>
      </c>
      <c r="M5" s="935">
        <v>83</v>
      </c>
      <c r="N5" s="935" t="s">
        <v>413</v>
      </c>
      <c r="O5" s="935" t="s">
        <v>413</v>
      </c>
      <c r="P5" s="935" t="s">
        <v>413</v>
      </c>
      <c r="Q5" s="935" t="s">
        <v>413</v>
      </c>
      <c r="R5" s="935" t="s">
        <v>413</v>
      </c>
      <c r="S5" s="935" t="s">
        <v>413</v>
      </c>
      <c r="T5" s="935" t="s">
        <v>413</v>
      </c>
      <c r="U5" s="935" t="s">
        <v>413</v>
      </c>
      <c r="V5" s="935" t="s">
        <v>413</v>
      </c>
      <c r="W5" s="935" t="s">
        <v>413</v>
      </c>
      <c r="X5" s="935" t="s">
        <v>413</v>
      </c>
      <c r="Y5" s="935" t="s">
        <v>413</v>
      </c>
      <c r="Z5" s="935" t="s">
        <v>413</v>
      </c>
    </row>
    <row r="6" spans="1:26" s="89" customFormat="1" ht="15" customHeight="1" x14ac:dyDescent="0.25">
      <c r="D6" s="1632" t="s">
        <v>2440</v>
      </c>
      <c r="E6" s="1632"/>
      <c r="F6" s="1632"/>
      <c r="G6" s="611">
        <f>SUM(G5)</f>
        <v>0</v>
      </c>
      <c r="H6" s="611">
        <f t="shared" ref="H6:J6" si="0">SUM(H5)</f>
        <v>3404304.82</v>
      </c>
      <c r="I6" s="611">
        <f t="shared" si="0"/>
        <v>0</v>
      </c>
      <c r="J6" s="611">
        <f t="shared" si="0"/>
        <v>3404304.82</v>
      </c>
      <c r="K6" s="88"/>
      <c r="L6" s="93" t="str">
        <f>K5</f>
        <v>N/A</v>
      </c>
      <c r="M6" s="88"/>
      <c r="N6" s="93">
        <f>M5</f>
        <v>83</v>
      </c>
      <c r="O6" s="88"/>
      <c r="P6" s="93" t="str">
        <f>O5</f>
        <v>N/A</v>
      </c>
      <c r="Q6" s="88"/>
      <c r="R6" s="93" t="str">
        <f>Q5</f>
        <v>N/A</v>
      </c>
      <c r="S6" s="88"/>
      <c r="T6" s="93" t="str">
        <f>S5</f>
        <v>N/A</v>
      </c>
      <c r="U6" s="88"/>
      <c r="V6" s="93" t="str">
        <f>U5</f>
        <v>N/A</v>
      </c>
      <c r="W6" s="88"/>
      <c r="X6" s="93" t="str">
        <f>W5</f>
        <v>N/A</v>
      </c>
      <c r="Y6" s="88"/>
      <c r="Z6" s="93" t="str">
        <f>Y5</f>
        <v>N/A</v>
      </c>
    </row>
  </sheetData>
  <sheetProtection algorithmName="SHA-512" hashValue="Mu+U0GhVRTKf6ljY9awHBA4MykeStJEtXzuq6C7MmlJC8h1OZ8okUmnPKkjV23grow43vnBRMP2jsFCwScEhCQ==" saltValue="UrFu8tnjWE2g+bugyu4TYQ==" spinCount="100000" sheet="1" objects="1" scenarios="1" autoFilter="0"/>
  <mergeCells count="35">
    <mergeCell ref="G1:G3"/>
    <mergeCell ref="H1:H3"/>
    <mergeCell ref="J1:J3"/>
    <mergeCell ref="I1:I3"/>
    <mergeCell ref="W3:X3"/>
    <mergeCell ref="U2:V2"/>
    <mergeCell ref="W2:X2"/>
    <mergeCell ref="Y3:Z3"/>
    <mergeCell ref="D6:F6"/>
    <mergeCell ref="K3:L3"/>
    <mergeCell ref="M3:N3"/>
    <mergeCell ref="O3:P3"/>
    <mergeCell ref="Q3:R3"/>
    <mergeCell ref="S3:T3"/>
    <mergeCell ref="U3:V3"/>
    <mergeCell ref="F1:F4"/>
    <mergeCell ref="W1:X1"/>
    <mergeCell ref="Y1:Z1"/>
    <mergeCell ref="K2:L2"/>
    <mergeCell ref="M2:N2"/>
    <mergeCell ref="O2:P2"/>
    <mergeCell ref="Q2:R2"/>
    <mergeCell ref="S2:T2"/>
    <mergeCell ref="Y2:Z2"/>
    <mergeCell ref="K1:L1"/>
    <mergeCell ref="M1:N1"/>
    <mergeCell ref="O1:P1"/>
    <mergeCell ref="Q1:R1"/>
    <mergeCell ref="S1:T1"/>
    <mergeCell ref="U1:V1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103"/>
  <sheetViews>
    <sheetView topLeftCell="B1" zoomScale="70" zoomScaleNormal="70" workbookViewId="0">
      <pane ySplit="9" topLeftCell="A49" activePane="bottomLeft" state="frozen"/>
      <selection pane="bottomLeft" activeCell="M50" sqref="M50"/>
    </sheetView>
  </sheetViews>
  <sheetFormatPr defaultRowHeight="15" x14ac:dyDescent="0.25"/>
  <cols>
    <col min="1" max="1" width="4.28515625" style="16" customWidth="1"/>
    <col min="2" max="2" width="17.5703125" style="16" customWidth="1"/>
    <col min="3" max="3" width="4.28515625" style="16" customWidth="1"/>
    <col min="4" max="4" width="21.28515625" style="16" customWidth="1"/>
    <col min="5" max="5" width="13.42578125" style="16" customWidth="1"/>
    <col min="6" max="6" width="17.28515625" style="16" customWidth="1"/>
    <col min="7" max="7" width="4" style="16" customWidth="1"/>
    <col min="8" max="8" width="59.5703125" style="16" customWidth="1"/>
    <col min="9" max="9" width="12" style="16" customWidth="1"/>
    <col min="10" max="10" width="57.28515625" style="16" customWidth="1"/>
    <col min="11" max="11" width="11.140625" style="16" customWidth="1"/>
    <col min="12" max="12" width="9.140625" style="25"/>
    <col min="13" max="13" width="15.42578125" style="150" customWidth="1"/>
    <col min="14" max="14" width="14.28515625" style="150" customWidth="1"/>
    <col min="15" max="15" width="11" style="149" customWidth="1"/>
    <col min="16" max="16" width="13.140625" style="16" customWidth="1"/>
    <col min="17" max="18" width="14.5703125" style="149" customWidth="1"/>
    <col min="19" max="19" width="11.7109375" style="149" customWidth="1"/>
    <col min="20" max="20" width="13.85546875" style="16" customWidth="1"/>
    <col min="21" max="21" width="12.28515625" style="16" customWidth="1"/>
    <col min="22" max="22" width="10.28515625" style="16" customWidth="1"/>
    <col min="23" max="23" width="11.28515625" style="16" customWidth="1"/>
    <col min="24" max="24" width="12.28515625" style="16" customWidth="1"/>
    <col min="25" max="27" width="10.140625" style="16" customWidth="1"/>
    <col min="28" max="28" width="17.5703125" style="16" customWidth="1"/>
    <col min="29" max="29" width="17.5703125" style="149" customWidth="1"/>
    <col min="30" max="30" width="17.5703125" style="777" customWidth="1"/>
    <col min="31" max="31" width="15.42578125" style="16" customWidth="1"/>
    <col min="32" max="32" width="14.7109375" style="16" customWidth="1"/>
    <col min="33" max="34" width="9.140625" style="16"/>
    <col min="36" max="16384" width="9.140625" style="16"/>
  </cols>
  <sheetData>
    <row r="1" spans="1:32" ht="43.5" hidden="1" customHeight="1" x14ac:dyDescent="0.35">
      <c r="B1" s="164" t="s">
        <v>1985</v>
      </c>
      <c r="C1" s="164"/>
      <c r="D1" s="165">
        <v>42794</v>
      </c>
    </row>
    <row r="2" spans="1:32" ht="22.5" hidden="1" customHeight="1" x14ac:dyDescent="0.25">
      <c r="B2" s="166" t="s">
        <v>1986</v>
      </c>
      <c r="C2" s="166"/>
      <c r="D2" s="448">
        <f ca="1">NOW()</f>
        <v>43252.639121412038</v>
      </c>
      <c r="K2" s="378"/>
      <c r="L2" s="369"/>
      <c r="M2" s="379"/>
    </row>
    <row r="3" spans="1:32" ht="21" hidden="1" customHeight="1" x14ac:dyDescent="0.25">
      <c r="D3" s="152"/>
      <c r="K3" s="378"/>
      <c r="L3" s="369"/>
      <c r="M3" s="379"/>
    </row>
    <row r="4" spans="1:32" ht="21" hidden="1" customHeight="1" x14ac:dyDescent="0.25">
      <c r="B4" s="1416" t="s">
        <v>1987</v>
      </c>
      <c r="C4" s="1416"/>
      <c r="D4" s="1416"/>
      <c r="E4" s="1416"/>
      <c r="K4" s="378"/>
      <c r="L4" s="369"/>
      <c r="M4" s="379"/>
    </row>
    <row r="5" spans="1:32" ht="15.75" hidden="1" customHeight="1" x14ac:dyDescent="0.25">
      <c r="B5" s="146" t="s">
        <v>1988</v>
      </c>
      <c r="C5" s="146"/>
      <c r="D5" s="146"/>
      <c r="E5" s="146"/>
      <c r="K5" s="301"/>
      <c r="L5" s="380"/>
      <c r="M5" s="379"/>
      <c r="O5" s="377"/>
      <c r="P5" s="376"/>
      <c r="Q5" s="377"/>
    </row>
    <row r="6" spans="1:32" ht="15" hidden="1" customHeight="1" x14ac:dyDescent="0.25">
      <c r="B6" s="148" t="s">
        <v>1992</v>
      </c>
      <c r="C6" s="147"/>
      <c r="D6" s="147"/>
      <c r="E6" s="147"/>
      <c r="O6" s="377"/>
    </row>
    <row r="7" spans="1:32" ht="19.5" hidden="1" customHeight="1" thickBot="1" x14ac:dyDescent="0.3">
      <c r="P7" s="1319"/>
      <c r="Q7" s="1319"/>
      <c r="R7" s="1319"/>
      <c r="S7" s="1319"/>
    </row>
    <row r="8" spans="1:32" ht="43.5" customHeight="1" thickTop="1" x14ac:dyDescent="0.25">
      <c r="A8" s="1320" t="s">
        <v>1898</v>
      </c>
      <c r="B8" s="1445"/>
      <c r="C8" s="1503" t="s">
        <v>1888</v>
      </c>
      <c r="D8" s="1503"/>
      <c r="E8" s="1326" t="s">
        <v>1851</v>
      </c>
      <c r="F8" s="1395"/>
      <c r="G8" s="1398" t="s">
        <v>1899</v>
      </c>
      <c r="H8" s="1398"/>
      <c r="I8" s="1393" t="s">
        <v>400</v>
      </c>
      <c r="J8" s="1393"/>
      <c r="K8" s="1393" t="s">
        <v>401</v>
      </c>
      <c r="L8" s="1393" t="s">
        <v>397</v>
      </c>
      <c r="M8" s="1417" t="s">
        <v>1900</v>
      </c>
      <c r="N8" s="1391" t="s">
        <v>2043</v>
      </c>
      <c r="O8" s="1501" t="s">
        <v>1901</v>
      </c>
      <c r="P8" s="1336" t="s">
        <v>2401</v>
      </c>
      <c r="Q8" s="1336"/>
      <c r="R8" s="1336"/>
      <c r="S8" s="1336"/>
      <c r="T8" s="1498" t="s">
        <v>2415</v>
      </c>
      <c r="U8" s="1336"/>
      <c r="V8" s="1336"/>
      <c r="W8" s="1336"/>
      <c r="X8" s="1336"/>
      <c r="Y8" s="1336"/>
      <c r="Z8" s="1336"/>
      <c r="AA8" s="1499"/>
      <c r="AB8" s="1382" t="s">
        <v>1852</v>
      </c>
      <c r="AC8" s="1385" t="s">
        <v>2450</v>
      </c>
      <c r="AD8" s="1386"/>
      <c r="AE8" s="1380" t="s">
        <v>2417</v>
      </c>
      <c r="AF8" s="1360" t="s">
        <v>1853</v>
      </c>
    </row>
    <row r="9" spans="1:32" ht="87.75" customHeight="1" thickBot="1" x14ac:dyDescent="0.3">
      <c r="A9" s="1446"/>
      <c r="B9" s="1447"/>
      <c r="C9" s="1504"/>
      <c r="D9" s="1504"/>
      <c r="E9" s="1396"/>
      <c r="F9" s="1397"/>
      <c r="G9" s="1399"/>
      <c r="H9" s="1399"/>
      <c r="I9" s="1394"/>
      <c r="J9" s="1394"/>
      <c r="K9" s="1394"/>
      <c r="L9" s="1394"/>
      <c r="M9" s="1418"/>
      <c r="N9" s="1392"/>
      <c r="O9" s="1502"/>
      <c r="P9" s="465" t="s">
        <v>2394</v>
      </c>
      <c r="Q9" s="461" t="s">
        <v>1994</v>
      </c>
      <c r="R9" s="462" t="s">
        <v>2018</v>
      </c>
      <c r="S9" s="463" t="s">
        <v>2019</v>
      </c>
      <c r="T9" s="757" t="s">
        <v>2395</v>
      </c>
      <c r="U9" s="461" t="s">
        <v>1994</v>
      </c>
      <c r="V9" s="462" t="s">
        <v>2018</v>
      </c>
      <c r="W9" s="463" t="s">
        <v>1993</v>
      </c>
      <c r="X9" s="464" t="s">
        <v>2396</v>
      </c>
      <c r="Y9" s="461" t="s">
        <v>1994</v>
      </c>
      <c r="Z9" s="462" t="s">
        <v>2018</v>
      </c>
      <c r="AA9" s="769" t="s">
        <v>1993</v>
      </c>
      <c r="AB9" s="1383"/>
      <c r="AC9" s="757" t="s">
        <v>2451</v>
      </c>
      <c r="AD9" s="778" t="s">
        <v>1994</v>
      </c>
      <c r="AE9" s="1381"/>
      <c r="AF9" s="1384"/>
    </row>
    <row r="10" spans="1:32" s="153" customFormat="1" ht="43.5" customHeight="1" thickTop="1" x14ac:dyDescent="0.25">
      <c r="A10" s="1284">
        <v>1</v>
      </c>
      <c r="B10" s="1342" t="s">
        <v>1927</v>
      </c>
      <c r="C10" s="1476">
        <v>42736</v>
      </c>
      <c r="D10" s="1474" t="s">
        <v>1902</v>
      </c>
      <c r="E10" s="1402" t="s">
        <v>3</v>
      </c>
      <c r="F10" s="1400" t="s">
        <v>1903</v>
      </c>
      <c r="G10" s="172" t="s">
        <v>1924</v>
      </c>
      <c r="H10" s="398" t="s">
        <v>1937</v>
      </c>
      <c r="I10" s="357" t="s">
        <v>32</v>
      </c>
      <c r="J10" s="133" t="s">
        <v>152</v>
      </c>
      <c r="K10" s="133" t="s">
        <v>151</v>
      </c>
      <c r="L10" s="134" t="s">
        <v>399</v>
      </c>
      <c r="M10" s="953">
        <v>322</v>
      </c>
      <c r="N10" s="953"/>
      <c r="O10" s="954"/>
      <c r="P10" s="814">
        <f>'Vystup. ukazovatele projektov'!M4</f>
        <v>0</v>
      </c>
      <c r="Q10" s="452">
        <f>IF(M10=0,0,P10/M10)</f>
        <v>0</v>
      </c>
      <c r="R10" s="953"/>
      <c r="S10" s="955"/>
      <c r="T10" s="799">
        <f>'Vystup. ukazovatele projektov'!K4</f>
        <v>0</v>
      </c>
      <c r="U10" s="956">
        <f t="shared" ref="U10:U29" si="0">IF(M10=0,0,T10/M10)</f>
        <v>0</v>
      </c>
      <c r="V10" s="956"/>
      <c r="W10" s="957"/>
      <c r="X10" s="834">
        <f>'Vystup. ukazovatele projektov'!L4</f>
        <v>0</v>
      </c>
      <c r="Y10" s="956">
        <f>IF(M10=0,0,X10/M10)</f>
        <v>0</v>
      </c>
      <c r="Z10" s="452"/>
      <c r="AA10" s="958"/>
      <c r="AB10" s="851">
        <f>'Vystup. ukazovatele projektov'!O4</f>
        <v>0</v>
      </c>
      <c r="AC10" s="852">
        <f t="shared" ref="AC10:AC11" si="1">T10+AB10</f>
        <v>0</v>
      </c>
      <c r="AD10" s="959">
        <f>IF(M10=0,0,AC10/M10)</f>
        <v>0</v>
      </c>
      <c r="AE10" s="879">
        <f>'Vystup. ukazovatele projektov'!N4</f>
        <v>0</v>
      </c>
      <c r="AF10" s="834">
        <f>'Vystup. ukazovatele projektov'!P4</f>
        <v>0</v>
      </c>
    </row>
    <row r="11" spans="1:32" s="153" customFormat="1" ht="43.5" customHeight="1" x14ac:dyDescent="0.25">
      <c r="A11" s="1285"/>
      <c r="B11" s="1343"/>
      <c r="C11" s="1477"/>
      <c r="D11" s="1475"/>
      <c r="E11" s="1403"/>
      <c r="F11" s="1401"/>
      <c r="G11" s="930" t="s">
        <v>1925</v>
      </c>
      <c r="H11" s="919" t="s">
        <v>1998</v>
      </c>
      <c r="I11" s="131" t="s">
        <v>26</v>
      </c>
      <c r="J11" s="121" t="s">
        <v>27</v>
      </c>
      <c r="K11" s="121" t="s">
        <v>154</v>
      </c>
      <c r="L11" s="122" t="s">
        <v>402</v>
      </c>
      <c r="M11" s="989">
        <v>21579</v>
      </c>
      <c r="N11" s="989">
        <v>8632</v>
      </c>
      <c r="O11" s="990"/>
      <c r="P11" s="815">
        <f>'Vystup. ukazovatele projektov'!M12</f>
        <v>0</v>
      </c>
      <c r="Q11" s="402">
        <f t="shared" ref="Q11:Q29" si="2">IF(M11=0,0,P11/M11)</f>
        <v>0</v>
      </c>
      <c r="R11" s="402">
        <f>IF(N11=0,0,P11/N11)</f>
        <v>0</v>
      </c>
      <c r="S11" s="991"/>
      <c r="T11" s="800">
        <f>'Vystup. ukazovatele projektov'!K12</f>
        <v>49075.859000000011</v>
      </c>
      <c r="U11" s="509">
        <f>IF(M11=0,0,T11/M11)</f>
        <v>2.2742415774595677</v>
      </c>
      <c r="V11" s="509">
        <f>IF(N11=0,0,T11/N11)</f>
        <v>5.6853404772937921</v>
      </c>
      <c r="W11" s="992"/>
      <c r="X11" s="835">
        <f>'Vystup. ukazovatele projektov'!L12</f>
        <v>43894.179000000018</v>
      </c>
      <c r="Y11" s="509">
        <f t="shared" ref="Y11:Y29" si="3">IF(M11=0,0,X11/M11)</f>
        <v>2.0341155289865154</v>
      </c>
      <c r="Z11" s="402">
        <f>IF(N11=0,0,X11/N11)</f>
        <v>5.085053174235405</v>
      </c>
      <c r="AA11" s="993"/>
      <c r="AB11" s="853">
        <f>'Vystup. ukazovatele projektov'!O12</f>
        <v>9548.4800000000014</v>
      </c>
      <c r="AC11" s="854">
        <f t="shared" si="1"/>
        <v>58624.339000000014</v>
      </c>
      <c r="AD11" s="994">
        <f>IF(M11=0,0,AC11/M11)</f>
        <v>2.716731034802355</v>
      </c>
      <c r="AE11" s="880">
        <f>'Vystup. ukazovatele projektov'!N12</f>
        <v>0</v>
      </c>
      <c r="AF11" s="835">
        <f>'Vystup. ukazovatele projektov'!P12</f>
        <v>0</v>
      </c>
    </row>
    <row r="12" spans="1:32" s="153" customFormat="1" ht="43.5" customHeight="1" x14ac:dyDescent="0.25">
      <c r="A12" s="1285"/>
      <c r="B12" s="1343"/>
      <c r="C12" s="1477"/>
      <c r="D12" s="1475"/>
      <c r="E12" s="1403"/>
      <c r="F12" s="1401"/>
      <c r="G12" s="1414" t="s">
        <v>1996</v>
      </c>
      <c r="H12" s="1387" t="s">
        <v>2474</v>
      </c>
      <c r="I12" s="131" t="s">
        <v>28</v>
      </c>
      <c r="J12" s="131" t="s">
        <v>29</v>
      </c>
      <c r="K12" s="131" t="s">
        <v>155</v>
      </c>
      <c r="L12" s="124" t="s">
        <v>402</v>
      </c>
      <c r="M12" s="995">
        <v>329676</v>
      </c>
      <c r="N12" s="989">
        <v>34579</v>
      </c>
      <c r="O12" s="990"/>
      <c r="P12" s="815">
        <f>'Vystup. ukazovatele projektov'!M13+'Vystup. ukazovatele projektov'!M20</f>
        <v>0</v>
      </c>
      <c r="Q12" s="402">
        <f>IF(M12=0,0,P12/M12)</f>
        <v>0</v>
      </c>
      <c r="R12" s="402">
        <f>IF(N12=0,0,P12/N12)</f>
        <v>0</v>
      </c>
      <c r="S12" s="991"/>
      <c r="T12" s="800">
        <f>'Vystup. ukazovatele projektov'!K13+'Vystup. ukazovatele projektov'!K20</f>
        <v>81236</v>
      </c>
      <c r="U12" s="509">
        <f>IF(M12=0,0,T12/M12)</f>
        <v>0.24641162838665842</v>
      </c>
      <c r="V12" s="509">
        <f>IF(N12=0,0,T12/N12)</f>
        <v>2.349287139593395</v>
      </c>
      <c r="W12" s="992"/>
      <c r="X12" s="835">
        <f>'Vystup. ukazovatele projektov'!L13+'Vystup. ukazovatele projektov'!L20</f>
        <v>27532</v>
      </c>
      <c r="Y12" s="509">
        <f>IF(M12=0,0,X12/M12)</f>
        <v>8.3512296921826282E-2</v>
      </c>
      <c r="Z12" s="402">
        <f>IF(N12=0,0,X12/N12)</f>
        <v>0.79620578964111166</v>
      </c>
      <c r="AA12" s="993"/>
      <c r="AB12" s="853">
        <f>'Vystup. ukazovatele projektov'!O13+'Vystup. ukazovatele projektov'!O20</f>
        <v>16110.5</v>
      </c>
      <c r="AC12" s="854">
        <f>T12+AB12</f>
        <v>97346.5</v>
      </c>
      <c r="AD12" s="994">
        <f>IF(M12=0,0,AC12/M12)</f>
        <v>0.29527930452929541</v>
      </c>
      <c r="AE12" s="815">
        <f>'Vystup. ukazovatele projektov'!N13+'Vystup. ukazovatele projektov'!N20</f>
        <v>0</v>
      </c>
      <c r="AF12" s="837">
        <f>'Vystup. ukazovatele projektov'!P13+'Vystup. ukazovatele projektov'!P20</f>
        <v>519534.11</v>
      </c>
    </row>
    <row r="13" spans="1:32" s="153" customFormat="1" ht="43.5" customHeight="1" x14ac:dyDescent="0.25">
      <c r="A13" s="1285"/>
      <c r="B13" s="1343"/>
      <c r="C13" s="1477"/>
      <c r="D13" s="1475"/>
      <c r="E13" s="1403"/>
      <c r="F13" s="1401"/>
      <c r="G13" s="1415"/>
      <c r="H13" s="1413"/>
      <c r="I13" s="721" t="s">
        <v>24</v>
      </c>
      <c r="J13" s="120" t="s">
        <v>2475</v>
      </c>
      <c r="K13" s="120" t="s">
        <v>156</v>
      </c>
      <c r="L13" s="125" t="s">
        <v>402</v>
      </c>
      <c r="M13" s="960">
        <v>197466</v>
      </c>
      <c r="N13" s="961"/>
      <c r="O13" s="962"/>
      <c r="P13" s="816">
        <f>'Vystup. ukazovatele projektov'!M14+'Vystup. ukazovatele projektov'!M21</f>
        <v>0</v>
      </c>
      <c r="Q13" s="401">
        <f>IF(M13=0,0,P13/M13)</f>
        <v>0</v>
      </c>
      <c r="R13" s="401"/>
      <c r="S13" s="963"/>
      <c r="T13" s="801">
        <f>'Vystup. ukazovatele projektov'!K14+'Vystup. ukazovatele projektov'!K21</f>
        <v>32170</v>
      </c>
      <c r="U13" s="964">
        <f>IF(M13=0,0,T13/M13)</f>
        <v>0.16291412192478705</v>
      </c>
      <c r="V13" s="964"/>
      <c r="W13" s="965"/>
      <c r="X13" s="818">
        <f>'Vystup. ukazovatele projektov'!L14+'Vystup. ukazovatele projektov'!L21</f>
        <v>0</v>
      </c>
      <c r="Y13" s="964">
        <f>IF(M13=0,0,X13/M13)</f>
        <v>0</v>
      </c>
      <c r="Z13" s="401"/>
      <c r="AA13" s="966"/>
      <c r="AB13" s="855">
        <f>'Vystup. ukazovatele projektov'!O14+'Vystup. ukazovatele projektov'!O21</f>
        <v>0</v>
      </c>
      <c r="AC13" s="801">
        <f>T13+AB13</f>
        <v>32170</v>
      </c>
      <c r="AD13" s="967">
        <f>IF(M13=0,0,AC13/M13)</f>
        <v>0.16291412192478705</v>
      </c>
      <c r="AE13" s="816">
        <f>'Vystup. ukazovatele projektov'!N14+'Vystup. ukazovatele projektov'!N21</f>
        <v>0</v>
      </c>
      <c r="AF13" s="818">
        <f>'Vystup. ukazovatele projektov'!P14+'Vystup. ukazovatele projektov'!P21</f>
        <v>137225</v>
      </c>
    </row>
    <row r="14" spans="1:32" s="153" customFormat="1" ht="43.5" customHeight="1" thickBot="1" x14ac:dyDescent="0.3">
      <c r="A14" s="1285"/>
      <c r="B14" s="1343"/>
      <c r="C14" s="1478"/>
      <c r="D14" s="1388"/>
      <c r="E14" s="1404"/>
      <c r="F14" s="1390"/>
      <c r="G14" s="453" t="s">
        <v>1929</v>
      </c>
      <c r="H14" s="454" t="s">
        <v>1926</v>
      </c>
      <c r="I14" s="455" t="s">
        <v>30</v>
      </c>
      <c r="J14" s="454" t="s">
        <v>31</v>
      </c>
      <c r="K14" s="454" t="s">
        <v>153</v>
      </c>
      <c r="L14" s="456" t="s">
        <v>399</v>
      </c>
      <c r="M14" s="968">
        <v>1</v>
      </c>
      <c r="N14" s="968"/>
      <c r="O14" s="969"/>
      <c r="P14" s="817">
        <f>'Vystup. ukazovatele projektov'!M22</f>
        <v>0</v>
      </c>
      <c r="Q14" s="457">
        <f>IF(M14=0,0,P14/M14)</f>
        <v>0</v>
      </c>
      <c r="R14" s="457"/>
      <c r="S14" s="970"/>
      <c r="T14" s="802">
        <f>'Vystup. ukazovatele projektov'!K22</f>
        <v>0</v>
      </c>
      <c r="U14" s="971">
        <f t="shared" si="0"/>
        <v>0</v>
      </c>
      <c r="V14" s="971"/>
      <c r="W14" s="972"/>
      <c r="X14" s="836">
        <f>'Vystup. ukazovatele projektov'!L22</f>
        <v>0</v>
      </c>
      <c r="Y14" s="971">
        <f t="shared" si="3"/>
        <v>0</v>
      </c>
      <c r="Z14" s="457"/>
      <c r="AA14" s="973"/>
      <c r="AB14" s="856">
        <f>'Vystup. ukazovatele projektov'!O22</f>
        <v>0</v>
      </c>
      <c r="AC14" s="857">
        <f>T14+AB14</f>
        <v>0</v>
      </c>
      <c r="AD14" s="974">
        <f t="shared" ref="AD14:AD51" si="4">IF(M14=0,0,AC14/M14)</f>
        <v>0</v>
      </c>
      <c r="AE14" s="881">
        <f>'Vystup. ukazovatele projektov'!N22</f>
        <v>0</v>
      </c>
      <c r="AF14" s="819">
        <f>'Vystup. ukazovatele projektov'!P22</f>
        <v>1</v>
      </c>
    </row>
    <row r="15" spans="1:32" ht="43.5" customHeight="1" x14ac:dyDescent="0.25">
      <c r="A15" s="1285"/>
      <c r="B15" s="1343"/>
      <c r="C15" s="748">
        <v>42767</v>
      </c>
      <c r="D15" s="1472" t="s">
        <v>2477</v>
      </c>
      <c r="E15" s="942" t="s">
        <v>2</v>
      </c>
      <c r="F15" s="943" t="s">
        <v>1930</v>
      </c>
      <c r="G15" s="173" t="s">
        <v>1997</v>
      </c>
      <c r="H15" s="193" t="s">
        <v>2476</v>
      </c>
      <c r="I15" s="131" t="s">
        <v>2408</v>
      </c>
      <c r="J15" s="123" t="s">
        <v>33</v>
      </c>
      <c r="K15" s="123" t="s">
        <v>163</v>
      </c>
      <c r="L15" s="124" t="s">
        <v>406</v>
      </c>
      <c r="M15" s="989">
        <v>205046</v>
      </c>
      <c r="N15" s="989"/>
      <c r="O15" s="990">
        <v>20505</v>
      </c>
      <c r="P15" s="815">
        <f>'Vystup. ukazovatele projektov'!M25+'Vystup. ukazovatele projektov'!M28</f>
        <v>3500</v>
      </c>
      <c r="Q15" s="402">
        <f>IF(M15=0,0,P15/M15)</f>
        <v>1.7069340538220693E-2</v>
      </c>
      <c r="R15" s="402"/>
      <c r="S15" s="991">
        <f>IF(O15=0,0,P15/O15)</f>
        <v>0.17069007559131918</v>
      </c>
      <c r="T15" s="800">
        <f>'Vystup. ukazovatele projektov'!K25+'Vystup. ukazovatele projektov'!K28</f>
        <v>273863</v>
      </c>
      <c r="U15" s="509">
        <f>IF(M15=0,0,T15/M15)</f>
        <v>1.3356173736624952</v>
      </c>
      <c r="V15" s="509"/>
      <c r="W15" s="402">
        <f>IF(O15=0,0,T15/O15)</f>
        <v>13.355913191904413</v>
      </c>
      <c r="X15" s="837">
        <f>'Vystup. ukazovatele projektov'!L25+'Vystup. ukazovatele projektov'!L28</f>
        <v>172746</v>
      </c>
      <c r="Y15" s="509">
        <f>IF(M15=0,0,X15/M15)</f>
        <v>0.84247437160442051</v>
      </c>
      <c r="Z15" s="402"/>
      <c r="AA15" s="993">
        <f>IF(O15=0,0,X15/O15)</f>
        <v>8.4245793708851497</v>
      </c>
      <c r="AB15" s="853">
        <f>'Vystup. ukazovatele projektov'!O25+'Vystup. ukazovatele projektov'!O28</f>
        <v>0</v>
      </c>
      <c r="AC15" s="800">
        <f>T15+AB15</f>
        <v>273863</v>
      </c>
      <c r="AD15" s="994">
        <f>IF(M15=0,0,AC15/M15)</f>
        <v>1.3356173736624952</v>
      </c>
      <c r="AE15" s="815"/>
      <c r="AF15" s="837"/>
    </row>
    <row r="16" spans="1:32" ht="43.5" customHeight="1" x14ac:dyDescent="0.25">
      <c r="A16" s="1285"/>
      <c r="B16" s="1343"/>
      <c r="C16" s="748"/>
      <c r="D16" s="1475"/>
      <c r="E16" s="751" t="s">
        <v>5</v>
      </c>
      <c r="F16" s="173" t="s">
        <v>1931</v>
      </c>
      <c r="G16" s="173" t="s">
        <v>1924</v>
      </c>
      <c r="H16" s="750" t="s">
        <v>1932</v>
      </c>
      <c r="I16" s="397" t="s">
        <v>34</v>
      </c>
      <c r="J16" s="396" t="s">
        <v>169</v>
      </c>
      <c r="K16" s="736" t="s">
        <v>168</v>
      </c>
      <c r="L16" s="119" t="s">
        <v>405</v>
      </c>
      <c r="M16" s="961">
        <v>860799</v>
      </c>
      <c r="N16" s="961"/>
      <c r="O16" s="962"/>
      <c r="P16" s="816">
        <f>'Vystup. ukazovatele projektov'!M31</f>
        <v>0</v>
      </c>
      <c r="Q16" s="401">
        <f>IF(M16=0,0,P16/M16)</f>
        <v>0</v>
      </c>
      <c r="R16" s="401"/>
      <c r="S16" s="963"/>
      <c r="T16" s="801">
        <f>'Vystup. ukazovatele projektov'!K31</f>
        <v>3129</v>
      </c>
      <c r="U16" s="964">
        <f t="shared" si="0"/>
        <v>3.6349949291297969E-3</v>
      </c>
      <c r="V16" s="964"/>
      <c r="W16" s="965"/>
      <c r="X16" s="818">
        <f>'Vystup. ukazovatele projektov'!L31</f>
        <v>729</v>
      </c>
      <c r="Y16" s="964">
        <f t="shared" si="3"/>
        <v>8.4688760093819813E-4</v>
      </c>
      <c r="Z16" s="401"/>
      <c r="AA16" s="966"/>
      <c r="AB16" s="855">
        <f>'Vystup. ukazovatele projektov'!O31</f>
        <v>0</v>
      </c>
      <c r="AC16" s="801">
        <f t="shared" ref="AC16:AC21" si="5">T16+AB16</f>
        <v>3129</v>
      </c>
      <c r="AD16" s="967">
        <f t="shared" si="4"/>
        <v>3.6349949291297969E-3</v>
      </c>
      <c r="AE16" s="816">
        <f>'Vystup. ukazovatele projektov'!N31</f>
        <v>1610</v>
      </c>
      <c r="AF16" s="818">
        <f>'Vystup. ukazovatele projektov'!P31</f>
        <v>0</v>
      </c>
    </row>
    <row r="17" spans="1:32" ht="43.5" customHeight="1" x14ac:dyDescent="0.25">
      <c r="A17" s="1285"/>
      <c r="B17" s="1343"/>
      <c r="C17" s="748"/>
      <c r="D17" s="1475"/>
      <c r="E17" s="1412" t="s">
        <v>6</v>
      </c>
      <c r="F17" s="1408" t="s">
        <v>1933</v>
      </c>
      <c r="G17" s="1408" t="s">
        <v>1924</v>
      </c>
      <c r="H17" s="1405" t="s">
        <v>1934</v>
      </c>
      <c r="I17" s="397" t="s">
        <v>41</v>
      </c>
      <c r="J17" s="120" t="s">
        <v>1904</v>
      </c>
      <c r="K17" s="120" t="s">
        <v>703</v>
      </c>
      <c r="L17" s="125" t="s">
        <v>399</v>
      </c>
      <c r="M17" s="961">
        <v>786929</v>
      </c>
      <c r="N17" s="961"/>
      <c r="O17" s="962"/>
      <c r="P17" s="816">
        <f>'Vystup. ukazovatele projektov'!M34+'Vystup. ukazovatele projektov'!M35</f>
        <v>74094</v>
      </c>
      <c r="Q17" s="401">
        <f t="shared" si="2"/>
        <v>9.4155889540225357E-2</v>
      </c>
      <c r="R17" s="401"/>
      <c r="S17" s="963"/>
      <c r="T17" s="801">
        <f>'Vystup. ukazovatele projektov'!K34+'Vystup. ukazovatele projektov'!K35</f>
        <v>887546</v>
      </c>
      <c r="U17" s="964">
        <f t="shared" si="0"/>
        <v>1.1278603279330155</v>
      </c>
      <c r="V17" s="964"/>
      <c r="W17" s="965"/>
      <c r="X17" s="818">
        <f>'Vystup. ukazovatele projektov'!L34+'Vystup. ukazovatele projektov'!L35</f>
        <v>4763</v>
      </c>
      <c r="Y17" s="964">
        <f t="shared" si="3"/>
        <v>6.0526426145179552E-3</v>
      </c>
      <c r="Z17" s="401"/>
      <c r="AA17" s="966"/>
      <c r="AB17" s="855">
        <f>'Vystup. ukazovatele projektov'!O34+'Vystup. ukazovatele projektov'!O35</f>
        <v>0</v>
      </c>
      <c r="AC17" s="801">
        <f t="shared" si="5"/>
        <v>887546</v>
      </c>
      <c r="AD17" s="967">
        <f t="shared" si="4"/>
        <v>1.1278603279330155</v>
      </c>
      <c r="AE17" s="816">
        <f>'Vystup. ukazovatele projektov'!N34+'Vystup. ukazovatele projektov'!N35</f>
        <v>0</v>
      </c>
      <c r="AF17" s="818">
        <f>'Vystup. ukazovatele projektov'!P34+'Vystup. ukazovatele projektov'!P35</f>
        <v>0</v>
      </c>
    </row>
    <row r="18" spans="1:32" ht="43.5" customHeight="1" x14ac:dyDescent="0.25">
      <c r="A18" s="1285"/>
      <c r="B18" s="1343"/>
      <c r="C18" s="748"/>
      <c r="D18" s="1475"/>
      <c r="E18" s="1403"/>
      <c r="F18" s="1409"/>
      <c r="G18" s="1409"/>
      <c r="H18" s="1406"/>
      <c r="I18" s="397" t="s">
        <v>35</v>
      </c>
      <c r="J18" s="120" t="s">
        <v>36</v>
      </c>
      <c r="K18" s="120" t="s">
        <v>701</v>
      </c>
      <c r="L18" s="125" t="s">
        <v>399</v>
      </c>
      <c r="M18" s="961">
        <v>2295</v>
      </c>
      <c r="N18" s="961"/>
      <c r="O18" s="962"/>
      <c r="P18" s="816">
        <f>'Vystup. ukazovatele projektov'!M39+'Vystup. ukazovatele projektov'!M40</f>
        <v>0</v>
      </c>
      <c r="Q18" s="401">
        <f t="shared" si="2"/>
        <v>0</v>
      </c>
      <c r="R18" s="401"/>
      <c r="S18" s="963"/>
      <c r="T18" s="801">
        <f>'Vystup. ukazovatele projektov'!K39+'Vystup. ukazovatele projektov'!K40</f>
        <v>0</v>
      </c>
      <c r="U18" s="964">
        <f t="shared" si="0"/>
        <v>0</v>
      </c>
      <c r="V18" s="964"/>
      <c r="W18" s="965"/>
      <c r="X18" s="818">
        <f>'Vystup. ukazovatele projektov'!L39+'Vystup. ukazovatele projektov'!L40</f>
        <v>0</v>
      </c>
      <c r="Y18" s="964">
        <f t="shared" si="3"/>
        <v>0</v>
      </c>
      <c r="Z18" s="401"/>
      <c r="AA18" s="966"/>
      <c r="AB18" s="855">
        <f>'Vystup. ukazovatele projektov'!O39+'Vystup. ukazovatele projektov'!O40</f>
        <v>0</v>
      </c>
      <c r="AC18" s="801">
        <f t="shared" si="5"/>
        <v>0</v>
      </c>
      <c r="AD18" s="967">
        <f t="shared" si="4"/>
        <v>0</v>
      </c>
      <c r="AE18" s="816">
        <f>'Vystup. ukazovatele projektov'!N39+'Vystup. ukazovatele projektov'!N40</f>
        <v>0</v>
      </c>
      <c r="AF18" s="818">
        <f>'Vystup. ukazovatele projektov'!P39+'Vystup. ukazovatele projektov'!P40</f>
        <v>0</v>
      </c>
    </row>
    <row r="19" spans="1:32" ht="43.5" customHeight="1" x14ac:dyDescent="0.25">
      <c r="A19" s="1285"/>
      <c r="B19" s="1343"/>
      <c r="C19" s="748"/>
      <c r="D19" s="1475"/>
      <c r="E19" s="1403"/>
      <c r="F19" s="1409"/>
      <c r="G19" s="1410"/>
      <c r="H19" s="1407"/>
      <c r="I19" s="397" t="s">
        <v>37</v>
      </c>
      <c r="J19" s="120" t="s">
        <v>1905</v>
      </c>
      <c r="K19" s="120" t="s">
        <v>702</v>
      </c>
      <c r="L19" s="119" t="s">
        <v>399</v>
      </c>
      <c r="M19" s="961">
        <v>18351</v>
      </c>
      <c r="N19" s="961"/>
      <c r="O19" s="962"/>
      <c r="P19" s="816">
        <f>'Vystup. ukazovatele projektov'!M41+'Vystup. ukazovatele projektov'!M42</f>
        <v>49</v>
      </c>
      <c r="Q19" s="401">
        <f t="shared" si="2"/>
        <v>2.6701542150291539E-3</v>
      </c>
      <c r="R19" s="401"/>
      <c r="S19" s="963"/>
      <c r="T19" s="801">
        <f>'Vystup. ukazovatele projektov'!K41+'Vystup. ukazovatele projektov'!K42</f>
        <v>1632</v>
      </c>
      <c r="U19" s="964">
        <f t="shared" si="0"/>
        <v>8.8932483243419971E-2</v>
      </c>
      <c r="V19" s="964"/>
      <c r="W19" s="965"/>
      <c r="X19" s="818">
        <f>'Vystup. ukazovatele projektov'!L41+'Vystup. ukazovatele projektov'!L42</f>
        <v>0</v>
      </c>
      <c r="Y19" s="964">
        <f t="shared" si="3"/>
        <v>0</v>
      </c>
      <c r="Z19" s="401"/>
      <c r="AA19" s="966"/>
      <c r="AB19" s="855">
        <f>'Vystup. ukazovatele projektov'!O41+'Vystup. ukazovatele projektov'!O42</f>
        <v>0</v>
      </c>
      <c r="AC19" s="801">
        <f t="shared" si="5"/>
        <v>1632</v>
      </c>
      <c r="AD19" s="967">
        <f t="shared" si="4"/>
        <v>8.8932483243419971E-2</v>
      </c>
      <c r="AE19" s="816">
        <f>'Vystup. ukazovatele projektov'!N41+'Vystup. ukazovatele projektov'!N42</f>
        <v>0</v>
      </c>
      <c r="AF19" s="818">
        <f>'Vystup. ukazovatele projektov'!P41+'Vystup. ukazovatele projektov'!P42</f>
        <v>0</v>
      </c>
    </row>
    <row r="20" spans="1:32" ht="43.5" customHeight="1" x14ac:dyDescent="0.25">
      <c r="A20" s="1285"/>
      <c r="B20" s="1343"/>
      <c r="C20" s="748"/>
      <c r="D20" s="1475"/>
      <c r="E20" s="1403"/>
      <c r="F20" s="1409"/>
      <c r="G20" s="395" t="s">
        <v>1925</v>
      </c>
      <c r="H20" s="397" t="s">
        <v>1935</v>
      </c>
      <c r="I20" s="397" t="s">
        <v>38</v>
      </c>
      <c r="J20" s="396" t="s">
        <v>39</v>
      </c>
      <c r="K20" s="736" t="s">
        <v>186</v>
      </c>
      <c r="L20" s="119" t="s">
        <v>399</v>
      </c>
      <c r="M20" s="961">
        <v>345</v>
      </c>
      <c r="N20" s="961"/>
      <c r="O20" s="962"/>
      <c r="P20" s="816">
        <f>'Vystup. ukazovatele projektov'!M44</f>
        <v>0</v>
      </c>
      <c r="Q20" s="401">
        <f t="shared" si="2"/>
        <v>0</v>
      </c>
      <c r="R20" s="401"/>
      <c r="S20" s="963"/>
      <c r="T20" s="801">
        <f>'Vystup. ukazovatele projektov'!K44</f>
        <v>0</v>
      </c>
      <c r="U20" s="964">
        <f t="shared" si="0"/>
        <v>0</v>
      </c>
      <c r="V20" s="964"/>
      <c r="W20" s="965"/>
      <c r="X20" s="818">
        <f>'Vystup. ukazovatele projektov'!L44</f>
        <v>0</v>
      </c>
      <c r="Y20" s="964">
        <f t="shared" si="3"/>
        <v>0</v>
      </c>
      <c r="Z20" s="401"/>
      <c r="AA20" s="966"/>
      <c r="AB20" s="855">
        <f>'Vystup. ukazovatele projektov'!O44</f>
        <v>0</v>
      </c>
      <c r="AC20" s="801">
        <f t="shared" si="5"/>
        <v>0</v>
      </c>
      <c r="AD20" s="967">
        <f t="shared" si="4"/>
        <v>0</v>
      </c>
      <c r="AE20" s="816">
        <f>'Vystup. ukazovatele projektov'!N44</f>
        <v>0</v>
      </c>
      <c r="AF20" s="818">
        <f>'Vystup. ukazovatele projektov'!P44</f>
        <v>0</v>
      </c>
    </row>
    <row r="21" spans="1:32" ht="43.5" customHeight="1" x14ac:dyDescent="0.25">
      <c r="A21" s="1285"/>
      <c r="B21" s="1343"/>
      <c r="C21" s="748"/>
      <c r="D21" s="1475"/>
      <c r="E21" s="1403"/>
      <c r="F21" s="1409"/>
      <c r="G21" s="1389" t="s">
        <v>1928</v>
      </c>
      <c r="H21" s="1387" t="s">
        <v>1936</v>
      </c>
      <c r="I21" s="397" t="s">
        <v>32</v>
      </c>
      <c r="J21" s="120" t="s">
        <v>152</v>
      </c>
      <c r="K21" s="120" t="s">
        <v>151</v>
      </c>
      <c r="L21" s="119" t="s">
        <v>399</v>
      </c>
      <c r="M21" s="961">
        <v>116</v>
      </c>
      <c r="N21" s="961"/>
      <c r="O21" s="962"/>
      <c r="P21" s="816">
        <f>'Vystup. ukazovatele projektov'!M48</f>
        <v>0</v>
      </c>
      <c r="Q21" s="401">
        <f t="shared" si="2"/>
        <v>0</v>
      </c>
      <c r="R21" s="401"/>
      <c r="S21" s="963"/>
      <c r="T21" s="801">
        <f>'Vystup. ukazovatele projektov'!K48</f>
        <v>0</v>
      </c>
      <c r="U21" s="964">
        <f t="shared" si="0"/>
        <v>0</v>
      </c>
      <c r="V21" s="964"/>
      <c r="W21" s="965"/>
      <c r="X21" s="818">
        <f>'Vystup. ukazovatele projektov'!L48</f>
        <v>0</v>
      </c>
      <c r="Y21" s="964">
        <f t="shared" si="3"/>
        <v>0</v>
      </c>
      <c r="Z21" s="401"/>
      <c r="AA21" s="966"/>
      <c r="AB21" s="855">
        <f>'Vystup. ukazovatele projektov'!O48</f>
        <v>0</v>
      </c>
      <c r="AC21" s="801">
        <f t="shared" si="5"/>
        <v>0</v>
      </c>
      <c r="AD21" s="967">
        <f t="shared" si="4"/>
        <v>0</v>
      </c>
      <c r="AE21" s="816">
        <f>'Vystup. ukazovatele projektov'!N48</f>
        <v>0</v>
      </c>
      <c r="AF21" s="818">
        <f>'Vystup. ukazovatele projektov'!P48</f>
        <v>0</v>
      </c>
    </row>
    <row r="22" spans="1:32" ht="43.5" customHeight="1" thickBot="1" x14ac:dyDescent="0.3">
      <c r="A22" s="1285"/>
      <c r="B22" s="1343"/>
      <c r="C22" s="749"/>
      <c r="D22" s="1388"/>
      <c r="E22" s="1404"/>
      <c r="F22" s="1411"/>
      <c r="G22" s="1390"/>
      <c r="H22" s="1388"/>
      <c r="I22" s="455" t="s">
        <v>40</v>
      </c>
      <c r="J22" s="454" t="s">
        <v>181</v>
      </c>
      <c r="K22" s="454" t="s">
        <v>180</v>
      </c>
      <c r="L22" s="456" t="s">
        <v>399</v>
      </c>
      <c r="M22" s="968">
        <v>34</v>
      </c>
      <c r="N22" s="968"/>
      <c r="O22" s="969"/>
      <c r="P22" s="817">
        <f>'Vystup. ukazovatele projektov'!M46</f>
        <v>0</v>
      </c>
      <c r="Q22" s="457">
        <f t="shared" si="2"/>
        <v>0</v>
      </c>
      <c r="R22" s="457"/>
      <c r="S22" s="970"/>
      <c r="T22" s="802">
        <f>'Vystup. ukazovatele projektov'!K46</f>
        <v>0</v>
      </c>
      <c r="U22" s="971">
        <f t="shared" si="0"/>
        <v>0</v>
      </c>
      <c r="V22" s="971"/>
      <c r="W22" s="975"/>
      <c r="X22" s="819">
        <f>'Vystup. ukazovatele projektov'!L46</f>
        <v>0</v>
      </c>
      <c r="Y22" s="971">
        <f t="shared" si="3"/>
        <v>0</v>
      </c>
      <c r="Z22" s="457"/>
      <c r="AA22" s="973"/>
      <c r="AB22" s="856">
        <f>'Vystup. ukazovatele projektov'!O46</f>
        <v>0</v>
      </c>
      <c r="AC22" s="802">
        <f>T22+AB22</f>
        <v>0</v>
      </c>
      <c r="AD22" s="974">
        <f t="shared" si="4"/>
        <v>0</v>
      </c>
      <c r="AE22" s="817">
        <f>'Vystup. ukazovatele projektov'!N46</f>
        <v>0</v>
      </c>
      <c r="AF22" s="819">
        <f>'Vystup. ukazovatele projektov'!P46</f>
        <v>0</v>
      </c>
    </row>
    <row r="23" spans="1:32" ht="43.5" customHeight="1" x14ac:dyDescent="0.25">
      <c r="A23" s="1285"/>
      <c r="B23" s="1343"/>
      <c r="C23" s="1505">
        <v>42795</v>
      </c>
      <c r="D23" s="1472" t="s">
        <v>2479</v>
      </c>
      <c r="E23" s="945" t="s">
        <v>7</v>
      </c>
      <c r="F23" s="1473" t="s">
        <v>1889</v>
      </c>
      <c r="G23" s="932" t="s">
        <v>1997</v>
      </c>
      <c r="H23" s="747" t="s">
        <v>2478</v>
      </c>
      <c r="I23" s="737" t="s">
        <v>42</v>
      </c>
      <c r="J23" s="736" t="s">
        <v>200</v>
      </c>
      <c r="K23" s="120" t="s">
        <v>199</v>
      </c>
      <c r="L23" s="125" t="s">
        <v>407</v>
      </c>
      <c r="M23" s="961">
        <v>20131</v>
      </c>
      <c r="N23" s="976"/>
      <c r="O23" s="977"/>
      <c r="P23" s="818">
        <f>'Vystup. ukazovatele projektov'!M49+'Vystup. ukazovatele projektov'!M51</f>
        <v>0</v>
      </c>
      <c r="Q23" s="401">
        <f>IF(M23=0,0,P23/M23)</f>
        <v>0</v>
      </c>
      <c r="R23" s="401"/>
      <c r="S23" s="963"/>
      <c r="T23" s="801">
        <f>'Vystup. ukazovatele projektov'!K49+'Vystup. ukazovatele projektov'!K51</f>
        <v>0</v>
      </c>
      <c r="U23" s="964">
        <f>IF(M23=0,0,T23/M23)</f>
        <v>0</v>
      </c>
      <c r="V23" s="964"/>
      <c r="W23" s="965"/>
      <c r="X23" s="818">
        <f>'Vystup. ukazovatele projektov'!L49+'Vystup. ukazovatele projektov'!L51</f>
        <v>0</v>
      </c>
      <c r="Y23" s="964">
        <f>IF(M23=0,0,X23/M23)</f>
        <v>0</v>
      </c>
      <c r="Z23" s="401"/>
      <c r="AA23" s="966"/>
      <c r="AB23" s="855">
        <f>'Vystup. ukazovatele projektov'!O49+'Vystup. ukazovatele projektov'!O51</f>
        <v>0</v>
      </c>
      <c r="AC23" s="801">
        <f>T23+AB23</f>
        <v>0</v>
      </c>
      <c r="AD23" s="967">
        <f>IF(M23=0,0,AC23/M23)</f>
        <v>0</v>
      </c>
      <c r="AE23" s="816">
        <f>'Vystup. ukazovatele projektov'!N49+'Vystup. ukazovatele projektov'!N51</f>
        <v>0</v>
      </c>
      <c r="AF23" s="818">
        <f>'Vystup. ukazovatele projektov'!P49+'Vystup. ukazovatele projektov'!P51</f>
        <v>0</v>
      </c>
    </row>
    <row r="24" spans="1:32" ht="43.5" customHeight="1" x14ac:dyDescent="0.25">
      <c r="A24" s="1285"/>
      <c r="B24" s="1343"/>
      <c r="C24" s="1505"/>
      <c r="D24" s="1475"/>
      <c r="E24" s="945"/>
      <c r="F24" s="1401"/>
      <c r="G24" s="947" t="s">
        <v>1925</v>
      </c>
      <c r="H24" s="948" t="s">
        <v>1943</v>
      </c>
      <c r="I24" s="397" t="s">
        <v>43</v>
      </c>
      <c r="J24" s="120" t="s">
        <v>44</v>
      </c>
      <c r="K24" s="120" t="s">
        <v>208</v>
      </c>
      <c r="L24" s="125" t="s">
        <v>399</v>
      </c>
      <c r="M24" s="961">
        <v>390</v>
      </c>
      <c r="N24" s="961"/>
      <c r="O24" s="977"/>
      <c r="P24" s="818">
        <f>'Vystup. ukazovatele projektov'!M53</f>
        <v>0</v>
      </c>
      <c r="Q24" s="401">
        <f t="shared" si="2"/>
        <v>0</v>
      </c>
      <c r="R24" s="401"/>
      <c r="S24" s="963"/>
      <c r="T24" s="801">
        <f>'Vystup. ukazovatele projektov'!K53</f>
        <v>0</v>
      </c>
      <c r="U24" s="964">
        <f t="shared" si="0"/>
        <v>0</v>
      </c>
      <c r="V24" s="964"/>
      <c r="W24" s="965"/>
      <c r="X24" s="818"/>
      <c r="Y24" s="964">
        <f t="shared" si="3"/>
        <v>0</v>
      </c>
      <c r="Z24" s="401"/>
      <c r="AA24" s="966"/>
      <c r="AB24" s="855">
        <f>'Vystup. ukazovatele projektov'!O53</f>
        <v>0</v>
      </c>
      <c r="AC24" s="801">
        <f t="shared" ref="AC24:AC26" si="6">T24+AB24</f>
        <v>0</v>
      </c>
      <c r="AD24" s="967">
        <f t="shared" si="4"/>
        <v>0</v>
      </c>
      <c r="AE24" s="816">
        <f>'Vystup. ukazovatele projektov'!N53</f>
        <v>0</v>
      </c>
      <c r="AF24" s="818">
        <f>'Vystup. ukazovatele projektov'!P53</f>
        <v>0</v>
      </c>
    </row>
    <row r="25" spans="1:32" ht="43.5" customHeight="1" x14ac:dyDescent="0.25">
      <c r="A25" s="1285"/>
      <c r="B25" s="1343"/>
      <c r="C25" s="1505"/>
      <c r="D25" s="1475"/>
      <c r="E25" s="945"/>
      <c r="F25" s="1401"/>
      <c r="G25" s="1389" t="s">
        <v>1928</v>
      </c>
      <c r="H25" s="1387" t="s">
        <v>1944</v>
      </c>
      <c r="I25" s="397" t="s">
        <v>45</v>
      </c>
      <c r="J25" s="120" t="s">
        <v>46</v>
      </c>
      <c r="K25" s="120" t="s">
        <v>207</v>
      </c>
      <c r="L25" s="125" t="s">
        <v>399</v>
      </c>
      <c r="M25" s="961">
        <v>700</v>
      </c>
      <c r="N25" s="961"/>
      <c r="O25" s="977"/>
      <c r="P25" s="818">
        <f>'Vystup. ukazovatele projektov'!M58</f>
        <v>0</v>
      </c>
      <c r="Q25" s="401">
        <f t="shared" si="2"/>
        <v>0</v>
      </c>
      <c r="R25" s="401"/>
      <c r="S25" s="963"/>
      <c r="T25" s="801">
        <f>'Vystup. ukazovatele projektov'!K58</f>
        <v>0</v>
      </c>
      <c r="U25" s="964">
        <f t="shared" si="0"/>
        <v>0</v>
      </c>
      <c r="V25" s="964"/>
      <c r="W25" s="965"/>
      <c r="X25" s="818"/>
      <c r="Y25" s="964">
        <f t="shared" si="3"/>
        <v>0</v>
      </c>
      <c r="Z25" s="401"/>
      <c r="AA25" s="966"/>
      <c r="AB25" s="855">
        <f>'Vystup. ukazovatele projektov'!O58</f>
        <v>0</v>
      </c>
      <c r="AC25" s="801">
        <f t="shared" si="6"/>
        <v>0</v>
      </c>
      <c r="AD25" s="967">
        <f t="shared" si="4"/>
        <v>0</v>
      </c>
      <c r="AE25" s="816">
        <f>'Vystup. ukazovatele projektov'!N58</f>
        <v>0</v>
      </c>
      <c r="AF25" s="818">
        <f>'Vystup. ukazovatele projektov'!P58</f>
        <v>0</v>
      </c>
    </row>
    <row r="26" spans="1:32" ht="43.5" customHeight="1" x14ac:dyDescent="0.25">
      <c r="A26" s="1285"/>
      <c r="B26" s="1343"/>
      <c r="C26" s="1505"/>
      <c r="D26" s="1475"/>
      <c r="E26" s="945"/>
      <c r="F26" s="1401"/>
      <c r="G26" s="1448"/>
      <c r="H26" s="1413"/>
      <c r="I26" s="397" t="s">
        <v>47</v>
      </c>
      <c r="J26" s="396" t="s">
        <v>206</v>
      </c>
      <c r="K26" s="736" t="s">
        <v>205</v>
      </c>
      <c r="L26" s="119" t="s">
        <v>399</v>
      </c>
      <c r="M26" s="961">
        <v>3000</v>
      </c>
      <c r="N26" s="961"/>
      <c r="O26" s="977"/>
      <c r="P26" s="818">
        <f>'Vystup. ukazovatele projektov'!M57</f>
        <v>0</v>
      </c>
      <c r="Q26" s="401">
        <f t="shared" si="2"/>
        <v>0</v>
      </c>
      <c r="R26" s="401"/>
      <c r="S26" s="963"/>
      <c r="T26" s="801">
        <f>'Vystup. ukazovatele projektov'!K57</f>
        <v>0</v>
      </c>
      <c r="U26" s="964">
        <f t="shared" si="0"/>
        <v>0</v>
      </c>
      <c r="V26" s="964"/>
      <c r="W26" s="965"/>
      <c r="X26" s="818"/>
      <c r="Y26" s="964">
        <f t="shared" si="3"/>
        <v>0</v>
      </c>
      <c r="Z26" s="401"/>
      <c r="AA26" s="966"/>
      <c r="AB26" s="855">
        <f>'Vystup. ukazovatele projektov'!O57</f>
        <v>0</v>
      </c>
      <c r="AC26" s="801">
        <f t="shared" si="6"/>
        <v>0</v>
      </c>
      <c r="AD26" s="967">
        <f t="shared" si="4"/>
        <v>0</v>
      </c>
      <c r="AE26" s="816">
        <f>'Vystup. ukazovatele projektov'!N57</f>
        <v>0</v>
      </c>
      <c r="AF26" s="818">
        <f>'Vystup. ukazovatele projektov'!P57</f>
        <v>0</v>
      </c>
    </row>
    <row r="27" spans="1:32" ht="43.5" customHeight="1" thickBot="1" x14ac:dyDescent="0.3">
      <c r="A27" s="1285"/>
      <c r="B27" s="1343"/>
      <c r="C27" s="1506"/>
      <c r="D27" s="1388"/>
      <c r="E27" s="946"/>
      <c r="F27" s="1390"/>
      <c r="G27" s="944" t="s">
        <v>1929</v>
      </c>
      <c r="H27" s="454" t="s">
        <v>1940</v>
      </c>
      <c r="I27" s="455" t="s">
        <v>32</v>
      </c>
      <c r="J27" s="470" t="s">
        <v>152</v>
      </c>
      <c r="K27" s="470" t="s">
        <v>151</v>
      </c>
      <c r="L27" s="471" t="s">
        <v>399</v>
      </c>
      <c r="M27" s="968">
        <v>645</v>
      </c>
      <c r="N27" s="968"/>
      <c r="O27" s="969"/>
      <c r="P27" s="819">
        <f>'Vystup. ukazovatele projektov'!M60</f>
        <v>0</v>
      </c>
      <c r="Q27" s="457">
        <f t="shared" si="2"/>
        <v>0</v>
      </c>
      <c r="R27" s="457"/>
      <c r="S27" s="970"/>
      <c r="T27" s="802">
        <f>'Vystup. ukazovatele projektov'!K60</f>
        <v>0</v>
      </c>
      <c r="U27" s="971">
        <f t="shared" si="0"/>
        <v>0</v>
      </c>
      <c r="V27" s="971"/>
      <c r="W27" s="975"/>
      <c r="X27" s="819"/>
      <c r="Y27" s="971">
        <f t="shared" si="3"/>
        <v>0</v>
      </c>
      <c r="Z27" s="457"/>
      <c r="AA27" s="973"/>
      <c r="AB27" s="856">
        <f>'Vystup. ukazovatele projektov'!O60</f>
        <v>0</v>
      </c>
      <c r="AC27" s="802">
        <f>T27+AB27</f>
        <v>0</v>
      </c>
      <c r="AD27" s="974">
        <f t="shared" si="4"/>
        <v>0</v>
      </c>
      <c r="AE27" s="817">
        <f>'Vystup. ukazovatele projektov'!N60</f>
        <v>0</v>
      </c>
      <c r="AF27" s="819">
        <f>'Vystup. ukazovatele projektov'!P60</f>
        <v>0</v>
      </c>
    </row>
    <row r="28" spans="1:32" ht="43.5" customHeight="1" x14ac:dyDescent="0.25">
      <c r="A28" s="1285"/>
      <c r="B28" s="1343"/>
      <c r="C28" s="1523">
        <v>42826</v>
      </c>
      <c r="D28" s="1472" t="s">
        <v>1906</v>
      </c>
      <c r="E28" s="1449" t="s">
        <v>8</v>
      </c>
      <c r="F28" s="1473" t="s">
        <v>1890</v>
      </c>
      <c r="G28" s="1473" t="s">
        <v>1924</v>
      </c>
      <c r="H28" s="1472" t="s">
        <v>1941</v>
      </c>
      <c r="I28" s="198" t="s">
        <v>54</v>
      </c>
      <c r="J28" s="458" t="s">
        <v>1907</v>
      </c>
      <c r="K28" s="458" t="s">
        <v>231</v>
      </c>
      <c r="L28" s="459" t="s">
        <v>399</v>
      </c>
      <c r="M28" s="978">
        <v>20</v>
      </c>
      <c r="N28" s="978"/>
      <c r="O28" s="977"/>
      <c r="P28" s="820">
        <f>'Vystup. ukazovatele projektov'!M64</f>
        <v>0</v>
      </c>
      <c r="Q28" s="979">
        <f t="shared" si="2"/>
        <v>0</v>
      </c>
      <c r="R28" s="979"/>
      <c r="S28" s="980"/>
      <c r="T28" s="803">
        <f>'Vystup. ukazovatele projektov'!K64</f>
        <v>22</v>
      </c>
      <c r="U28" s="981">
        <f t="shared" si="0"/>
        <v>1.1000000000000001</v>
      </c>
      <c r="V28" s="981"/>
      <c r="W28" s="982"/>
      <c r="X28" s="838">
        <f>'Vystup. ukazovatele projektov'!L64</f>
        <v>2</v>
      </c>
      <c r="Y28" s="981">
        <f t="shared" si="3"/>
        <v>0.1</v>
      </c>
      <c r="Z28" s="979"/>
      <c r="AA28" s="983"/>
      <c r="AB28" s="858">
        <f>'Vystup. ukazovatele projektov'!O64</f>
        <v>0</v>
      </c>
      <c r="AC28" s="859">
        <f>T28+AB28</f>
        <v>22</v>
      </c>
      <c r="AD28" s="984">
        <f t="shared" si="4"/>
        <v>1.1000000000000001</v>
      </c>
      <c r="AE28" s="882">
        <f>'Vystup. ukazovatele projektov'!N64</f>
        <v>0</v>
      </c>
      <c r="AF28" s="883">
        <f>'Vystup. ukazovatele projektov'!P64</f>
        <v>0</v>
      </c>
    </row>
    <row r="29" spans="1:32" ht="43.5" customHeight="1" x14ac:dyDescent="0.25">
      <c r="A29" s="1285"/>
      <c r="B29" s="1343"/>
      <c r="C29" s="1505"/>
      <c r="D29" s="1475"/>
      <c r="E29" s="1403"/>
      <c r="F29" s="1401"/>
      <c r="G29" s="1448"/>
      <c r="H29" s="1413"/>
      <c r="I29" s="397" t="s">
        <v>52</v>
      </c>
      <c r="J29" s="120" t="s">
        <v>53</v>
      </c>
      <c r="K29" s="120" t="s">
        <v>215</v>
      </c>
      <c r="L29" s="125" t="s">
        <v>408</v>
      </c>
      <c r="M29" s="961">
        <v>104</v>
      </c>
      <c r="N29" s="961"/>
      <c r="O29" s="962"/>
      <c r="P29" s="816">
        <f>'Vystup. ukazovatele projektov'!M61</f>
        <v>0</v>
      </c>
      <c r="Q29" s="401">
        <f t="shared" si="2"/>
        <v>0</v>
      </c>
      <c r="R29" s="401"/>
      <c r="S29" s="963"/>
      <c r="T29" s="801">
        <f>'Vystup. ukazovatele projektov'!K61</f>
        <v>0</v>
      </c>
      <c r="U29" s="964">
        <f t="shared" si="0"/>
        <v>0</v>
      </c>
      <c r="V29" s="964"/>
      <c r="W29" s="985"/>
      <c r="X29" s="839">
        <f>'Vystup. ukazovatele projektov'!L61</f>
        <v>0</v>
      </c>
      <c r="Y29" s="964">
        <f t="shared" si="3"/>
        <v>0</v>
      </c>
      <c r="Z29" s="401"/>
      <c r="AA29" s="966"/>
      <c r="AB29" s="855">
        <f>'Vystup. ukazovatele projektov'!O61</f>
        <v>0</v>
      </c>
      <c r="AC29" s="860">
        <f>T29+AB29</f>
        <v>0</v>
      </c>
      <c r="AD29" s="967">
        <f t="shared" si="4"/>
        <v>0</v>
      </c>
      <c r="AE29" s="884">
        <f>'Vystup. ukazovatele projektov'!N61</f>
        <v>0</v>
      </c>
      <c r="AF29" s="818">
        <f>'Vystup. ukazovatele projektov'!P61</f>
        <v>0</v>
      </c>
    </row>
    <row r="30" spans="1:32" ht="43.5" customHeight="1" x14ac:dyDescent="0.25">
      <c r="A30" s="1285"/>
      <c r="B30" s="1343"/>
      <c r="C30" s="1505"/>
      <c r="D30" s="1475"/>
      <c r="E30" s="1403"/>
      <c r="F30" s="1401"/>
      <c r="G30" s="1389" t="s">
        <v>1928</v>
      </c>
      <c r="H30" s="1387" t="s">
        <v>1942</v>
      </c>
      <c r="I30" s="397" t="s">
        <v>48</v>
      </c>
      <c r="J30" s="120" t="s">
        <v>49</v>
      </c>
      <c r="K30" s="120" t="s">
        <v>700</v>
      </c>
      <c r="L30" s="125" t="s">
        <v>399</v>
      </c>
      <c r="M30" s="961">
        <v>131</v>
      </c>
      <c r="N30" s="961"/>
      <c r="O30" s="962"/>
      <c r="P30" s="816">
        <f>'Vystup. ukazovatele projektov'!M75+'Vystup. ukazovatele projektov'!M77</f>
        <v>0</v>
      </c>
      <c r="Q30" s="401">
        <f t="shared" ref="Q30:Q51" si="7">IF(M30=0,0,P30/M30)</f>
        <v>0</v>
      </c>
      <c r="R30" s="401"/>
      <c r="S30" s="963"/>
      <c r="T30" s="801">
        <f>'Vystup. ukazovatele projektov'!K75+'Vystup. ukazovatele projektov'!K77</f>
        <v>0</v>
      </c>
      <c r="U30" s="964">
        <f t="shared" ref="U30:U42" si="8">IF(M30=0,0,T30/M30)</f>
        <v>0</v>
      </c>
      <c r="V30" s="964"/>
      <c r="W30" s="985"/>
      <c r="X30" s="839">
        <f>'Vystup. ukazovatele projektov'!L75+'Vystup. ukazovatele projektov'!L77</f>
        <v>0</v>
      </c>
      <c r="Y30" s="964">
        <f t="shared" ref="Y30:Y51" si="9">IF(M30=0,0,X30/M30)</f>
        <v>0</v>
      </c>
      <c r="Z30" s="401"/>
      <c r="AA30" s="966"/>
      <c r="AB30" s="855">
        <f>'Vystup. ukazovatele projektov'!O75+'Vystup. ukazovatele projektov'!O77</f>
        <v>0</v>
      </c>
      <c r="AC30" s="860">
        <f t="shared" ref="AC30:AC32" si="10">T30+AB30</f>
        <v>0</v>
      </c>
      <c r="AD30" s="967">
        <f t="shared" si="4"/>
        <v>0</v>
      </c>
      <c r="AE30" s="884">
        <f>'Vystup. ukazovatele projektov'!N75+'Vystup. ukazovatele projektov'!N77</f>
        <v>0</v>
      </c>
      <c r="AF30" s="818">
        <f>'Vystup. ukazovatele projektov'!P75+'Vystup. ukazovatele projektov'!P77</f>
        <v>0</v>
      </c>
    </row>
    <row r="31" spans="1:32" ht="43.5" customHeight="1" x14ac:dyDescent="0.25">
      <c r="A31" s="1285"/>
      <c r="B31" s="1343"/>
      <c r="C31" s="1505"/>
      <c r="D31" s="1475"/>
      <c r="E31" s="1450"/>
      <c r="F31" s="1448"/>
      <c r="G31" s="1448"/>
      <c r="H31" s="1413"/>
      <c r="I31" s="397" t="s">
        <v>50</v>
      </c>
      <c r="J31" s="120" t="s">
        <v>1908</v>
      </c>
      <c r="K31" s="120" t="s">
        <v>216</v>
      </c>
      <c r="L31" s="125" t="s">
        <v>399</v>
      </c>
      <c r="M31" s="961">
        <v>3</v>
      </c>
      <c r="N31" s="961"/>
      <c r="O31" s="962"/>
      <c r="P31" s="816">
        <f>'Vystup. ukazovatele projektov'!M73</f>
        <v>0</v>
      </c>
      <c r="Q31" s="401">
        <f t="shared" si="7"/>
        <v>0</v>
      </c>
      <c r="R31" s="401"/>
      <c r="S31" s="963"/>
      <c r="T31" s="801">
        <f>'Vystup. ukazovatele projektov'!K73</f>
        <v>0</v>
      </c>
      <c r="U31" s="964">
        <f t="shared" si="8"/>
        <v>0</v>
      </c>
      <c r="V31" s="964"/>
      <c r="W31" s="985"/>
      <c r="X31" s="839">
        <f>'Vystup. ukazovatele projektov'!L73</f>
        <v>0</v>
      </c>
      <c r="Y31" s="964">
        <f t="shared" si="9"/>
        <v>0</v>
      </c>
      <c r="Z31" s="401"/>
      <c r="AA31" s="966"/>
      <c r="AB31" s="855">
        <f>'Vystup. ukazovatele projektov'!O73</f>
        <v>0</v>
      </c>
      <c r="AC31" s="860">
        <f t="shared" si="10"/>
        <v>0</v>
      </c>
      <c r="AD31" s="967">
        <f t="shared" si="4"/>
        <v>0</v>
      </c>
      <c r="AE31" s="884">
        <f>'Vystup. ukazovatele projektov'!N73</f>
        <v>0</v>
      </c>
      <c r="AF31" s="818">
        <f>'Vystup. ukazovatele projektov'!P73</f>
        <v>0</v>
      </c>
    </row>
    <row r="32" spans="1:32" ht="43.5" customHeight="1" x14ac:dyDescent="0.25">
      <c r="A32" s="1285"/>
      <c r="B32" s="1343"/>
      <c r="C32" s="1505"/>
      <c r="D32" s="1475"/>
      <c r="E32" s="1412" t="s">
        <v>9</v>
      </c>
      <c r="F32" s="1389" t="s">
        <v>1891</v>
      </c>
      <c r="G32" s="1389" t="s">
        <v>1924</v>
      </c>
      <c r="H32" s="1387" t="s">
        <v>1945</v>
      </c>
      <c r="I32" s="397" t="s">
        <v>57</v>
      </c>
      <c r="J32" s="120" t="s">
        <v>58</v>
      </c>
      <c r="K32" s="120" t="s">
        <v>251</v>
      </c>
      <c r="L32" s="125" t="s">
        <v>407</v>
      </c>
      <c r="M32" s="961">
        <v>36</v>
      </c>
      <c r="N32" s="961"/>
      <c r="O32" s="962"/>
      <c r="P32" s="816">
        <f>'Vystup. ukazovatele projektov'!M83</f>
        <v>0</v>
      </c>
      <c r="Q32" s="401">
        <f t="shared" si="7"/>
        <v>0</v>
      </c>
      <c r="R32" s="401"/>
      <c r="S32" s="963"/>
      <c r="T32" s="801">
        <f>'Vystup. ukazovatele projektov'!K83</f>
        <v>12.46</v>
      </c>
      <c r="U32" s="964">
        <f t="shared" si="8"/>
        <v>0.34611111111111115</v>
      </c>
      <c r="V32" s="964"/>
      <c r="W32" s="985"/>
      <c r="X32" s="839">
        <f>'Vystup. ukazovatele projektov'!L83</f>
        <v>0</v>
      </c>
      <c r="Y32" s="964">
        <f t="shared" si="9"/>
        <v>0</v>
      </c>
      <c r="Z32" s="401"/>
      <c r="AA32" s="966"/>
      <c r="AB32" s="855">
        <f>'Vystup. ukazovatele projektov'!O83</f>
        <v>0</v>
      </c>
      <c r="AC32" s="860">
        <f t="shared" si="10"/>
        <v>12.46</v>
      </c>
      <c r="AD32" s="967">
        <f t="shared" si="4"/>
        <v>0.34611111111111115</v>
      </c>
      <c r="AE32" s="884">
        <f>'Vystup. ukazovatele projektov'!N83</f>
        <v>0</v>
      </c>
      <c r="AF32" s="818">
        <f>'Vystup. ukazovatele projektov'!P83</f>
        <v>0</v>
      </c>
    </row>
    <row r="33" spans="1:32" ht="43.5" customHeight="1" x14ac:dyDescent="0.25">
      <c r="A33" s="1285"/>
      <c r="B33" s="1343"/>
      <c r="C33" s="1505"/>
      <c r="D33" s="1475"/>
      <c r="E33" s="1403"/>
      <c r="F33" s="1401"/>
      <c r="G33" s="1401"/>
      <c r="H33" s="1475"/>
      <c r="I33" s="131" t="s">
        <v>56</v>
      </c>
      <c r="J33" s="121" t="s">
        <v>249</v>
      </c>
      <c r="K33" s="121" t="s">
        <v>248</v>
      </c>
      <c r="L33" s="122" t="s">
        <v>407</v>
      </c>
      <c r="M33" s="989">
        <v>125</v>
      </c>
      <c r="N33" s="989">
        <v>15</v>
      </c>
      <c r="O33" s="990"/>
      <c r="P33" s="815">
        <f>'Vystup. ukazovatele projektov'!M81</f>
        <v>0</v>
      </c>
      <c r="Q33" s="402">
        <f t="shared" si="7"/>
        <v>0</v>
      </c>
      <c r="R33" s="402">
        <f t="shared" ref="R33:R51" si="11">IF(N33=0,0,P33/N33)</f>
        <v>0</v>
      </c>
      <c r="S33" s="991"/>
      <c r="T33" s="800">
        <f>'Vystup. ukazovatele projektov'!K81</f>
        <v>0</v>
      </c>
      <c r="U33" s="509">
        <f t="shared" si="8"/>
        <v>0</v>
      </c>
      <c r="V33" s="509">
        <f>T33/N33</f>
        <v>0</v>
      </c>
      <c r="W33" s="992"/>
      <c r="X33" s="835">
        <f>'Vystup. ukazovatele projektov'!L81</f>
        <v>0</v>
      </c>
      <c r="Y33" s="509">
        <f t="shared" si="9"/>
        <v>0</v>
      </c>
      <c r="Z33" s="402">
        <f>IF(N33=0,0,X33/N33)</f>
        <v>0</v>
      </c>
      <c r="AA33" s="993"/>
      <c r="AB33" s="853">
        <f>'Vystup. ukazovatele projektov'!O81</f>
        <v>0</v>
      </c>
      <c r="AC33" s="854">
        <f t="shared" ref="AC33:AC36" si="12">T33+AB33</f>
        <v>0</v>
      </c>
      <c r="AD33" s="994">
        <f t="shared" si="4"/>
        <v>0</v>
      </c>
      <c r="AE33" s="880">
        <f>'Vystup. ukazovatele projektov'!N81</f>
        <v>0</v>
      </c>
      <c r="AF33" s="837">
        <f>'Vystup. ukazovatele projektov'!P81</f>
        <v>0</v>
      </c>
    </row>
    <row r="34" spans="1:32" ht="43.5" customHeight="1" x14ac:dyDescent="0.25">
      <c r="A34" s="1285"/>
      <c r="B34" s="1343"/>
      <c r="C34" s="1505"/>
      <c r="D34" s="1475"/>
      <c r="E34" s="1403"/>
      <c r="F34" s="1401"/>
      <c r="G34" s="1448"/>
      <c r="H34" s="1413"/>
      <c r="I34" s="397" t="s">
        <v>59</v>
      </c>
      <c r="J34" s="120" t="s">
        <v>60</v>
      </c>
      <c r="K34" s="120" t="s">
        <v>250</v>
      </c>
      <c r="L34" s="125" t="s">
        <v>407</v>
      </c>
      <c r="M34" s="961">
        <v>446</v>
      </c>
      <c r="N34" s="961"/>
      <c r="O34" s="962"/>
      <c r="P34" s="821">
        <f>'Vystup. ukazovatele projektov'!M82</f>
        <v>195</v>
      </c>
      <c r="Q34" s="401">
        <f t="shared" si="7"/>
        <v>0.43721973094170402</v>
      </c>
      <c r="R34" s="401"/>
      <c r="S34" s="963"/>
      <c r="T34" s="804">
        <f>'Vystup. ukazovatele projektov'!K82</f>
        <v>205.1</v>
      </c>
      <c r="U34" s="964">
        <f t="shared" si="8"/>
        <v>0.4598654708520179</v>
      </c>
      <c r="V34" s="964"/>
      <c r="W34" s="985"/>
      <c r="X34" s="840">
        <f>'Vystup. ukazovatele projektov'!L82</f>
        <v>195</v>
      </c>
      <c r="Y34" s="964">
        <f t="shared" si="9"/>
        <v>0.43721973094170402</v>
      </c>
      <c r="Z34" s="401"/>
      <c r="AA34" s="986"/>
      <c r="AB34" s="861">
        <f>'Vystup. ukazovatele projektov'!O82</f>
        <v>0</v>
      </c>
      <c r="AC34" s="860">
        <f t="shared" si="12"/>
        <v>205.1</v>
      </c>
      <c r="AD34" s="967">
        <f t="shared" si="4"/>
        <v>0.4598654708520179</v>
      </c>
      <c r="AE34" s="885">
        <f>'Vystup. ukazovatele projektov'!N82</f>
        <v>0</v>
      </c>
      <c r="AF34" s="886">
        <f>'Vystup. ukazovatele projektov'!P82</f>
        <v>0</v>
      </c>
    </row>
    <row r="35" spans="1:32" ht="43.5" customHeight="1" thickBot="1" x14ac:dyDescent="0.3">
      <c r="A35" s="1285"/>
      <c r="B35" s="1525"/>
      <c r="C35" s="1524"/>
      <c r="D35" s="1413"/>
      <c r="E35" s="734" t="s">
        <v>2452</v>
      </c>
      <c r="F35" s="735"/>
      <c r="G35" s="735" t="s">
        <v>2453</v>
      </c>
      <c r="H35" s="752" t="s">
        <v>2480</v>
      </c>
      <c r="I35" s="358" t="s">
        <v>32</v>
      </c>
      <c r="J35" s="324" t="s">
        <v>152</v>
      </c>
      <c r="K35" s="324" t="s">
        <v>151</v>
      </c>
      <c r="L35" s="325" t="s">
        <v>399</v>
      </c>
      <c r="M35" s="968">
        <v>516</v>
      </c>
      <c r="N35" s="968"/>
      <c r="O35" s="969"/>
      <c r="P35" s="822">
        <f>'Vystup. ukazovatele projektov'!M72+'Vystup. ukazovatele projektov'!M89</f>
        <v>0</v>
      </c>
      <c r="Q35" s="457">
        <f>IF(M35=0,0,P35/M35)</f>
        <v>0</v>
      </c>
      <c r="R35" s="457"/>
      <c r="S35" s="970"/>
      <c r="T35" s="805">
        <f>'Vystup. ukazovatele projektov'!K72+'Vystup. ukazovatele projektov'!K89</f>
        <v>0</v>
      </c>
      <c r="U35" s="971">
        <f>IF(M35=0,0,T35/M35)</f>
        <v>0</v>
      </c>
      <c r="V35" s="971"/>
      <c r="W35" s="972"/>
      <c r="X35" s="841">
        <f>'Vystup. ukazovatele projektov'!L72+'Vystup. ukazovatele projektov'!L89</f>
        <v>0</v>
      </c>
      <c r="Y35" s="971">
        <f>IF(M35=0,0,X35/M35)</f>
        <v>0</v>
      </c>
      <c r="Z35" s="457"/>
      <c r="AA35" s="987"/>
      <c r="AB35" s="862">
        <f>'Vystup. ukazovatele projektov'!L72+'Vystup. ukazovatele projektov'!O89</f>
        <v>0</v>
      </c>
      <c r="AC35" s="863">
        <f>T35+AB35</f>
        <v>0</v>
      </c>
      <c r="AD35" s="988">
        <f>IF(M35=0,0,AC35/M35)</f>
        <v>0</v>
      </c>
      <c r="AE35" s="887">
        <f>'Vystup. ukazovatele projektov'!N72+'Vystup. ukazovatele projektov'!N89</f>
        <v>0</v>
      </c>
      <c r="AF35" s="888">
        <f>'Vystup. ukazovatele projektov'!P72+'Vystup. ukazovatele projektov'!P89</f>
        <v>0</v>
      </c>
    </row>
    <row r="36" spans="1:32" ht="43.5" customHeight="1" thickBot="1" x14ac:dyDescent="0.3">
      <c r="A36" s="1286"/>
      <c r="B36" s="1452"/>
      <c r="C36" s="1453"/>
      <c r="D36" s="1453"/>
      <c r="E36" s="1453"/>
      <c r="F36" s="1453"/>
      <c r="G36" s="1453"/>
      <c r="H36" s="1454"/>
      <c r="I36" s="1050" t="s">
        <v>409</v>
      </c>
      <c r="J36" s="502" t="s">
        <v>2029</v>
      </c>
      <c r="K36" s="502"/>
      <c r="L36" s="503" t="s">
        <v>410</v>
      </c>
      <c r="M36" s="996">
        <v>1802207500</v>
      </c>
      <c r="N36" s="996">
        <v>430000000</v>
      </c>
      <c r="O36" s="997"/>
      <c r="P36" s="823">
        <v>39007393.560000002</v>
      </c>
      <c r="Q36" s="504">
        <f t="shared" si="7"/>
        <v>2.1644229956872336E-2</v>
      </c>
      <c r="R36" s="504">
        <f t="shared" si="11"/>
        <v>9.071486874418605E-2</v>
      </c>
      <c r="S36" s="998"/>
      <c r="T36" s="806">
        <f>'Vystup. ukazovatele projektov'!K244</f>
        <v>841886458.1400001</v>
      </c>
      <c r="U36" s="510">
        <f t="shared" si="8"/>
        <v>0.46714180145183065</v>
      </c>
      <c r="V36" s="510">
        <f>IF(N36=0,0,T36/N36)</f>
        <v>1.9578754840465118</v>
      </c>
      <c r="W36" s="999"/>
      <c r="X36" s="842">
        <f>'Vystup. ukazovatele projektov'!L244</f>
        <v>316346119.13</v>
      </c>
      <c r="Y36" s="510">
        <f>IF(M36=0,0,X36/M36)</f>
        <v>0.17553257276423498</v>
      </c>
      <c r="Z36" s="504">
        <f>IF(N36=0,0,X36/N36)</f>
        <v>0.73568864913953491</v>
      </c>
      <c r="AA36" s="1000"/>
      <c r="AB36" s="864">
        <f>'Vystup. ukazovatele projektov'!O244</f>
        <v>18630029.909999996</v>
      </c>
      <c r="AC36" s="865">
        <f t="shared" si="12"/>
        <v>860516488.05000007</v>
      </c>
      <c r="AD36" s="1001">
        <f t="shared" si="4"/>
        <v>0.47747914047078377</v>
      </c>
      <c r="AE36" s="889">
        <f>'Vystup. ukazovatele projektov'!N244</f>
        <v>158037636.66000003</v>
      </c>
      <c r="AF36" s="850">
        <f>'Vystup. ukazovatele projektov'!P244</f>
        <v>79706771.569999993</v>
      </c>
    </row>
    <row r="37" spans="1:32" ht="43.5" customHeight="1" thickTop="1" x14ac:dyDescent="0.25">
      <c r="A37" s="1317">
        <v>2</v>
      </c>
      <c r="B37" s="1526" t="s">
        <v>1946</v>
      </c>
      <c r="C37" s="1484">
        <v>42737</v>
      </c>
      <c r="D37" s="1487" t="s">
        <v>2483</v>
      </c>
      <c r="E37" s="1490" t="s">
        <v>10</v>
      </c>
      <c r="F37" s="1493" t="s">
        <v>1892</v>
      </c>
      <c r="G37" s="738" t="s">
        <v>1997</v>
      </c>
      <c r="H37" s="739" t="s">
        <v>2482</v>
      </c>
      <c r="I37" s="131" t="s">
        <v>61</v>
      </c>
      <c r="J37" s="121" t="s">
        <v>1947</v>
      </c>
      <c r="K37" s="121" t="s">
        <v>266</v>
      </c>
      <c r="L37" s="122" t="s">
        <v>405</v>
      </c>
      <c r="M37" s="989">
        <v>12744</v>
      </c>
      <c r="N37" s="989"/>
      <c r="O37" s="990">
        <v>5735</v>
      </c>
      <c r="P37" s="825">
        <f>'Vystup. ukazovatele projektov'!M91+'Vystup. ukazovatele projektov'!M93</f>
        <v>0</v>
      </c>
      <c r="Q37" s="402">
        <f>IF(M37=0,0,P37/M37)</f>
        <v>0</v>
      </c>
      <c r="R37" s="402"/>
      <c r="S37" s="991">
        <f>IF(O37=0,0,R37/O37)</f>
        <v>0</v>
      </c>
      <c r="T37" s="1002">
        <f>'Vystup. ukazovatele projektov'!K91+'Vystup. ukazovatele projektov'!K93</f>
        <v>0</v>
      </c>
      <c r="U37" s="509">
        <f>IF(M37=0,0,T37/M37)</f>
        <v>0</v>
      </c>
      <c r="V37" s="1003"/>
      <c r="W37" s="1004">
        <f>IF(O37=0,0,T37/O37)</f>
        <v>0</v>
      </c>
      <c r="X37" s="847">
        <f>'Vystup. ukazovatele projektov'!L91+'Vystup. ukazovatele projektov'!L93</f>
        <v>0</v>
      </c>
      <c r="Y37" s="509">
        <f>IF(M37=0,0,X37/M37)</f>
        <v>0</v>
      </c>
      <c r="Z37" s="991"/>
      <c r="AA37" s="1005">
        <f>IF(O37=0,0,X37/O37)</f>
        <v>0</v>
      </c>
      <c r="AB37" s="871">
        <f>'Vystup. ukazovatele projektov'!O91+'Vystup. ukazovatele projektov'!O93</f>
        <v>0</v>
      </c>
      <c r="AC37" s="854">
        <f>T37+AB37</f>
        <v>0</v>
      </c>
      <c r="AD37" s="994">
        <f>IF(M37=0,0,AC37/M37)</f>
        <v>0</v>
      </c>
      <c r="AE37" s="825">
        <f>'Vystup. ukazovatele projektov'!N91+'Vystup. ukazovatele projektov'!N93</f>
        <v>0</v>
      </c>
      <c r="AF37" s="894">
        <f>'Vystup. ukazovatele projektov'!P91+'Vystup. ukazovatele projektov'!P93</f>
        <v>0</v>
      </c>
    </row>
    <row r="38" spans="1:32" ht="43.5" customHeight="1" x14ac:dyDescent="0.25">
      <c r="A38" s="1483"/>
      <c r="B38" s="1527"/>
      <c r="C38" s="1485"/>
      <c r="D38" s="1488"/>
      <c r="E38" s="1491"/>
      <c r="F38" s="1494"/>
      <c r="G38" s="259" t="s">
        <v>1928</v>
      </c>
      <c r="H38" s="266" t="s">
        <v>2481</v>
      </c>
      <c r="I38" s="335" t="s">
        <v>63</v>
      </c>
      <c r="J38" s="127" t="s">
        <v>64</v>
      </c>
      <c r="K38" s="127" t="s">
        <v>267</v>
      </c>
      <c r="L38" s="126" t="s">
        <v>399</v>
      </c>
      <c r="M38" s="1006">
        <v>86</v>
      </c>
      <c r="N38" s="1006"/>
      <c r="O38" s="1007"/>
      <c r="P38" s="826">
        <f>'Vystup. ukazovatele projektov'!M95</f>
        <v>0</v>
      </c>
      <c r="Q38" s="1008">
        <f t="shared" si="7"/>
        <v>0</v>
      </c>
      <c r="R38" s="1008"/>
      <c r="S38" s="1009"/>
      <c r="T38" s="808">
        <f>'Vystup. ukazovatele projektov'!K95</f>
        <v>0</v>
      </c>
      <c r="U38" s="1010">
        <f t="shared" si="8"/>
        <v>0</v>
      </c>
      <c r="V38" s="1010"/>
      <c r="W38" s="1011"/>
      <c r="X38" s="843"/>
      <c r="Y38" s="1010">
        <f t="shared" si="9"/>
        <v>0</v>
      </c>
      <c r="Z38" s="1008"/>
      <c r="AA38" s="1012"/>
      <c r="AB38" s="866">
        <f>'Vystup. ukazovatele projektov'!O95</f>
        <v>0</v>
      </c>
      <c r="AC38" s="807">
        <f t="shared" ref="AC38:AC40" si="13">T38+AB38</f>
        <v>0</v>
      </c>
      <c r="AD38" s="1013">
        <f t="shared" si="4"/>
        <v>0</v>
      </c>
      <c r="AE38" s="824">
        <f>'Vystup. ukazovatele projektov'!N95</f>
        <v>0</v>
      </c>
      <c r="AF38" s="844">
        <f>'Vystup. ukazovatele projektov'!P95</f>
        <v>0</v>
      </c>
    </row>
    <row r="39" spans="1:32" ht="43.5" customHeight="1" x14ac:dyDescent="0.25">
      <c r="A39" s="1483"/>
      <c r="B39" s="1527"/>
      <c r="C39" s="1485"/>
      <c r="D39" s="1488"/>
      <c r="E39" s="1491"/>
      <c r="F39" s="1494"/>
      <c r="G39" s="949" t="s">
        <v>1929</v>
      </c>
      <c r="H39" s="258" t="s">
        <v>1948</v>
      </c>
      <c r="I39" s="335" t="s">
        <v>65</v>
      </c>
      <c r="J39" s="127" t="s">
        <v>1938</v>
      </c>
      <c r="K39" s="127" t="s">
        <v>264</v>
      </c>
      <c r="L39" s="126" t="s">
        <v>399</v>
      </c>
      <c r="M39" s="1006">
        <v>4</v>
      </c>
      <c r="N39" s="1006"/>
      <c r="O39" s="1007"/>
      <c r="P39" s="826">
        <f>'Vystup. ukazovatele projektov'!M96</f>
        <v>0</v>
      </c>
      <c r="Q39" s="1008">
        <f t="shared" si="7"/>
        <v>0</v>
      </c>
      <c r="R39" s="1008"/>
      <c r="S39" s="1009"/>
      <c r="T39" s="808">
        <f>'Vystup. ukazovatele projektov'!K96</f>
        <v>0</v>
      </c>
      <c r="U39" s="1010">
        <f t="shared" si="8"/>
        <v>0</v>
      </c>
      <c r="V39" s="1010"/>
      <c r="W39" s="1011"/>
      <c r="X39" s="843"/>
      <c r="Y39" s="1010">
        <f t="shared" si="9"/>
        <v>0</v>
      </c>
      <c r="Z39" s="1008"/>
      <c r="AA39" s="1012"/>
      <c r="AB39" s="866">
        <f>'Vystup. ukazovatele projektov'!O96</f>
        <v>0</v>
      </c>
      <c r="AC39" s="807">
        <f t="shared" si="13"/>
        <v>0</v>
      </c>
      <c r="AD39" s="1013">
        <f t="shared" si="4"/>
        <v>0</v>
      </c>
      <c r="AE39" s="824">
        <f>'Vystup. ukazovatele projektov'!N96</f>
        <v>0</v>
      </c>
      <c r="AF39" s="844">
        <f>'Vystup. ukazovatele projektov'!P96</f>
        <v>0</v>
      </c>
    </row>
    <row r="40" spans="1:32" ht="43.5" customHeight="1" x14ac:dyDescent="0.25">
      <c r="A40" s="1483"/>
      <c r="B40" s="1527"/>
      <c r="C40" s="1485"/>
      <c r="D40" s="1488"/>
      <c r="E40" s="1491"/>
      <c r="F40" s="1494"/>
      <c r="G40" s="259" t="s">
        <v>1949</v>
      </c>
      <c r="H40" s="258" t="s">
        <v>1950</v>
      </c>
      <c r="I40" s="335" t="s">
        <v>67</v>
      </c>
      <c r="J40" s="127" t="s">
        <v>68</v>
      </c>
      <c r="K40" s="127" t="s">
        <v>265</v>
      </c>
      <c r="L40" s="126" t="s">
        <v>399</v>
      </c>
      <c r="M40" s="1006">
        <v>10</v>
      </c>
      <c r="N40" s="1006"/>
      <c r="O40" s="1007"/>
      <c r="P40" s="826">
        <f>'Vystup. ukazovatele projektov'!M97</f>
        <v>0</v>
      </c>
      <c r="Q40" s="1008">
        <f t="shared" si="7"/>
        <v>0</v>
      </c>
      <c r="R40" s="1008"/>
      <c r="S40" s="1009"/>
      <c r="T40" s="808">
        <f>'Vystup. ukazovatele projektov'!K97</f>
        <v>0</v>
      </c>
      <c r="U40" s="1010">
        <f t="shared" si="8"/>
        <v>0</v>
      </c>
      <c r="V40" s="1010"/>
      <c r="W40" s="1011"/>
      <c r="X40" s="843"/>
      <c r="Y40" s="1010">
        <f t="shared" si="9"/>
        <v>0</v>
      </c>
      <c r="Z40" s="1008"/>
      <c r="AA40" s="1012"/>
      <c r="AB40" s="866">
        <f>'Vystup. ukazovatele projektov'!O97</f>
        <v>0</v>
      </c>
      <c r="AC40" s="807">
        <f t="shared" si="13"/>
        <v>0</v>
      </c>
      <c r="AD40" s="1013">
        <f t="shared" si="4"/>
        <v>0</v>
      </c>
      <c r="AE40" s="824">
        <f>'Vystup. ukazovatele projektov'!N97</f>
        <v>0</v>
      </c>
      <c r="AF40" s="844">
        <f>'Vystup. ukazovatele projektov'!P97</f>
        <v>0</v>
      </c>
    </row>
    <row r="41" spans="1:32" ht="43.5" customHeight="1" x14ac:dyDescent="0.25">
      <c r="A41" s="1483"/>
      <c r="B41" s="1527"/>
      <c r="C41" s="1485"/>
      <c r="D41" s="1488"/>
      <c r="E41" s="1492"/>
      <c r="F41" s="1495"/>
      <c r="G41" s="259" t="s">
        <v>1951</v>
      </c>
      <c r="H41" s="258" t="s">
        <v>1952</v>
      </c>
      <c r="I41" s="335" t="s">
        <v>32</v>
      </c>
      <c r="J41" s="127" t="s">
        <v>152</v>
      </c>
      <c r="K41" s="127" t="s">
        <v>151</v>
      </c>
      <c r="L41" s="126" t="s">
        <v>399</v>
      </c>
      <c r="M41" s="1006">
        <v>193</v>
      </c>
      <c r="N41" s="1006"/>
      <c r="O41" s="1007"/>
      <c r="P41" s="826">
        <f>'Vystup. ukazovatele projektov'!M99</f>
        <v>0</v>
      </c>
      <c r="Q41" s="1008">
        <f t="shared" si="7"/>
        <v>0</v>
      </c>
      <c r="R41" s="1008"/>
      <c r="S41" s="1009"/>
      <c r="T41" s="808">
        <f>'Vystup. ukazovatele projektov'!K99</f>
        <v>0</v>
      </c>
      <c r="U41" s="1010">
        <f t="shared" si="8"/>
        <v>0</v>
      </c>
      <c r="V41" s="1010"/>
      <c r="W41" s="1011"/>
      <c r="X41" s="843"/>
      <c r="Y41" s="1010">
        <f t="shared" si="9"/>
        <v>0</v>
      </c>
      <c r="Z41" s="1008"/>
      <c r="AA41" s="1012"/>
      <c r="AB41" s="866">
        <f>'Vystup. ukazovatele projektov'!O99</f>
        <v>0</v>
      </c>
      <c r="AC41" s="807">
        <f>T41+AB41</f>
        <v>0</v>
      </c>
      <c r="AD41" s="1013">
        <f t="shared" si="4"/>
        <v>0</v>
      </c>
      <c r="AE41" s="824">
        <f>'Vystup. ukazovatele projektov'!N99</f>
        <v>0</v>
      </c>
      <c r="AF41" s="844">
        <f>'Vystup. ukazovatele projektov'!P99</f>
        <v>0</v>
      </c>
    </row>
    <row r="42" spans="1:32" ht="43.5" customHeight="1" thickBot="1" x14ac:dyDescent="0.3">
      <c r="A42" s="1483"/>
      <c r="B42" s="1528"/>
      <c r="C42" s="1486"/>
      <c r="D42" s="1489"/>
      <c r="E42" s="952" t="s">
        <v>11</v>
      </c>
      <c r="F42" s="950" t="s">
        <v>1893</v>
      </c>
      <c r="G42" s="951" t="s">
        <v>1924</v>
      </c>
      <c r="H42" s="343" t="s">
        <v>1953</v>
      </c>
      <c r="I42" s="359" t="s">
        <v>56</v>
      </c>
      <c r="J42" s="344" t="s">
        <v>249</v>
      </c>
      <c r="K42" s="344" t="s">
        <v>270</v>
      </c>
      <c r="L42" s="345" t="s">
        <v>407</v>
      </c>
      <c r="M42" s="1014">
        <v>108</v>
      </c>
      <c r="N42" s="1014"/>
      <c r="O42" s="1015"/>
      <c r="P42" s="827">
        <f>'Vystup. ukazovatele projektov'!M101</f>
        <v>0</v>
      </c>
      <c r="Q42" s="1016">
        <f t="shared" si="7"/>
        <v>0</v>
      </c>
      <c r="R42" s="1016"/>
      <c r="S42" s="1017"/>
      <c r="T42" s="809">
        <f>'Vystup. ukazovatele projektov'!K101</f>
        <v>0</v>
      </c>
      <c r="U42" s="1018">
        <f t="shared" si="8"/>
        <v>0</v>
      </c>
      <c r="V42" s="1018"/>
      <c r="W42" s="1019"/>
      <c r="X42" s="845"/>
      <c r="Y42" s="1018">
        <f t="shared" si="9"/>
        <v>0</v>
      </c>
      <c r="Z42" s="1016"/>
      <c r="AA42" s="1020"/>
      <c r="AB42" s="867">
        <f>'Vystup. ukazovatele projektov'!O101</f>
        <v>0</v>
      </c>
      <c r="AC42" s="868">
        <f t="shared" ref="AC42:AC51" si="14">T42+AB42</f>
        <v>0</v>
      </c>
      <c r="AD42" s="1021">
        <f t="shared" si="4"/>
        <v>0</v>
      </c>
      <c r="AE42" s="890">
        <f>'Vystup. ukazovatele projektov'!N101</f>
        <v>0</v>
      </c>
      <c r="AF42" s="891">
        <f>'Vystup. ukazovatele projektov'!P101</f>
        <v>0</v>
      </c>
    </row>
    <row r="43" spans="1:32" ht="43.5" customHeight="1" thickBot="1" x14ac:dyDescent="0.3">
      <c r="A43" s="1318"/>
      <c r="B43" s="1433"/>
      <c r="C43" s="1434"/>
      <c r="D43" s="1434"/>
      <c r="E43" s="1434"/>
      <c r="F43" s="1434"/>
      <c r="G43" s="1434"/>
      <c r="H43" s="1435"/>
      <c r="I43" s="1050" t="s">
        <v>409</v>
      </c>
      <c r="J43" s="502" t="s">
        <v>2029</v>
      </c>
      <c r="K43" s="502"/>
      <c r="L43" s="503" t="s">
        <v>410</v>
      </c>
      <c r="M43" s="996">
        <v>493348542</v>
      </c>
      <c r="N43" s="996">
        <v>118000000</v>
      </c>
      <c r="O43" s="997"/>
      <c r="P43" s="823">
        <v>0</v>
      </c>
      <c r="Q43" s="504">
        <f t="shared" si="7"/>
        <v>0</v>
      </c>
      <c r="R43" s="504">
        <f>IF(N43=0,0,P43/N43)</f>
        <v>0</v>
      </c>
      <c r="S43" s="998"/>
      <c r="T43" s="806">
        <f>'Vystup. ukazovatele projektov'!K247</f>
        <v>0</v>
      </c>
      <c r="U43" s="510"/>
      <c r="V43" s="510"/>
      <c r="W43" s="999"/>
      <c r="X43" s="842">
        <f>'Vystup. ukazovatele projektov'!L247</f>
        <v>0</v>
      </c>
      <c r="Y43" s="510">
        <f t="shared" si="9"/>
        <v>0</v>
      </c>
      <c r="Z43" s="504"/>
      <c r="AA43" s="1000"/>
      <c r="AB43" s="864"/>
      <c r="AC43" s="865">
        <f t="shared" si="14"/>
        <v>0</v>
      </c>
      <c r="AD43" s="1001">
        <f t="shared" si="4"/>
        <v>0</v>
      </c>
      <c r="AE43" s="889"/>
      <c r="AF43" s="850"/>
    </row>
    <row r="44" spans="1:32" ht="43.5" customHeight="1" thickTop="1" x14ac:dyDescent="0.25">
      <c r="A44" s="1469">
        <v>3</v>
      </c>
      <c r="B44" s="1436" t="s">
        <v>1954</v>
      </c>
      <c r="C44" s="1439">
        <v>42738</v>
      </c>
      <c r="D44" s="1442" t="s">
        <v>1909</v>
      </c>
      <c r="E44" s="1455" t="s">
        <v>13</v>
      </c>
      <c r="F44" s="1442" t="s">
        <v>1910</v>
      </c>
      <c r="G44" s="261" t="s">
        <v>1924</v>
      </c>
      <c r="H44" s="261" t="s">
        <v>1955</v>
      </c>
      <c r="I44" s="208" t="s">
        <v>69</v>
      </c>
      <c r="J44" s="925" t="s">
        <v>1976</v>
      </c>
      <c r="K44" s="925" t="s">
        <v>292</v>
      </c>
      <c r="L44" s="136" t="s">
        <v>399</v>
      </c>
      <c r="M44" s="1022">
        <v>2</v>
      </c>
      <c r="N44" s="1023"/>
      <c r="O44" s="1024"/>
      <c r="P44" s="828">
        <f>'Vystup. ukazovatele projektov'!M108</f>
        <v>0</v>
      </c>
      <c r="Q44" s="1025">
        <f t="shared" si="7"/>
        <v>0</v>
      </c>
      <c r="R44" s="1025"/>
      <c r="S44" s="1026"/>
      <c r="T44" s="810">
        <f>'Vystup. ukazovatele projektov'!K108</f>
        <v>0</v>
      </c>
      <c r="U44" s="507">
        <f t="shared" ref="U44:U63" si="15">IF(M44=0,0,T44/M44)</f>
        <v>0</v>
      </c>
      <c r="V44" s="507"/>
      <c r="W44" s="1027"/>
      <c r="X44" s="846">
        <f>'Vystup. ukazovatele projektov'!L108</f>
        <v>0</v>
      </c>
      <c r="Y44" s="507">
        <f t="shared" si="9"/>
        <v>0</v>
      </c>
      <c r="Z44" s="1025"/>
      <c r="AA44" s="1028"/>
      <c r="AB44" s="869">
        <f>'Vystup. ukazovatele projektov'!O108</f>
        <v>0</v>
      </c>
      <c r="AC44" s="870">
        <f t="shared" si="14"/>
        <v>0</v>
      </c>
      <c r="AD44" s="1029">
        <f t="shared" si="4"/>
        <v>0</v>
      </c>
      <c r="AE44" s="892">
        <f>'Vystup. ukazovatele projektov'!N108</f>
        <v>0</v>
      </c>
      <c r="AF44" s="893">
        <f>'Vystup. ukazovatele projektov'!P108</f>
        <v>0</v>
      </c>
    </row>
    <row r="45" spans="1:32" ht="43.5" customHeight="1" x14ac:dyDescent="0.25">
      <c r="A45" s="1470"/>
      <c r="B45" s="1437"/>
      <c r="C45" s="1440"/>
      <c r="D45" s="1437"/>
      <c r="E45" s="1456"/>
      <c r="F45" s="1437"/>
      <c r="G45" s="260" t="s">
        <v>1925</v>
      </c>
      <c r="H45" s="262" t="s">
        <v>1956</v>
      </c>
      <c r="I45" s="131" t="s">
        <v>71</v>
      </c>
      <c r="J45" s="123" t="s">
        <v>1911</v>
      </c>
      <c r="K45" s="128" t="s">
        <v>289</v>
      </c>
      <c r="L45" s="129" t="s">
        <v>399</v>
      </c>
      <c r="M45" s="989">
        <v>2</v>
      </c>
      <c r="N45" s="989">
        <v>1</v>
      </c>
      <c r="O45" s="990"/>
      <c r="P45" s="815">
        <f>'Vystup. ukazovatele projektov'!M113</f>
        <v>0</v>
      </c>
      <c r="Q45" s="402">
        <f t="shared" si="7"/>
        <v>0</v>
      </c>
      <c r="R45" s="402">
        <f t="shared" si="11"/>
        <v>0</v>
      </c>
      <c r="S45" s="991"/>
      <c r="T45" s="811">
        <f>'Vystup. ukazovatele projektov'!K113</f>
        <v>0</v>
      </c>
      <c r="U45" s="509">
        <f t="shared" si="15"/>
        <v>0</v>
      </c>
      <c r="V45" s="509">
        <f>IF(N45=0,0,T45/N45)</f>
        <v>0</v>
      </c>
      <c r="W45" s="992"/>
      <c r="X45" s="847">
        <f>'Vystup. ukazovatele projektov'!L113</f>
        <v>0</v>
      </c>
      <c r="Y45" s="509">
        <f t="shared" si="9"/>
        <v>0</v>
      </c>
      <c r="Z45" s="402">
        <f>IF(N45=0,0,X45/N45)</f>
        <v>0</v>
      </c>
      <c r="AA45" s="1005"/>
      <c r="AB45" s="871">
        <f>'Vystup. ukazovatele projektov'!O113</f>
        <v>0</v>
      </c>
      <c r="AC45" s="854">
        <f t="shared" si="14"/>
        <v>0</v>
      </c>
      <c r="AD45" s="994">
        <f t="shared" si="4"/>
        <v>0</v>
      </c>
      <c r="AE45" s="825">
        <f>'Vystup. ukazovatele projektov'!N113</f>
        <v>0</v>
      </c>
      <c r="AF45" s="894">
        <f>'Vystup. ukazovatele projektov'!P113</f>
        <v>0</v>
      </c>
    </row>
    <row r="46" spans="1:32" ht="43.5" customHeight="1" x14ac:dyDescent="0.25">
      <c r="A46" s="1470"/>
      <c r="B46" s="1437"/>
      <c r="C46" s="1440"/>
      <c r="D46" s="1437"/>
      <c r="E46" s="1457" t="s">
        <v>16</v>
      </c>
      <c r="F46" s="1458" t="s">
        <v>1912</v>
      </c>
      <c r="G46" s="1458" t="s">
        <v>1924</v>
      </c>
      <c r="H46" s="1459" t="s">
        <v>1958</v>
      </c>
      <c r="I46" s="131" t="s">
        <v>56</v>
      </c>
      <c r="J46" s="121" t="s">
        <v>1973</v>
      </c>
      <c r="K46" s="121" t="s">
        <v>270</v>
      </c>
      <c r="L46" s="129" t="s">
        <v>407</v>
      </c>
      <c r="M46" s="989">
        <v>219</v>
      </c>
      <c r="N46" s="989">
        <v>77</v>
      </c>
      <c r="O46" s="990"/>
      <c r="P46" s="829">
        <f>'Vystup. ukazovatele projektov'!M115</f>
        <v>0</v>
      </c>
      <c r="Q46" s="402">
        <f t="shared" si="7"/>
        <v>0</v>
      </c>
      <c r="R46" s="402">
        <f t="shared" si="11"/>
        <v>0</v>
      </c>
      <c r="S46" s="991"/>
      <c r="T46" s="811">
        <f>'Vystup. ukazovatele projektov'!K115</f>
        <v>0</v>
      </c>
      <c r="U46" s="509">
        <f t="shared" si="15"/>
        <v>0</v>
      </c>
      <c r="V46" s="509">
        <f>IF(N46=0,0,T46/N46)</f>
        <v>0</v>
      </c>
      <c r="W46" s="992"/>
      <c r="X46" s="847">
        <f>'Vystup. ukazovatele projektov'!L115</f>
        <v>0</v>
      </c>
      <c r="Y46" s="509">
        <f t="shared" si="9"/>
        <v>0</v>
      </c>
      <c r="Z46" s="402">
        <f>IF(N46=0,0,X46/N46)</f>
        <v>0</v>
      </c>
      <c r="AA46" s="1005"/>
      <c r="AB46" s="871">
        <f>'Vystup. ukazovatele projektov'!O115</f>
        <v>0</v>
      </c>
      <c r="AC46" s="854">
        <f t="shared" si="14"/>
        <v>0</v>
      </c>
      <c r="AD46" s="994">
        <f t="shared" si="4"/>
        <v>0</v>
      </c>
      <c r="AE46" s="825">
        <f>'Vystup. ukazovatele projektov'!N115</f>
        <v>0</v>
      </c>
      <c r="AF46" s="894">
        <f>'Vystup. ukazovatele projektov'!P115</f>
        <v>0</v>
      </c>
    </row>
    <row r="47" spans="1:32" ht="43.5" customHeight="1" x14ac:dyDescent="0.25">
      <c r="A47" s="1470"/>
      <c r="B47" s="1437"/>
      <c r="C47" s="1440"/>
      <c r="D47" s="1437"/>
      <c r="E47" s="1457"/>
      <c r="F47" s="1458"/>
      <c r="G47" s="1458"/>
      <c r="H47" s="1459"/>
      <c r="I47" s="437" t="s">
        <v>73</v>
      </c>
      <c r="J47" s="926" t="s">
        <v>74</v>
      </c>
      <c r="K47" s="926" t="s">
        <v>296</v>
      </c>
      <c r="L47" s="931" t="s">
        <v>407</v>
      </c>
      <c r="M47" s="1030">
        <v>806</v>
      </c>
      <c r="N47" s="1030"/>
      <c r="O47" s="1031"/>
      <c r="P47" s="830">
        <f>'Vystup. ukazovatele projektov'!M117</f>
        <v>0</v>
      </c>
      <c r="Q47" s="1032">
        <f t="shared" si="7"/>
        <v>0</v>
      </c>
      <c r="R47" s="1032"/>
      <c r="S47" s="1033"/>
      <c r="T47" s="812">
        <f>'Vystup. ukazovatele projektov'!K117</f>
        <v>0</v>
      </c>
      <c r="U47" s="508">
        <f t="shared" si="15"/>
        <v>0</v>
      </c>
      <c r="V47" s="508"/>
      <c r="W47" s="1034"/>
      <c r="X47" s="848">
        <f>'Vystup. ukazovatele projektov'!L117</f>
        <v>0</v>
      </c>
      <c r="Y47" s="508">
        <f t="shared" si="9"/>
        <v>0</v>
      </c>
      <c r="Z47" s="1032"/>
      <c r="AA47" s="1035"/>
      <c r="AB47" s="872">
        <f>'Vystup. ukazovatele projektov'!O117</f>
        <v>0</v>
      </c>
      <c r="AC47" s="873">
        <f t="shared" si="14"/>
        <v>0</v>
      </c>
      <c r="AD47" s="1036">
        <f t="shared" si="4"/>
        <v>0</v>
      </c>
      <c r="AE47" s="895">
        <f>'Vystup. ukazovatele projektov'!N117</f>
        <v>0</v>
      </c>
      <c r="AF47" s="896">
        <f>'Vystup. ukazovatele projektov'!P117</f>
        <v>0</v>
      </c>
    </row>
    <row r="48" spans="1:32" ht="43.5" customHeight="1" x14ac:dyDescent="0.25">
      <c r="A48" s="1470"/>
      <c r="B48" s="1437"/>
      <c r="C48" s="1440"/>
      <c r="D48" s="1437"/>
      <c r="E48" s="1457"/>
      <c r="F48" s="1437"/>
      <c r="G48" s="435" t="s">
        <v>1925</v>
      </c>
      <c r="H48" s="436" t="s">
        <v>1957</v>
      </c>
      <c r="I48" s="437" t="s">
        <v>75</v>
      </c>
      <c r="J48" s="926" t="s">
        <v>76</v>
      </c>
      <c r="K48" s="926" t="s">
        <v>293</v>
      </c>
      <c r="L48" s="931" t="s">
        <v>407</v>
      </c>
      <c r="M48" s="1030">
        <v>21965</v>
      </c>
      <c r="N48" s="1037"/>
      <c r="O48" s="1038"/>
      <c r="P48" s="830">
        <f>'Vystup. ukazovatele projektov'!M124</f>
        <v>0</v>
      </c>
      <c r="Q48" s="1032">
        <f t="shared" si="7"/>
        <v>0</v>
      </c>
      <c r="R48" s="1032"/>
      <c r="S48" s="1033"/>
      <c r="T48" s="812">
        <f>'Vystup. ukazovatele projektov'!K124</f>
        <v>0</v>
      </c>
      <c r="U48" s="508">
        <f t="shared" si="15"/>
        <v>0</v>
      </c>
      <c r="V48" s="508"/>
      <c r="W48" s="1034"/>
      <c r="X48" s="848">
        <f>'Vystup. ukazovatele projektov'!L124</f>
        <v>0</v>
      </c>
      <c r="Y48" s="508">
        <f t="shared" si="9"/>
        <v>0</v>
      </c>
      <c r="Z48" s="1032"/>
      <c r="AA48" s="1035"/>
      <c r="AB48" s="872">
        <f>'Vystup. ukazovatele projektov'!O124</f>
        <v>0</v>
      </c>
      <c r="AC48" s="873">
        <f t="shared" si="14"/>
        <v>0</v>
      </c>
      <c r="AD48" s="1036">
        <f t="shared" si="4"/>
        <v>0</v>
      </c>
      <c r="AE48" s="895">
        <f>'Vystup. ukazovatele projektov'!N124</f>
        <v>0</v>
      </c>
      <c r="AF48" s="896">
        <f>'Vystup. ukazovatele projektov'!P124</f>
        <v>0</v>
      </c>
    </row>
    <row r="49" spans="1:35" ht="43.5" customHeight="1" x14ac:dyDescent="0.25">
      <c r="A49" s="1470"/>
      <c r="B49" s="1437"/>
      <c r="C49" s="1440"/>
      <c r="D49" s="1437"/>
      <c r="E49" s="1457" t="s">
        <v>17</v>
      </c>
      <c r="F49" s="1458" t="s">
        <v>1894</v>
      </c>
      <c r="G49" s="262" t="s">
        <v>1924</v>
      </c>
      <c r="H49" s="264" t="s">
        <v>1959</v>
      </c>
      <c r="I49" s="336" t="s">
        <v>77</v>
      </c>
      <c r="J49" s="926" t="s">
        <v>1974</v>
      </c>
      <c r="K49" s="926" t="s">
        <v>293</v>
      </c>
      <c r="L49" s="931" t="s">
        <v>399</v>
      </c>
      <c r="M49" s="1030">
        <v>20</v>
      </c>
      <c r="N49" s="1039"/>
      <c r="O49" s="1040"/>
      <c r="P49" s="831">
        <f>'Vystup. ukazovatele projektov'!M130</f>
        <v>0</v>
      </c>
      <c r="Q49" s="1032">
        <f t="shared" si="7"/>
        <v>0</v>
      </c>
      <c r="R49" s="1032"/>
      <c r="S49" s="1033"/>
      <c r="T49" s="812">
        <f>'Vystup. ukazovatele projektov'!K130</f>
        <v>0</v>
      </c>
      <c r="U49" s="508">
        <f t="shared" si="15"/>
        <v>0</v>
      </c>
      <c r="V49" s="508"/>
      <c r="W49" s="1034"/>
      <c r="X49" s="848">
        <f>'Vystup. ukazovatele projektov'!L130</f>
        <v>0</v>
      </c>
      <c r="Y49" s="508">
        <f t="shared" si="9"/>
        <v>0</v>
      </c>
      <c r="Z49" s="1032"/>
      <c r="AA49" s="1035"/>
      <c r="AB49" s="872">
        <f>'Vystup. ukazovatele projektov'!O130</f>
        <v>0</v>
      </c>
      <c r="AC49" s="873">
        <f t="shared" si="14"/>
        <v>0</v>
      </c>
      <c r="AD49" s="1036">
        <f t="shared" si="4"/>
        <v>0</v>
      </c>
      <c r="AE49" s="895">
        <f>'Vystup. ukazovatele projektov'!N130</f>
        <v>0</v>
      </c>
      <c r="AF49" s="896">
        <f>'Vystup. ukazovatele projektov'!P130</f>
        <v>0</v>
      </c>
    </row>
    <row r="50" spans="1:35" ht="43.5" customHeight="1" thickBot="1" x14ac:dyDescent="0.3">
      <c r="A50" s="1470"/>
      <c r="B50" s="1438"/>
      <c r="C50" s="1441"/>
      <c r="D50" s="1438"/>
      <c r="E50" s="1460"/>
      <c r="F50" s="1438"/>
      <c r="G50" s="339" t="s">
        <v>1925</v>
      </c>
      <c r="H50" s="340" t="s">
        <v>1960</v>
      </c>
      <c r="I50" s="1051" t="s">
        <v>79</v>
      </c>
      <c r="J50" s="341" t="s">
        <v>1975</v>
      </c>
      <c r="K50" s="341" t="s">
        <v>316</v>
      </c>
      <c r="L50" s="342" t="s">
        <v>399</v>
      </c>
      <c r="M50" s="995">
        <v>4</v>
      </c>
      <c r="N50" s="995">
        <v>1</v>
      </c>
      <c r="O50" s="1043"/>
      <c r="P50" s="832">
        <f>'Vystup. ukazovatele projektov'!M134</f>
        <v>0</v>
      </c>
      <c r="Q50" s="1044">
        <f t="shared" si="7"/>
        <v>0</v>
      </c>
      <c r="R50" s="1044">
        <f t="shared" si="11"/>
        <v>0</v>
      </c>
      <c r="S50" s="1045"/>
      <c r="T50" s="813">
        <f>'Vystup. ukazovatele projektov'!K134</f>
        <v>2</v>
      </c>
      <c r="U50" s="1046">
        <f t="shared" si="15"/>
        <v>0.5</v>
      </c>
      <c r="V50" s="1046">
        <f>IF(N50=0,0,T50/N50)</f>
        <v>2</v>
      </c>
      <c r="W50" s="1046"/>
      <c r="X50" s="849">
        <f>'Vystup. ukazovatele projektov'!L134</f>
        <v>1</v>
      </c>
      <c r="Y50" s="1046">
        <f t="shared" si="9"/>
        <v>0.25</v>
      </c>
      <c r="Z50" s="1044">
        <f t="shared" ref="Z50:Z51" si="16">IF(N50=0,0,X50/N50)</f>
        <v>1</v>
      </c>
      <c r="AA50" s="1047"/>
      <c r="AB50" s="874">
        <f>'Vystup. ukazovatele projektov'!O134</f>
        <v>0</v>
      </c>
      <c r="AC50" s="875">
        <f t="shared" si="14"/>
        <v>2</v>
      </c>
      <c r="AD50" s="1048">
        <f t="shared" si="4"/>
        <v>0.5</v>
      </c>
      <c r="AE50" s="897">
        <f>'Vystup. ukazovatele projektov'!N134</f>
        <v>0</v>
      </c>
      <c r="AF50" s="898">
        <f>'Vystup. ukazovatele projektov'!P134</f>
        <v>0</v>
      </c>
    </row>
    <row r="51" spans="1:35" ht="43.5" customHeight="1" thickBot="1" x14ac:dyDescent="0.3">
      <c r="A51" s="1471"/>
      <c r="B51" s="1461"/>
      <c r="C51" s="1462"/>
      <c r="D51" s="1462"/>
      <c r="E51" s="1462"/>
      <c r="F51" s="1462"/>
      <c r="G51" s="1462"/>
      <c r="H51" s="1463"/>
      <c r="I51" s="1050" t="s">
        <v>409</v>
      </c>
      <c r="J51" s="505" t="s">
        <v>2029</v>
      </c>
      <c r="K51" s="505"/>
      <c r="L51" s="506" t="s">
        <v>410</v>
      </c>
      <c r="M51" s="996">
        <v>306942787</v>
      </c>
      <c r="N51" s="996">
        <v>74603549</v>
      </c>
      <c r="O51" s="1049"/>
      <c r="P51" s="833">
        <v>0</v>
      </c>
      <c r="Q51" s="504">
        <f t="shared" si="7"/>
        <v>0</v>
      </c>
      <c r="R51" s="504">
        <f t="shared" si="11"/>
        <v>0</v>
      </c>
      <c r="S51" s="998"/>
      <c r="T51" s="806">
        <f>'Vystup. ukazovatele projektov'!K251</f>
        <v>49674703.509999998</v>
      </c>
      <c r="U51" s="510">
        <f t="shared" si="15"/>
        <v>0.16183701202269984</v>
      </c>
      <c r="V51" s="510">
        <f>IF(N51=0,0,T51/N51)</f>
        <v>0.66584906718043668</v>
      </c>
      <c r="W51" s="510"/>
      <c r="X51" s="850">
        <f>'Vystup. ukazovatele projektov'!L251</f>
        <v>46728795.359999999</v>
      </c>
      <c r="Y51" s="510">
        <f t="shared" si="9"/>
        <v>0.15223943138302187</v>
      </c>
      <c r="Z51" s="504">
        <f t="shared" si="16"/>
        <v>0.62636156035954804</v>
      </c>
      <c r="AA51" s="1000"/>
      <c r="AB51" s="864">
        <f>'Vystup. ukazovatele projektov'!O251</f>
        <v>0</v>
      </c>
      <c r="AC51" s="876">
        <f t="shared" si="14"/>
        <v>49674703.509999998</v>
      </c>
      <c r="AD51" s="1001">
        <f t="shared" si="4"/>
        <v>0.16183701202269984</v>
      </c>
      <c r="AE51" s="823">
        <f>'Vystup. ukazovatele projektov'!N251</f>
        <v>0</v>
      </c>
      <c r="AF51" s="850">
        <f>'Vystup. ukazovatele projektov'!P251</f>
        <v>0</v>
      </c>
    </row>
    <row r="52" spans="1:35" ht="43.5" customHeight="1" thickTop="1" x14ac:dyDescent="0.25">
      <c r="A52" s="1066">
        <v>4</v>
      </c>
      <c r="B52" s="1067" t="s">
        <v>1977</v>
      </c>
      <c r="C52" s="1068">
        <v>42739</v>
      </c>
      <c r="D52" s="1067" t="s">
        <v>1913</v>
      </c>
      <c r="E52" s="1058" t="s">
        <v>2398</v>
      </c>
      <c r="F52" s="1059" t="s">
        <v>1914</v>
      </c>
      <c r="G52" s="1521" t="s">
        <v>1928</v>
      </c>
      <c r="H52" s="1522" t="s">
        <v>1961</v>
      </c>
      <c r="I52" s="132" t="s">
        <v>2464</v>
      </c>
      <c r="J52" s="130" t="s">
        <v>2465</v>
      </c>
      <c r="K52" s="130" t="s">
        <v>332</v>
      </c>
      <c r="L52" s="916" t="s">
        <v>399</v>
      </c>
      <c r="M52" s="1093">
        <v>70000</v>
      </c>
      <c r="N52" s="1105"/>
      <c r="O52" s="1106"/>
      <c r="P52" s="466">
        <f>'Vystup. ukazovatele projektov'!M156</f>
        <v>3427</v>
      </c>
      <c r="Q52" s="1041">
        <f t="shared" ref="Q52:Q73" si="17">IF(M52=0,0,P52/M52)</f>
        <v>4.8957142857142859E-2</v>
      </c>
      <c r="R52" s="1041"/>
      <c r="S52" s="1096"/>
      <c r="T52" s="770">
        <f>'Vystup. ukazovatele projektov'!K156</f>
        <v>13500</v>
      </c>
      <c r="U52" s="1042">
        <f t="shared" si="15"/>
        <v>0.19285714285714287</v>
      </c>
      <c r="V52" s="1088"/>
      <c r="W52" s="1107"/>
      <c r="X52" s="142">
        <f>'Vystup. ukazovatele projektov'!L156</f>
        <v>3427</v>
      </c>
      <c r="Y52" s="1042">
        <f t="shared" ref="Y52:Y73" si="18">IF(M52=0,0,X52/M52)</f>
        <v>4.8957142857142859E-2</v>
      </c>
      <c r="Z52" s="1041"/>
      <c r="AA52" s="1097"/>
      <c r="AB52" s="765">
        <f>'Vystup. ukazovatele projektov'!O156</f>
        <v>0</v>
      </c>
      <c r="AC52" s="760">
        <f t="shared" ref="AC52:AC59" si="19">T52+AB52</f>
        <v>13500</v>
      </c>
      <c r="AD52" s="1098">
        <f t="shared" ref="AD52:AD101" si="20">IF(M52=0,0,AC52/M52)</f>
        <v>0.19285714285714287</v>
      </c>
      <c r="AE52" s="742">
        <f>'Vystup. ukazovatele projektov'!N156</f>
        <v>0</v>
      </c>
      <c r="AF52" s="141">
        <f>'Vystup. ukazovatele projektov'!P156</f>
        <v>0</v>
      </c>
    </row>
    <row r="53" spans="1:35" ht="43.5" customHeight="1" x14ac:dyDescent="0.25">
      <c r="A53" s="1054"/>
      <c r="B53" s="1052"/>
      <c r="C53" s="1053"/>
      <c r="D53" s="1052"/>
      <c r="E53" s="599"/>
      <c r="F53" s="600"/>
      <c r="G53" s="1425"/>
      <c r="H53" s="1482"/>
      <c r="I53" s="132" t="s">
        <v>2468</v>
      </c>
      <c r="J53" s="130" t="s">
        <v>2469</v>
      </c>
      <c r="K53" s="130" t="s">
        <v>335</v>
      </c>
      <c r="L53" s="916" t="s">
        <v>1939</v>
      </c>
      <c r="M53" s="1093">
        <v>70</v>
      </c>
      <c r="N53" s="1105"/>
      <c r="O53" s="1106"/>
      <c r="P53" s="466">
        <f>'Vystup. ukazovatele projektov'!M157</f>
        <v>2.7614000000000001</v>
      </c>
      <c r="Q53" s="1041">
        <f>IF(M53=0,0,P53/M53)</f>
        <v>3.944857142857143E-2</v>
      </c>
      <c r="R53" s="1041"/>
      <c r="S53" s="1096"/>
      <c r="T53" s="770">
        <f>'Vystup. ukazovatele projektov'!K157</f>
        <v>17</v>
      </c>
      <c r="U53" s="1042">
        <f t="shared" si="15"/>
        <v>0.24285714285714285</v>
      </c>
      <c r="V53" s="1088"/>
      <c r="W53" s="1108"/>
      <c r="X53" s="142">
        <f>'Vystup. ukazovatele projektov'!L157</f>
        <v>2.7614000000000001</v>
      </c>
      <c r="Y53" s="1042">
        <f t="shared" si="18"/>
        <v>3.944857142857143E-2</v>
      </c>
      <c r="Z53" s="1041"/>
      <c r="AA53" s="1097"/>
      <c r="AB53" s="765">
        <f>'Vystup. ukazovatele projektov'!O157</f>
        <v>0</v>
      </c>
      <c r="AC53" s="760">
        <f t="shared" si="19"/>
        <v>17</v>
      </c>
      <c r="AD53" s="1098">
        <f t="shared" si="20"/>
        <v>0.24285714285714285</v>
      </c>
      <c r="AE53" s="742">
        <f>'Vystup. ukazovatele projektov'!N157</f>
        <v>0</v>
      </c>
      <c r="AF53" s="141">
        <f>'Vystup. ukazovatele projektov'!P157</f>
        <v>0</v>
      </c>
    </row>
    <row r="54" spans="1:35" s="899" customFormat="1" ht="43.5" customHeight="1" x14ac:dyDescent="0.25">
      <c r="A54" s="1055"/>
      <c r="B54" s="1056"/>
      <c r="C54" s="1057"/>
      <c r="D54" s="1056"/>
      <c r="E54" s="1058"/>
      <c r="F54" s="1059"/>
      <c r="G54" s="1518" t="s">
        <v>2007</v>
      </c>
      <c r="H54" s="1520" t="s">
        <v>2485</v>
      </c>
      <c r="I54" s="1060" t="s">
        <v>2472</v>
      </c>
      <c r="J54" s="1060" t="s">
        <v>2454</v>
      </c>
      <c r="K54" s="1060" t="s">
        <v>337</v>
      </c>
      <c r="L54" s="1060" t="s">
        <v>2460</v>
      </c>
      <c r="M54" s="1109">
        <v>500</v>
      </c>
      <c r="N54" s="1110"/>
      <c r="O54" s="1111"/>
      <c r="P54" s="1061">
        <f>'Vystup. ukazovatele projektov'!M145+'Vystup. ukazovatele projektov'!M154+'Vystup. ukazovatele projektov'!M159</f>
        <v>18.6478</v>
      </c>
      <c r="Q54" s="1112">
        <f>IF(M54=0,0,P54/M54)</f>
        <v>3.7295599999999998E-2</v>
      </c>
      <c r="R54" s="1112"/>
      <c r="S54" s="1113"/>
      <c r="T54" s="1062">
        <f>'Vystup. ukazovatele projektov'!K145+'Vystup. ukazovatele projektov'!K154+'Vystup. ukazovatele projektov'!K159</f>
        <v>68</v>
      </c>
      <c r="U54" s="1112">
        <f t="shared" si="15"/>
        <v>0.13600000000000001</v>
      </c>
      <c r="V54" s="1114"/>
      <c r="W54" s="1115"/>
      <c r="X54" s="1063">
        <f>'Vystup. ukazovatele projektov'!L145+'Vystup. ukazovatele projektov'!L154+'Vystup. ukazovatele projektov'!L159</f>
        <v>18.6478</v>
      </c>
      <c r="Y54" s="1112">
        <f t="shared" si="18"/>
        <v>3.7295599999999998E-2</v>
      </c>
      <c r="Z54" s="1112"/>
      <c r="AA54" s="1116"/>
      <c r="AB54" s="1064">
        <f>'Vystup. ukazovatele projektov'!O145+'Vystup. ukazovatele projektov'!O154+'Vystup. ukazovatele projektov'!O159</f>
        <v>0</v>
      </c>
      <c r="AC54" s="1065">
        <f>T54+AB54</f>
        <v>68</v>
      </c>
      <c r="AD54" s="1117">
        <f t="shared" si="20"/>
        <v>0.13600000000000001</v>
      </c>
      <c r="AE54" s="1091">
        <f>'Vystup. ukazovatele projektov'!N145+'Vystup. ukazovatele projektov'!N154+'Vystup. ukazovatele projektov'!N159</f>
        <v>0</v>
      </c>
      <c r="AF54" s="1092">
        <f>'Vystup. ukazovatele projektov'!P145+'Vystup. ukazovatele projektov'!P154+'Vystup. ukazovatele projektov'!P159</f>
        <v>0</v>
      </c>
      <c r="AI54" s="9"/>
    </row>
    <row r="55" spans="1:35" ht="43.5" customHeight="1" x14ac:dyDescent="0.25">
      <c r="A55" s="1054"/>
      <c r="B55" s="1052"/>
      <c r="C55" s="1053"/>
      <c r="D55" s="1052"/>
      <c r="E55" s="755"/>
      <c r="F55" s="756"/>
      <c r="G55" s="1519"/>
      <c r="H55" s="1288"/>
      <c r="I55" s="131" t="s">
        <v>2400</v>
      </c>
      <c r="J55" s="785" t="s">
        <v>2461</v>
      </c>
      <c r="K55" s="785" t="s">
        <v>336</v>
      </c>
      <c r="L55" s="785" t="s">
        <v>408</v>
      </c>
      <c r="M55" s="1099">
        <v>570</v>
      </c>
      <c r="N55" s="1100">
        <v>160</v>
      </c>
      <c r="O55" s="1101"/>
      <c r="P55" s="467">
        <f>'Vystup. ukazovatele projektov'!M144+'Vystup. ukazovatele projektov'!M153+'Vystup. ukazovatele projektov'!M158</f>
        <v>21.409199999999998</v>
      </c>
      <c r="Q55" s="402">
        <f>IF(M55=0,0,P55/M55)</f>
        <v>3.7559999999999996E-2</v>
      </c>
      <c r="R55" s="402">
        <f>IF(N55=0,0,P55/N55)</f>
        <v>0.1338075</v>
      </c>
      <c r="S55" s="1102"/>
      <c r="T55" s="773">
        <f>'Vystup. ukazovatele projektov'!K144+'Vystup. ukazovatele projektov'!K153+'Vystup. ukazovatele projektov'!K158</f>
        <v>90</v>
      </c>
      <c r="U55" s="509">
        <f>IF(M55=0,0,T55/M55)</f>
        <v>0.15789473684210525</v>
      </c>
      <c r="V55" s="509">
        <f>IF(N55=0,0,T55/N55)</f>
        <v>0.5625</v>
      </c>
      <c r="W55" s="144"/>
      <c r="X55" s="144">
        <f>'Vystup. ukazovatele projektov'!L144+'Vystup. ukazovatele projektov'!L153+'Vystup. ukazovatele projektov'!L158</f>
        <v>21.409199999999998</v>
      </c>
      <c r="Y55" s="509">
        <f>IF(M55=0,0,X55/M55)</f>
        <v>3.7559999999999996E-2</v>
      </c>
      <c r="Z55" s="402">
        <f>IF(N55=0,0,X55/N55)</f>
        <v>0.1338075</v>
      </c>
      <c r="AA55" s="1103"/>
      <c r="AB55" s="764">
        <f>'Vystup. ukazovatele projektov'!O144+'Vystup. ukazovatele projektov'!O1538+'Vystup. ukazovatele projektov'!O158</f>
        <v>0</v>
      </c>
      <c r="AC55" s="759">
        <f>T55+AB55</f>
        <v>90</v>
      </c>
      <c r="AD55" s="1104">
        <f>IF(M55=0,0,AC55/M55)</f>
        <v>0.15789473684210525</v>
      </c>
      <c r="AE55" s="741">
        <f>'Vystup. ukazovatele projektov'!N144+'Vystup. ukazovatele projektov'!N153+'Vystup. ukazovatele projektov'!N159</f>
        <v>0</v>
      </c>
      <c r="AF55" s="143">
        <f>'Vystup. ukazovatele projektov'!P144+'Vystup. ukazovatele projektov'!P153+'Vystup. ukazovatele projektov'!P159</f>
        <v>0</v>
      </c>
    </row>
    <row r="56" spans="1:35" ht="43.5" customHeight="1" x14ac:dyDescent="0.25">
      <c r="A56" s="1054"/>
      <c r="B56" s="1052"/>
      <c r="C56" s="1053"/>
      <c r="D56" s="1052"/>
      <c r="E56" s="923"/>
      <c r="F56" s="920"/>
      <c r="G56" s="1519"/>
      <c r="H56" s="1288"/>
      <c r="I56" s="132" t="s">
        <v>2463</v>
      </c>
      <c r="J56" s="132" t="s">
        <v>2455</v>
      </c>
      <c r="K56" s="132" t="s">
        <v>331</v>
      </c>
      <c r="L56" s="132" t="s">
        <v>2457</v>
      </c>
      <c r="M56" s="1093">
        <v>260000</v>
      </c>
      <c r="N56" s="1094"/>
      <c r="O56" s="1095"/>
      <c r="P56" s="466">
        <f>'Vystup. ukazovatele projektov'!M138+'Vystup. ukazovatele projektov'!M150+'Vystup. ukazovatele projektov'!M155</f>
        <v>6612.0897000000004</v>
      </c>
      <c r="Q56" s="1041">
        <f>IF(M56=0,0,P56/M56)</f>
        <v>2.5431114230769231E-2</v>
      </c>
      <c r="R56" s="1041"/>
      <c r="S56" s="1096"/>
      <c r="T56" s="770">
        <f>'Vystup. ukazovatele projektov'!K138+'Vystup. ukazovatele projektov'!K150</f>
        <v>18219</v>
      </c>
      <c r="U56" s="1042">
        <f>IF(M56=0,0,T56/M56)</f>
        <v>7.0073076923076918E-2</v>
      </c>
      <c r="V56" s="1042"/>
      <c r="W56" s="142"/>
      <c r="X56" s="142">
        <f>'Vystup. ukazovatele projektov'!L138+'Vystup. ukazovatele projektov'!L150+'Vystup. ukazovatele projektov'!L155</f>
        <v>6612.0897000000004</v>
      </c>
      <c r="Y56" s="1042">
        <f>IF(M56=0,0,X56/M56)</f>
        <v>2.5431114230769231E-2</v>
      </c>
      <c r="Z56" s="1041"/>
      <c r="AA56" s="1097"/>
      <c r="AB56" s="765">
        <f>'Vystup. ukazovatele projektov'!O138+'Vystup. ukazovatele projektov'!O150+'Vystup. ukazovatele projektov'!O155</f>
        <v>0</v>
      </c>
      <c r="AC56" s="760">
        <f>T56+AB56</f>
        <v>18219</v>
      </c>
      <c r="AD56" s="1098">
        <f>IF(M56=0,0,AC56/M56)</f>
        <v>7.0073076923076918E-2</v>
      </c>
      <c r="AE56" s="742">
        <f>'Vystup. ukazovatele projektov'!N138+'Vystup. ukazovatele projektov'!N150+'Vystup. ukazovatele projektov'!N155</f>
        <v>0</v>
      </c>
      <c r="AF56" s="141">
        <f>'Vystup. ukazovatele projektov'!P138+'Vystup. ukazovatele projektov'!P150+'Vystup. ukazovatele projektov'!P155</f>
        <v>0</v>
      </c>
    </row>
    <row r="57" spans="1:35" ht="43.5" customHeight="1" thickBot="1" x14ac:dyDescent="0.3">
      <c r="A57" s="1054"/>
      <c r="B57" s="1052"/>
      <c r="C57" s="1053"/>
      <c r="D57" s="1052"/>
      <c r="E57" s="923"/>
      <c r="F57" s="920"/>
      <c r="G57" s="921" t="s">
        <v>1997</v>
      </c>
      <c r="H57" s="924" t="s">
        <v>2484</v>
      </c>
      <c r="I57" s="915" t="s">
        <v>81</v>
      </c>
      <c r="J57" s="373" t="s">
        <v>334</v>
      </c>
      <c r="K57" s="373" t="s">
        <v>333</v>
      </c>
      <c r="L57" s="373" t="s">
        <v>399</v>
      </c>
      <c r="M57" s="1069">
        <v>35</v>
      </c>
      <c r="N57" s="1070"/>
      <c r="O57" s="1071"/>
      <c r="P57" s="1072">
        <f>'Vystup. ukazovatele projektov'!M139+'Vystup. ukazovatele projektov'!M151</f>
        <v>0</v>
      </c>
      <c r="Q57" s="1073">
        <f>IF(M57=0,0,P57/M57)</f>
        <v>0</v>
      </c>
      <c r="R57" s="1073"/>
      <c r="S57" s="1074"/>
      <c r="T57" s="1075">
        <f>'Vystup. ukazovatele projektov'!K139+'Vystup. ukazovatele projektov'!K151</f>
        <v>2</v>
      </c>
      <c r="U57" s="1076">
        <f>IF(M57=0,0,T57/M57)</f>
        <v>5.7142857142857141E-2</v>
      </c>
      <c r="V57" s="1076"/>
      <c r="W57" s="1077"/>
      <c r="X57" s="1077">
        <f>'Vystup. ukazovatele projektov'!L139+'Vystup. ukazovatele projektov'!L151</f>
        <v>0</v>
      </c>
      <c r="Y57" s="1076">
        <f>IF(M57=0,0,X57/M57)</f>
        <v>0</v>
      </c>
      <c r="Z57" s="1073"/>
      <c r="AA57" s="1078"/>
      <c r="AB57" s="1079">
        <f>'Vystup. ukazovatele projektov'!O139+'Vystup. ukazovatele projektov'!O151</f>
        <v>0</v>
      </c>
      <c r="AC57" s="1080">
        <f>T57+AB57</f>
        <v>2</v>
      </c>
      <c r="AD57" s="1081">
        <f>IF(M57=0,0,AC57/M57)</f>
        <v>5.7142857142857141E-2</v>
      </c>
      <c r="AE57" s="1082">
        <f>'Vystup. ukazovatele projektov'!N139+'Vystup. ukazovatele projektov'!N151</f>
        <v>0</v>
      </c>
      <c r="AF57" s="1083">
        <f>'Vystup. ukazovatele projektov'!P139+'Vystup. ukazovatele projektov'!P151</f>
        <v>0</v>
      </c>
    </row>
    <row r="58" spans="1:35" ht="43.5" customHeight="1" x14ac:dyDescent="0.25">
      <c r="A58" s="1054"/>
      <c r="B58" s="1052"/>
      <c r="C58" s="1053"/>
      <c r="D58" s="1052"/>
      <c r="E58" s="597" t="s">
        <v>2399</v>
      </c>
      <c r="F58" s="1507" t="s">
        <v>1895</v>
      </c>
      <c r="G58" s="598" t="s">
        <v>1924</v>
      </c>
      <c r="H58" s="1515" t="s">
        <v>2486</v>
      </c>
      <c r="I58" s="753" t="s">
        <v>2397</v>
      </c>
      <c r="J58" s="753" t="s">
        <v>83</v>
      </c>
      <c r="K58" s="753" t="s">
        <v>336</v>
      </c>
      <c r="L58" s="753" t="s">
        <v>408</v>
      </c>
      <c r="M58" s="1118">
        <v>5</v>
      </c>
      <c r="N58" s="1119">
        <v>1</v>
      </c>
      <c r="O58" s="1120"/>
      <c r="P58" s="515">
        <f>'Vystup. ukazovatele projektov'!M163</f>
        <v>1.34</v>
      </c>
      <c r="Q58" s="1121">
        <f t="shared" si="17"/>
        <v>0.26800000000000002</v>
      </c>
      <c r="R58" s="1121">
        <f t="shared" ref="R58:R92" si="21">IF(N58=0,0,P58/N58)</f>
        <v>1.34</v>
      </c>
      <c r="S58" s="1122"/>
      <c r="T58" s="776">
        <f>'Vystup. ukazovatele projektov'!K163</f>
        <v>5</v>
      </c>
      <c r="U58" s="1123">
        <f t="shared" si="15"/>
        <v>1</v>
      </c>
      <c r="V58" s="1123">
        <f t="shared" ref="V58" si="22">IF(N58=0,0,T58/N58)</f>
        <v>5</v>
      </c>
      <c r="W58" s="1124"/>
      <c r="X58" s="516">
        <f>'Vystup. ukazovatele projektov'!L163</f>
        <v>1.34</v>
      </c>
      <c r="Y58" s="1123">
        <f t="shared" si="18"/>
        <v>0.26800000000000002</v>
      </c>
      <c r="Z58" s="1121">
        <f t="shared" ref="Z58:Z92" si="23">IF(N58=0,0,X58/N58)</f>
        <v>1.34</v>
      </c>
      <c r="AA58" s="1125"/>
      <c r="AB58" s="877">
        <f>'Vystup. ukazovatele projektov'!O163</f>
        <v>0</v>
      </c>
      <c r="AC58" s="878">
        <f t="shared" si="19"/>
        <v>5</v>
      </c>
      <c r="AD58" s="1126">
        <f t="shared" si="20"/>
        <v>1</v>
      </c>
      <c r="AE58" s="741">
        <f>'Vystup. ukazovatele projektov'!O163</f>
        <v>0</v>
      </c>
      <c r="AF58" s="143" t="e">
        <f>#REF!+#REF!+#REF!</f>
        <v>#REF!</v>
      </c>
    </row>
    <row r="59" spans="1:35" ht="43.5" customHeight="1" x14ac:dyDescent="0.25">
      <c r="A59" s="1054"/>
      <c r="B59" s="1052"/>
      <c r="C59" s="1053"/>
      <c r="D59" s="1052"/>
      <c r="E59" s="599"/>
      <c r="F59" s="1424"/>
      <c r="G59" s="600"/>
      <c r="H59" s="1516"/>
      <c r="I59" s="132" t="s">
        <v>2462</v>
      </c>
      <c r="J59" s="132" t="s">
        <v>2456</v>
      </c>
      <c r="K59" s="132" t="s">
        <v>331</v>
      </c>
      <c r="L59" s="132" t="s">
        <v>2457</v>
      </c>
      <c r="M59" s="1128">
        <v>7000</v>
      </c>
      <c r="N59" s="1129"/>
      <c r="O59" s="1130"/>
      <c r="P59" s="781">
        <f>'Vystup. ukazovatele projektov'!M160</f>
        <v>358.63780000000003</v>
      </c>
      <c r="Q59" s="1131">
        <f t="shared" si="17"/>
        <v>5.1233971428571431E-2</v>
      </c>
      <c r="R59" s="1131"/>
      <c r="S59" s="1132"/>
      <c r="T59" s="787">
        <f>'Vystup. ukazovatele projektov'!K160</f>
        <v>1448.3</v>
      </c>
      <c r="U59" s="1131">
        <f t="shared" si="15"/>
        <v>0.2069</v>
      </c>
      <c r="V59" s="1131"/>
      <c r="W59" s="1133"/>
      <c r="X59" s="790">
        <f>'Vystup. ukazovatele projektov'!L160</f>
        <v>358.63780000000003</v>
      </c>
      <c r="Y59" s="1131">
        <f t="shared" si="18"/>
        <v>5.1233971428571431E-2</v>
      </c>
      <c r="Z59" s="1131"/>
      <c r="AA59" s="1134"/>
      <c r="AB59" s="792">
        <f>'Vystup. ukazovatele projektov'!O160</f>
        <v>0</v>
      </c>
      <c r="AC59" s="788">
        <f t="shared" si="19"/>
        <v>1448.3</v>
      </c>
      <c r="AD59" s="1135">
        <f t="shared" si="20"/>
        <v>0.2069</v>
      </c>
      <c r="AE59" s="795">
        <f>'Vystup. ukazovatele projektov'!O160</f>
        <v>0</v>
      </c>
      <c r="AF59" s="796">
        <f>'Vystup. ukazovatele projektov'!P160</f>
        <v>0</v>
      </c>
    </row>
    <row r="60" spans="1:35" ht="43.5" customHeight="1" x14ac:dyDescent="0.25">
      <c r="A60" s="1054"/>
      <c r="B60" s="1052"/>
      <c r="C60" s="1053"/>
      <c r="D60" s="1052"/>
      <c r="E60" s="599"/>
      <c r="F60" s="1424"/>
      <c r="G60" s="600"/>
      <c r="H60" s="1516"/>
      <c r="I60" s="132" t="s">
        <v>2466</v>
      </c>
      <c r="J60" s="132" t="s">
        <v>2467</v>
      </c>
      <c r="K60" s="132" t="s">
        <v>332</v>
      </c>
      <c r="L60" s="132" t="s">
        <v>399</v>
      </c>
      <c r="M60" s="1093">
        <v>3000</v>
      </c>
      <c r="N60" s="1105"/>
      <c r="O60" s="1106"/>
      <c r="P60" s="466">
        <f>'Vystup. ukazovatele projektov'!M161</f>
        <v>251</v>
      </c>
      <c r="Q60" s="1041">
        <f t="shared" si="17"/>
        <v>8.3666666666666667E-2</v>
      </c>
      <c r="R60" s="1041"/>
      <c r="S60" s="1096"/>
      <c r="T60" s="770">
        <f>'Vystup. ukazovatele projektov'!K161</f>
        <v>800</v>
      </c>
      <c r="U60" s="1042">
        <f t="shared" si="15"/>
        <v>0.26666666666666666</v>
      </c>
      <c r="V60" s="1042"/>
      <c r="W60" s="1108"/>
      <c r="X60" s="142">
        <f>'Vystup. ukazovatele projektov'!L161</f>
        <v>251</v>
      </c>
      <c r="Y60" s="1042">
        <f t="shared" si="18"/>
        <v>8.3666666666666667E-2</v>
      </c>
      <c r="Z60" s="1041"/>
      <c r="AA60" s="1097"/>
      <c r="AB60" s="765">
        <f>'Vystup. ukazovatele projektov'!O161</f>
        <v>0</v>
      </c>
      <c r="AC60" s="760">
        <f t="shared" ref="AC60:AC61" si="24">T60+AB60</f>
        <v>800</v>
      </c>
      <c r="AD60" s="1098">
        <f t="shared" si="20"/>
        <v>0.26666666666666666</v>
      </c>
      <c r="AE60" s="742">
        <f>'Vystup. ukazovatele projektov'!O161</f>
        <v>0</v>
      </c>
      <c r="AF60" s="141">
        <f>'Vystup. ukazovatele projektov'!P161</f>
        <v>0</v>
      </c>
    </row>
    <row r="61" spans="1:35" ht="43.5" customHeight="1" x14ac:dyDescent="0.25">
      <c r="A61" s="1054"/>
      <c r="B61" s="1052"/>
      <c r="C61" s="1053"/>
      <c r="D61" s="1052"/>
      <c r="E61" s="599"/>
      <c r="F61" s="1424"/>
      <c r="G61" s="600"/>
      <c r="H61" s="1516"/>
      <c r="I61" s="132" t="s">
        <v>2470</v>
      </c>
      <c r="J61" s="130" t="s">
        <v>2471</v>
      </c>
      <c r="K61" s="130" t="s">
        <v>335</v>
      </c>
      <c r="L61" s="916" t="s">
        <v>1939</v>
      </c>
      <c r="M61" s="1094">
        <v>0.75</v>
      </c>
      <c r="N61" s="1105"/>
      <c r="O61" s="1106"/>
      <c r="P61" s="466">
        <f>'Vystup. ukazovatele projektov'!M162</f>
        <v>0.1013</v>
      </c>
      <c r="Q61" s="1041">
        <f>IF(M61=0,0,P61/M61)</f>
        <v>0.13506666666666667</v>
      </c>
      <c r="R61" s="1041"/>
      <c r="S61" s="1096"/>
      <c r="T61" s="770">
        <f>'Vystup. ukazovatele projektov'!K162</f>
        <v>2</v>
      </c>
      <c r="U61" s="1042">
        <f t="shared" si="15"/>
        <v>2.6666666666666665</v>
      </c>
      <c r="V61" s="1042"/>
      <c r="W61" s="1108"/>
      <c r="X61" s="142">
        <f>'Vystup. ukazovatele projektov'!L162</f>
        <v>0.1013</v>
      </c>
      <c r="Y61" s="1042">
        <f t="shared" si="18"/>
        <v>0.13506666666666667</v>
      </c>
      <c r="Z61" s="1041"/>
      <c r="AA61" s="1097"/>
      <c r="AB61" s="765">
        <f>'Vystup. ukazovatele projektov'!P162</f>
        <v>0</v>
      </c>
      <c r="AC61" s="760">
        <f t="shared" si="24"/>
        <v>2</v>
      </c>
      <c r="AD61" s="1098">
        <f>IF(M61=0,0,AC61/M61)</f>
        <v>2.6666666666666665</v>
      </c>
      <c r="AE61" s="742">
        <f>'Vystup. ukazovatele projektov'!O162</f>
        <v>0</v>
      </c>
      <c r="AF61" s="141">
        <f>'Vystup. ukazovatele projektov'!P162</f>
        <v>0</v>
      </c>
    </row>
    <row r="62" spans="1:35" ht="43.5" customHeight="1" thickBot="1" x14ac:dyDescent="0.3">
      <c r="A62" s="1054"/>
      <c r="B62" s="1052"/>
      <c r="C62" s="1053"/>
      <c r="D62" s="1052"/>
      <c r="E62" s="601"/>
      <c r="F62" s="1508"/>
      <c r="G62" s="602"/>
      <c r="H62" s="1517"/>
      <c r="I62" s="583" t="s">
        <v>2473</v>
      </c>
      <c r="J62" s="583" t="s">
        <v>2458</v>
      </c>
      <c r="K62" s="583" t="s">
        <v>337</v>
      </c>
      <c r="L62" s="583" t="s">
        <v>2460</v>
      </c>
      <c r="M62" s="798">
        <v>4.25</v>
      </c>
      <c r="N62" s="1136"/>
      <c r="O62" s="1137"/>
      <c r="P62" s="786">
        <f>'Vystup. ukazovatele projektov'!M164</f>
        <v>1.2386999999999999</v>
      </c>
      <c r="Q62" s="1138">
        <f>IF(M62=0,0,P62/M62)</f>
        <v>0.29145882352941177</v>
      </c>
      <c r="R62" s="1138"/>
      <c r="S62" s="1139"/>
      <c r="T62" s="789">
        <f>'Vystup. ukazovatele projektov'!K164</f>
        <v>3</v>
      </c>
      <c r="U62" s="1138">
        <f t="shared" si="15"/>
        <v>0.70588235294117652</v>
      </c>
      <c r="V62" s="1138"/>
      <c r="W62" s="1140"/>
      <c r="X62" s="791">
        <f>'Vystup. ukazovatele projektov'!L164</f>
        <v>1.2386999999999999</v>
      </c>
      <c r="Y62" s="1138">
        <f t="shared" si="18"/>
        <v>0.29145882352941177</v>
      </c>
      <c r="Z62" s="1138"/>
      <c r="AA62" s="1141"/>
      <c r="AB62" s="793">
        <f>'Vystup. ukazovatele projektov'!P164</f>
        <v>0</v>
      </c>
      <c r="AC62" s="794">
        <f>T62+AB62</f>
        <v>3</v>
      </c>
      <c r="AD62" s="1142">
        <f t="shared" si="20"/>
        <v>0.70588235294117652</v>
      </c>
      <c r="AE62" s="797">
        <f>'Vystup. ukazovatele projektov'!O164</f>
        <v>0</v>
      </c>
      <c r="AF62" s="798">
        <f>'Vystup. ukazovatele projektov'!P164</f>
        <v>0</v>
      </c>
      <c r="AI62" s="782"/>
    </row>
    <row r="63" spans="1:35" ht="43.5" customHeight="1" x14ac:dyDescent="0.25">
      <c r="A63" s="1054"/>
      <c r="B63" s="1052"/>
      <c r="C63" s="1481">
        <v>42770</v>
      </c>
      <c r="D63" s="1443" t="s">
        <v>1915</v>
      </c>
      <c r="E63" s="1464" t="s">
        <v>19</v>
      </c>
      <c r="F63" s="1467" t="s">
        <v>1916</v>
      </c>
      <c r="G63" s="590" t="s">
        <v>1924</v>
      </c>
      <c r="H63" s="586" t="s">
        <v>1962</v>
      </c>
      <c r="I63" s="585" t="s">
        <v>93</v>
      </c>
      <c r="J63" s="585" t="s">
        <v>94</v>
      </c>
      <c r="K63" s="585" t="s">
        <v>338</v>
      </c>
      <c r="L63" s="917" t="s">
        <v>399</v>
      </c>
      <c r="M63" s="1143">
        <v>200</v>
      </c>
      <c r="N63" s="1144"/>
      <c r="O63" s="1145"/>
      <c r="P63" s="603">
        <f>'Vystup. ukazovatele projektov'!M165</f>
        <v>0</v>
      </c>
      <c r="Q63" s="1146">
        <f t="shared" si="17"/>
        <v>0</v>
      </c>
      <c r="R63" s="1146"/>
      <c r="S63" s="1147"/>
      <c r="T63" s="772">
        <f>'Vystup. ukazovatele projektov'!K165</f>
        <v>0</v>
      </c>
      <c r="U63" s="1148">
        <f t="shared" si="15"/>
        <v>0</v>
      </c>
      <c r="V63" s="1148"/>
      <c r="W63" s="1149"/>
      <c r="X63" s="605">
        <f>'Vystup. ukazovatele projektov'!L165</f>
        <v>0</v>
      </c>
      <c r="Y63" s="1148">
        <f t="shared" si="18"/>
        <v>0</v>
      </c>
      <c r="Z63" s="1146"/>
      <c r="AA63" s="1150"/>
      <c r="AB63" s="763">
        <f>'Vystup. ukazovatele projektov'!P165</f>
        <v>0</v>
      </c>
      <c r="AC63" s="758">
        <f t="shared" ref="AC63:AC69" si="25">T63+AB63</f>
        <v>0</v>
      </c>
      <c r="AD63" s="1151">
        <f t="shared" si="20"/>
        <v>0</v>
      </c>
      <c r="AE63" s="740">
        <f>'Vystup. ukazovatele projektov'!O165</f>
        <v>0</v>
      </c>
      <c r="AF63" s="604">
        <f>'Vystup. ukazovatele projektov'!P165</f>
        <v>0</v>
      </c>
    </row>
    <row r="64" spans="1:35" ht="43.5" customHeight="1" x14ac:dyDescent="0.25">
      <c r="A64" s="1054"/>
      <c r="B64" s="1052"/>
      <c r="C64" s="1443"/>
      <c r="D64" s="1443"/>
      <c r="E64" s="1466"/>
      <c r="F64" s="1468"/>
      <c r="G64" s="1468" t="s">
        <v>1925</v>
      </c>
      <c r="H64" s="1443" t="s">
        <v>1963</v>
      </c>
      <c r="I64" s="132" t="s">
        <v>81</v>
      </c>
      <c r="J64" s="132" t="s">
        <v>334</v>
      </c>
      <c r="K64" s="132" t="s">
        <v>333</v>
      </c>
      <c r="L64" s="132" t="s">
        <v>399</v>
      </c>
      <c r="M64" s="1128">
        <v>220</v>
      </c>
      <c r="N64" s="1129"/>
      <c r="O64" s="1130"/>
      <c r="P64" s="781">
        <f>'Vystup. ukazovatele projektov'!M171</f>
        <v>0</v>
      </c>
      <c r="Q64" s="1131">
        <f t="shared" ref="Q64:Q69" si="26">IF(M64=0,0,P64/M64)</f>
        <v>0</v>
      </c>
      <c r="R64" s="1131"/>
      <c r="S64" s="1132"/>
      <c r="T64" s="787">
        <f>'Vystup. ukazovatele projektov'!K171</f>
        <v>45</v>
      </c>
      <c r="U64" s="1131">
        <f t="shared" ref="U64:U69" si="27">IF(M64=0,0,T64/M64)</f>
        <v>0.20454545454545456</v>
      </c>
      <c r="V64" s="1131"/>
      <c r="W64" s="1133"/>
      <c r="X64" s="790">
        <f>'Vystup. ukazovatele projektov'!L171</f>
        <v>0</v>
      </c>
      <c r="Y64" s="1131">
        <f t="shared" ref="Y64:Y69" si="28">IF(M64=0,0,X64/M64)</f>
        <v>0</v>
      </c>
      <c r="Z64" s="1131"/>
      <c r="AA64" s="1134"/>
      <c r="AB64" s="792">
        <f>'Vystup. ukazovatele projektov'!P171</f>
        <v>0</v>
      </c>
      <c r="AC64" s="788">
        <f t="shared" si="25"/>
        <v>45</v>
      </c>
      <c r="AD64" s="1135">
        <f t="shared" ref="AD64:AD69" si="29">IF(M64=0,0,AC64/M64)</f>
        <v>0.20454545454545456</v>
      </c>
      <c r="AE64" s="795">
        <f>'Vystup. ukazovatele projektov'!O171</f>
        <v>0</v>
      </c>
      <c r="AF64" s="796">
        <f>'Vystup. ukazovatele projektov'!P171</f>
        <v>0</v>
      </c>
    </row>
    <row r="65" spans="1:35" s="783" customFormat="1" ht="43.5" customHeight="1" x14ac:dyDescent="0.25">
      <c r="A65" s="1054"/>
      <c r="B65" s="1052"/>
      <c r="C65" s="1443"/>
      <c r="D65" s="1443"/>
      <c r="E65" s="1466"/>
      <c r="F65" s="1468"/>
      <c r="G65" s="1468"/>
      <c r="H65" s="1443"/>
      <c r="I65" s="132" t="s">
        <v>82</v>
      </c>
      <c r="J65" s="132" t="s">
        <v>83</v>
      </c>
      <c r="K65" s="132" t="s">
        <v>336</v>
      </c>
      <c r="L65" s="132" t="s">
        <v>408</v>
      </c>
      <c r="M65" s="1152">
        <v>47</v>
      </c>
      <c r="N65" s="1105"/>
      <c r="O65" s="1106"/>
      <c r="P65" s="466">
        <f>'Vystup. ukazovatele projektov'!M181</f>
        <v>0</v>
      </c>
      <c r="Q65" s="1041">
        <f t="shared" si="26"/>
        <v>0</v>
      </c>
      <c r="R65" s="1041"/>
      <c r="S65" s="1096"/>
      <c r="T65" s="770">
        <f>'Vystup. ukazovatele projektov'!K181</f>
        <v>10</v>
      </c>
      <c r="U65" s="1042">
        <f t="shared" si="27"/>
        <v>0.21276595744680851</v>
      </c>
      <c r="V65" s="1042"/>
      <c r="W65" s="1108"/>
      <c r="X65" s="142">
        <f>'Vystup. ukazovatele projektov'!L181</f>
        <v>0</v>
      </c>
      <c r="Y65" s="1042">
        <f t="shared" si="28"/>
        <v>0</v>
      </c>
      <c r="Z65" s="1041"/>
      <c r="AA65" s="1097"/>
      <c r="AB65" s="765">
        <f>'Vystup. ukazovatele projektov'!P181</f>
        <v>0</v>
      </c>
      <c r="AC65" s="760">
        <f t="shared" si="25"/>
        <v>10</v>
      </c>
      <c r="AD65" s="1098">
        <f t="shared" si="29"/>
        <v>0.21276595744680851</v>
      </c>
      <c r="AE65" s="795">
        <f>'Vystup. ukazovatele projektov'!O181</f>
        <v>0</v>
      </c>
      <c r="AF65" s="796">
        <f>'Vystup. ukazovatele projektov'!P181</f>
        <v>0</v>
      </c>
      <c r="AI65" s="784"/>
    </row>
    <row r="66" spans="1:35" s="783" customFormat="1" ht="43.5" customHeight="1" x14ac:dyDescent="0.25">
      <c r="A66" s="1054"/>
      <c r="B66" s="1052"/>
      <c r="C66" s="1443"/>
      <c r="D66" s="1443"/>
      <c r="E66" s="1466"/>
      <c r="F66" s="1468"/>
      <c r="G66" s="1468"/>
      <c r="H66" s="1443"/>
      <c r="I66" s="132" t="s">
        <v>84</v>
      </c>
      <c r="J66" s="132" t="s">
        <v>85</v>
      </c>
      <c r="K66" s="132" t="s">
        <v>331</v>
      </c>
      <c r="L66" s="132" t="s">
        <v>1855</v>
      </c>
      <c r="M66" s="1128">
        <v>93000</v>
      </c>
      <c r="N66" s="1129"/>
      <c r="O66" s="1130"/>
      <c r="P66" s="781">
        <f>'Vystup. ukazovatele projektov'!M168</f>
        <v>0</v>
      </c>
      <c r="Q66" s="1131">
        <f t="shared" si="26"/>
        <v>0</v>
      </c>
      <c r="R66" s="1131"/>
      <c r="S66" s="1132"/>
      <c r="T66" s="787">
        <f>'Vystup. ukazovatele projektov'!K168</f>
        <v>18984</v>
      </c>
      <c r="U66" s="1131">
        <f t="shared" si="27"/>
        <v>0.20412903225806453</v>
      </c>
      <c r="V66" s="1131"/>
      <c r="W66" s="1133"/>
      <c r="X66" s="790">
        <f>'Vystup. ukazovatele projektov'!L168</f>
        <v>0</v>
      </c>
      <c r="Y66" s="1131">
        <f t="shared" si="28"/>
        <v>0</v>
      </c>
      <c r="Z66" s="1131"/>
      <c r="AA66" s="1134"/>
      <c r="AB66" s="792">
        <f>'Vystup. ukazovatele projektov'!P168</f>
        <v>0</v>
      </c>
      <c r="AC66" s="788">
        <f t="shared" si="25"/>
        <v>18984</v>
      </c>
      <c r="AD66" s="1135">
        <f t="shared" si="29"/>
        <v>0.20412903225806453</v>
      </c>
      <c r="AE66" s="795">
        <f>'Vystup. ukazovatele projektov'!O168</f>
        <v>0</v>
      </c>
      <c r="AF66" s="796">
        <f>'Vystup. ukazovatele projektov'!P168</f>
        <v>0</v>
      </c>
      <c r="AI66" s="784"/>
    </row>
    <row r="67" spans="1:35" ht="43.5" customHeight="1" x14ac:dyDescent="0.25">
      <c r="A67" s="1054"/>
      <c r="B67" s="1052"/>
      <c r="C67" s="1443"/>
      <c r="D67" s="1443"/>
      <c r="E67" s="1466"/>
      <c r="F67" s="1468"/>
      <c r="G67" s="1468"/>
      <c r="H67" s="1443"/>
      <c r="I67" s="132" t="s">
        <v>91</v>
      </c>
      <c r="J67" s="916" t="s">
        <v>1917</v>
      </c>
      <c r="K67" s="916" t="s">
        <v>339</v>
      </c>
      <c r="L67" s="916" t="s">
        <v>399</v>
      </c>
      <c r="M67" s="1093">
        <v>270</v>
      </c>
      <c r="N67" s="1105"/>
      <c r="O67" s="1106"/>
      <c r="P67" s="466">
        <f>'Vystup. ukazovatele projektov'!M169</f>
        <v>0</v>
      </c>
      <c r="Q67" s="1041">
        <f t="shared" si="26"/>
        <v>0</v>
      </c>
      <c r="R67" s="1041"/>
      <c r="S67" s="1096"/>
      <c r="T67" s="770">
        <f>'Vystup. ukazovatele projektov'!K169</f>
        <v>55</v>
      </c>
      <c r="U67" s="1042">
        <f t="shared" si="27"/>
        <v>0.20370370370370369</v>
      </c>
      <c r="V67" s="1042"/>
      <c r="W67" s="1108"/>
      <c r="X67" s="142">
        <f>'Vystup. ukazovatele projektov'!L169</f>
        <v>0</v>
      </c>
      <c r="Y67" s="1042">
        <f t="shared" si="28"/>
        <v>0</v>
      </c>
      <c r="Z67" s="1041"/>
      <c r="AA67" s="1097"/>
      <c r="AB67" s="765">
        <f>'Vystup. ukazovatele projektov'!P169</f>
        <v>0</v>
      </c>
      <c r="AC67" s="760">
        <f t="shared" si="25"/>
        <v>55</v>
      </c>
      <c r="AD67" s="1098">
        <f t="shared" si="29"/>
        <v>0.20370370370370369</v>
      </c>
      <c r="AE67" s="742">
        <f>'Vystup. ukazovatele projektov'!O169</f>
        <v>0</v>
      </c>
      <c r="AF67" s="141">
        <f>'Vystup. ukazovatele projektov'!P169</f>
        <v>0</v>
      </c>
    </row>
    <row r="68" spans="1:35" ht="43.5" customHeight="1" x14ac:dyDescent="0.25">
      <c r="A68" s="1054"/>
      <c r="B68" s="1052"/>
      <c r="C68" s="1443"/>
      <c r="D68" s="1443"/>
      <c r="E68" s="1466"/>
      <c r="F68" s="1468"/>
      <c r="G68" s="1468"/>
      <c r="H68" s="1443"/>
      <c r="I68" s="132" t="s">
        <v>95</v>
      </c>
      <c r="J68" s="916" t="s">
        <v>96</v>
      </c>
      <c r="K68" s="916" t="s">
        <v>344</v>
      </c>
      <c r="L68" s="916" t="s">
        <v>399</v>
      </c>
      <c r="M68" s="1093">
        <v>30</v>
      </c>
      <c r="N68" s="1105"/>
      <c r="O68" s="1106"/>
      <c r="P68" s="466">
        <f>'Vystup. ukazovatele projektov'!M174</f>
        <v>0</v>
      </c>
      <c r="Q68" s="1041">
        <f t="shared" si="26"/>
        <v>0</v>
      </c>
      <c r="R68" s="1041"/>
      <c r="S68" s="1096"/>
      <c r="T68" s="770">
        <f>'Vystup. ukazovatele projektov'!K174</f>
        <v>4</v>
      </c>
      <c r="U68" s="1042">
        <f t="shared" si="27"/>
        <v>0.13333333333333333</v>
      </c>
      <c r="V68" s="1042"/>
      <c r="W68" s="1108"/>
      <c r="X68" s="142">
        <f>'Vystup. ukazovatele projektov'!L174</f>
        <v>0</v>
      </c>
      <c r="Y68" s="1042">
        <f t="shared" si="28"/>
        <v>0</v>
      </c>
      <c r="Z68" s="1041"/>
      <c r="AA68" s="1097"/>
      <c r="AB68" s="765">
        <f>'Vystup. ukazovatele projektov'!P174</f>
        <v>0</v>
      </c>
      <c r="AC68" s="760">
        <f t="shared" si="25"/>
        <v>4</v>
      </c>
      <c r="AD68" s="1098">
        <f t="shared" si="29"/>
        <v>0.13333333333333333</v>
      </c>
      <c r="AE68" s="742">
        <f>'Vystup. ukazovatele projektov'!O174</f>
        <v>0</v>
      </c>
      <c r="AF68" s="141">
        <f>'Vystup. ukazovatele projektov'!P174</f>
        <v>0</v>
      </c>
    </row>
    <row r="69" spans="1:35" ht="43.5" customHeight="1" x14ac:dyDescent="0.25">
      <c r="A69" s="1054"/>
      <c r="B69" s="1052"/>
      <c r="C69" s="1443"/>
      <c r="D69" s="1443"/>
      <c r="E69" s="1466"/>
      <c r="F69" s="1468"/>
      <c r="G69" s="1468"/>
      <c r="H69" s="1443"/>
      <c r="I69" s="132" t="s">
        <v>97</v>
      </c>
      <c r="J69" s="916" t="s">
        <v>98</v>
      </c>
      <c r="K69" s="916" t="s">
        <v>340</v>
      </c>
      <c r="L69" s="916" t="s">
        <v>399</v>
      </c>
      <c r="M69" s="1093">
        <v>30</v>
      </c>
      <c r="N69" s="1105"/>
      <c r="O69" s="1106"/>
      <c r="P69" s="466">
        <f>'Vystup. ukazovatele projektov'!M170</f>
        <v>0</v>
      </c>
      <c r="Q69" s="1041">
        <f t="shared" si="26"/>
        <v>0</v>
      </c>
      <c r="R69" s="1041"/>
      <c r="S69" s="1096"/>
      <c r="T69" s="770">
        <f>'Vystup. ukazovatele projektov'!K170</f>
        <v>8</v>
      </c>
      <c r="U69" s="1042">
        <f t="shared" si="27"/>
        <v>0.26666666666666666</v>
      </c>
      <c r="V69" s="1042"/>
      <c r="W69" s="1108"/>
      <c r="X69" s="142">
        <f>'Vystup. ukazovatele projektov'!L170</f>
        <v>0</v>
      </c>
      <c r="Y69" s="1042">
        <f t="shared" si="28"/>
        <v>0</v>
      </c>
      <c r="Z69" s="1041"/>
      <c r="AA69" s="1097"/>
      <c r="AB69" s="765">
        <f>'Vystup. ukazovatele projektov'!P170</f>
        <v>0</v>
      </c>
      <c r="AC69" s="760">
        <f t="shared" si="25"/>
        <v>8</v>
      </c>
      <c r="AD69" s="1098">
        <f t="shared" si="29"/>
        <v>0.26666666666666666</v>
      </c>
      <c r="AE69" s="742">
        <f>'Vystup. ukazovatele projektov'!O170</f>
        <v>0</v>
      </c>
      <c r="AF69" s="141">
        <f>'Vystup. ukazovatele projektov'!P170</f>
        <v>0</v>
      </c>
    </row>
    <row r="70" spans="1:35" ht="43.5" customHeight="1" x14ac:dyDescent="0.25">
      <c r="A70" s="1054"/>
      <c r="B70" s="1052"/>
      <c r="C70" s="1443"/>
      <c r="D70" s="1443"/>
      <c r="E70" s="1466"/>
      <c r="F70" s="1468"/>
      <c r="G70" s="1468"/>
      <c r="H70" s="1443"/>
      <c r="I70" s="132" t="s">
        <v>99</v>
      </c>
      <c r="J70" s="916" t="s">
        <v>100</v>
      </c>
      <c r="K70" s="916" t="s">
        <v>347</v>
      </c>
      <c r="L70" s="916" t="s">
        <v>414</v>
      </c>
      <c r="M70" s="1093">
        <v>250000</v>
      </c>
      <c r="N70" s="1105"/>
      <c r="O70" s="1106"/>
      <c r="P70" s="466">
        <f>'Vystup. ukazovatele projektov'!M176</f>
        <v>0</v>
      </c>
      <c r="Q70" s="1041">
        <f t="shared" si="17"/>
        <v>0</v>
      </c>
      <c r="R70" s="1041"/>
      <c r="S70" s="1096"/>
      <c r="T70" s="770">
        <f>'Vystup. ukazovatele projektov'!K176</f>
        <v>51034</v>
      </c>
      <c r="U70" s="1042">
        <f t="shared" ref="U70:U100" si="30">IF(M70=0,0,T70/M70)</f>
        <v>0.20413600000000001</v>
      </c>
      <c r="V70" s="1042"/>
      <c r="W70" s="1108"/>
      <c r="X70" s="142">
        <f>'Vystup. ukazovatele projektov'!L176</f>
        <v>0</v>
      </c>
      <c r="Y70" s="1042">
        <f t="shared" si="18"/>
        <v>0</v>
      </c>
      <c r="Z70" s="1041"/>
      <c r="AA70" s="1097"/>
      <c r="AB70" s="765">
        <f>'Vystup. ukazovatele projektov'!P176</f>
        <v>0</v>
      </c>
      <c r="AC70" s="760">
        <f t="shared" ref="AC70:AC72" si="31">T70+AB70</f>
        <v>51034</v>
      </c>
      <c r="AD70" s="1098">
        <f t="shared" si="20"/>
        <v>0.20413600000000001</v>
      </c>
      <c r="AE70" s="742">
        <f>'Vystup. ukazovatele projektov'!O176</f>
        <v>0</v>
      </c>
      <c r="AF70" s="141">
        <f>'Vystup. ukazovatele projektov'!P176</f>
        <v>0</v>
      </c>
    </row>
    <row r="71" spans="1:35" ht="43.5" customHeight="1" x14ac:dyDescent="0.25">
      <c r="A71" s="1054"/>
      <c r="B71" s="1052"/>
      <c r="C71" s="1443"/>
      <c r="D71" s="1443"/>
      <c r="E71" s="1466"/>
      <c r="F71" s="1468"/>
      <c r="G71" s="1468"/>
      <c r="H71" s="1443"/>
      <c r="I71" s="132" t="s">
        <v>101</v>
      </c>
      <c r="J71" s="916" t="s">
        <v>1918</v>
      </c>
      <c r="K71" s="916" t="s">
        <v>352</v>
      </c>
      <c r="L71" s="916" t="s">
        <v>414</v>
      </c>
      <c r="M71" s="1093">
        <v>250000</v>
      </c>
      <c r="N71" s="1105"/>
      <c r="O71" s="1106"/>
      <c r="P71" s="466">
        <f>'Vystup. ukazovatele projektov'!M179</f>
        <v>0</v>
      </c>
      <c r="Q71" s="1041">
        <f t="shared" si="17"/>
        <v>0</v>
      </c>
      <c r="R71" s="1041"/>
      <c r="S71" s="1096"/>
      <c r="T71" s="770">
        <f>'Vystup. ukazovatele projektov'!K179</f>
        <v>51034</v>
      </c>
      <c r="U71" s="1042">
        <f t="shared" si="30"/>
        <v>0.20413600000000001</v>
      </c>
      <c r="V71" s="1042"/>
      <c r="W71" s="1108"/>
      <c r="X71" s="142">
        <f>'Vystup. ukazovatele projektov'!L179</f>
        <v>0</v>
      </c>
      <c r="Y71" s="1042">
        <f t="shared" si="18"/>
        <v>0</v>
      </c>
      <c r="Z71" s="1041"/>
      <c r="AA71" s="1097"/>
      <c r="AB71" s="765">
        <f>'Vystup. ukazovatele projektov'!P179</f>
        <v>0</v>
      </c>
      <c r="AC71" s="760">
        <f t="shared" si="31"/>
        <v>51034</v>
      </c>
      <c r="AD71" s="1098">
        <f t="shared" si="20"/>
        <v>0.20413600000000001</v>
      </c>
      <c r="AE71" s="742">
        <f>'Vystup. ukazovatele projektov'!O179</f>
        <v>0</v>
      </c>
      <c r="AF71" s="141">
        <f>'Vystup. ukazovatele projektov'!P179</f>
        <v>0</v>
      </c>
    </row>
    <row r="72" spans="1:35" ht="43.5" customHeight="1" x14ac:dyDescent="0.25">
      <c r="A72" s="1054"/>
      <c r="B72" s="1052"/>
      <c r="C72" s="1443"/>
      <c r="D72" s="1443"/>
      <c r="E72" s="1466"/>
      <c r="F72" s="1468"/>
      <c r="G72" s="1468"/>
      <c r="H72" s="1443"/>
      <c r="I72" s="132" t="s">
        <v>87</v>
      </c>
      <c r="J72" s="916" t="s">
        <v>88</v>
      </c>
      <c r="K72" s="916" t="s">
        <v>335</v>
      </c>
      <c r="L72" s="916" t="s">
        <v>411</v>
      </c>
      <c r="M72" s="1093">
        <v>20</v>
      </c>
      <c r="N72" s="1105"/>
      <c r="O72" s="1106"/>
      <c r="P72" s="466">
        <f>'Vystup. ukazovatele projektov'!M180</f>
        <v>0</v>
      </c>
      <c r="Q72" s="1041">
        <f t="shared" si="17"/>
        <v>0</v>
      </c>
      <c r="R72" s="1041"/>
      <c r="S72" s="1096"/>
      <c r="T72" s="770">
        <f>'Vystup. ukazovatele projektov'!K180</f>
        <v>4</v>
      </c>
      <c r="U72" s="1042">
        <f t="shared" si="30"/>
        <v>0.2</v>
      </c>
      <c r="V72" s="1042"/>
      <c r="W72" s="1108"/>
      <c r="X72" s="142">
        <f>'Vystup. ukazovatele projektov'!L180</f>
        <v>0</v>
      </c>
      <c r="Y72" s="1042">
        <f t="shared" si="18"/>
        <v>0</v>
      </c>
      <c r="Z72" s="1041"/>
      <c r="AA72" s="1097"/>
      <c r="AB72" s="765">
        <f>'Vystup. ukazovatele projektov'!P180</f>
        <v>0</v>
      </c>
      <c r="AC72" s="760">
        <f t="shared" si="31"/>
        <v>4</v>
      </c>
      <c r="AD72" s="1098">
        <f t="shared" si="20"/>
        <v>0.2</v>
      </c>
      <c r="AE72" s="742">
        <f>'Vystup. ukazovatele projektov'!O180</f>
        <v>0</v>
      </c>
      <c r="AF72" s="141">
        <f>'Vystup. ukazovatele projektov'!P180</f>
        <v>0</v>
      </c>
    </row>
    <row r="73" spans="1:35" s="899" customFormat="1" ht="43.5" customHeight="1" thickBot="1" x14ac:dyDescent="0.3">
      <c r="A73" s="1054"/>
      <c r="B73" s="1052"/>
      <c r="C73" s="1443"/>
      <c r="D73" s="1443"/>
      <c r="E73" s="1480"/>
      <c r="F73" s="1479"/>
      <c r="G73" s="1479"/>
      <c r="H73" s="1451"/>
      <c r="I73" s="583" t="s">
        <v>89</v>
      </c>
      <c r="J73" s="583" t="s">
        <v>90</v>
      </c>
      <c r="K73" s="583" t="s">
        <v>337</v>
      </c>
      <c r="L73" s="583" t="s">
        <v>412</v>
      </c>
      <c r="M73" s="1153">
        <v>27</v>
      </c>
      <c r="N73" s="1136"/>
      <c r="O73" s="1137"/>
      <c r="P73" s="786">
        <f>'Vystup. ukazovatele projektov'!M182</f>
        <v>0</v>
      </c>
      <c r="Q73" s="1138">
        <f t="shared" si="17"/>
        <v>0</v>
      </c>
      <c r="R73" s="1138"/>
      <c r="S73" s="1139"/>
      <c r="T73" s="789">
        <f>'Vystup. ukazovatele projektov'!K182</f>
        <v>6</v>
      </c>
      <c r="U73" s="1138">
        <f t="shared" si="30"/>
        <v>0.22222222222222221</v>
      </c>
      <c r="V73" s="1138"/>
      <c r="W73" s="1140"/>
      <c r="X73" s="791">
        <f>'Vystup. ukazovatele projektov'!L182</f>
        <v>0</v>
      </c>
      <c r="Y73" s="1138">
        <f t="shared" si="18"/>
        <v>0</v>
      </c>
      <c r="Z73" s="1138"/>
      <c r="AA73" s="1141"/>
      <c r="AB73" s="793">
        <f>'Vystup. ukazovatele projektov'!P182</f>
        <v>0</v>
      </c>
      <c r="AC73" s="794">
        <f t="shared" ref="AC73:AC81" si="32">T73+AB73</f>
        <v>6</v>
      </c>
      <c r="AD73" s="1142">
        <f t="shared" si="20"/>
        <v>0.22222222222222221</v>
      </c>
      <c r="AE73" s="797">
        <f>'Vystup. ukazovatele projektov'!O182</f>
        <v>0</v>
      </c>
      <c r="AF73" s="798">
        <f>'Vystup. ukazovatele projektov'!P182</f>
        <v>0</v>
      </c>
      <c r="AI73" s="9"/>
    </row>
    <row r="74" spans="1:35" ht="43.5" customHeight="1" x14ac:dyDescent="0.25">
      <c r="A74" s="1054"/>
      <c r="B74" s="1052"/>
      <c r="C74" s="1481">
        <v>42798</v>
      </c>
      <c r="D74" s="1443" t="s">
        <v>1919</v>
      </c>
      <c r="E74" s="1464" t="s">
        <v>20</v>
      </c>
      <c r="F74" s="1467" t="s">
        <v>1896</v>
      </c>
      <c r="G74" s="1467" t="s">
        <v>1924</v>
      </c>
      <c r="H74" s="1500" t="s">
        <v>1964</v>
      </c>
      <c r="I74" s="585" t="s">
        <v>82</v>
      </c>
      <c r="J74" s="917" t="s">
        <v>83</v>
      </c>
      <c r="K74" s="917" t="s">
        <v>336</v>
      </c>
      <c r="L74" s="585" t="s">
        <v>408</v>
      </c>
      <c r="M74" s="1154">
        <v>2</v>
      </c>
      <c r="N74" s="1155"/>
      <c r="O74" s="1156"/>
      <c r="P74" s="603">
        <f>'Vystup. ukazovatele projektov'!M198</f>
        <v>0</v>
      </c>
      <c r="Q74" s="1146">
        <f t="shared" ref="Q74:Q80" si="33">IF(M74=0,0,P74/M74)</f>
        <v>0</v>
      </c>
      <c r="R74" s="1146"/>
      <c r="S74" s="1147"/>
      <c r="T74" s="772">
        <f>'Vystup. ukazovatele projektov'!K198</f>
        <v>243.68139999999994</v>
      </c>
      <c r="U74" s="1148">
        <f t="shared" ref="U74:U80" si="34">IF(M74=0,0,T74/M74)</f>
        <v>121.84069999999997</v>
      </c>
      <c r="V74" s="1148"/>
      <c r="W74" s="605"/>
      <c r="X74" s="605">
        <f>'Vystup. ukazovatele projektov'!L198</f>
        <v>213.15629999999993</v>
      </c>
      <c r="Y74" s="1148">
        <f t="shared" ref="Y74:Y80" si="35">IF(M74=0,0,X74/M74)</f>
        <v>106.57814999999997</v>
      </c>
      <c r="Z74" s="1146"/>
      <c r="AA74" s="1150"/>
      <c r="AB74" s="763">
        <f>'Vystup. ukazovatele projektov'!O198</f>
        <v>295.03139999999996</v>
      </c>
      <c r="AC74" s="758">
        <f t="shared" si="32"/>
        <v>538.7127999999999</v>
      </c>
      <c r="AD74" s="1151">
        <f t="shared" ref="AD74:AD80" si="36">IF(M74=0,0,AC74/M74)</f>
        <v>269.35639999999995</v>
      </c>
      <c r="AE74" s="740"/>
      <c r="AF74" s="604"/>
    </row>
    <row r="75" spans="1:35" ht="43.5" customHeight="1" x14ac:dyDescent="0.25">
      <c r="A75" s="1054"/>
      <c r="B75" s="1052"/>
      <c r="C75" s="1481"/>
      <c r="D75" s="1443"/>
      <c r="E75" s="1465"/>
      <c r="F75" s="1425"/>
      <c r="G75" s="1425"/>
      <c r="H75" s="1482"/>
      <c r="I75" s="132" t="s">
        <v>103</v>
      </c>
      <c r="J75" s="916" t="s">
        <v>104</v>
      </c>
      <c r="K75" s="916" t="s">
        <v>364</v>
      </c>
      <c r="L75" s="916" t="s">
        <v>415</v>
      </c>
      <c r="M75" s="1093">
        <v>278900000</v>
      </c>
      <c r="N75" s="1094"/>
      <c r="O75" s="1095"/>
      <c r="P75" s="466">
        <f>'Vystup. ukazovatele projektov'!M196</f>
        <v>47.008099999999999</v>
      </c>
      <c r="Q75" s="1041">
        <f t="shared" si="33"/>
        <v>1.6854822517031194E-7</v>
      </c>
      <c r="R75" s="1041"/>
      <c r="S75" s="1096"/>
      <c r="T75" s="770">
        <f>'Vystup. ukazovatele projektov'!K196</f>
        <v>19938636.003400002</v>
      </c>
      <c r="U75" s="1042">
        <f t="shared" si="34"/>
        <v>7.1490268925779851E-2</v>
      </c>
      <c r="V75" s="1042"/>
      <c r="W75" s="142"/>
      <c r="X75" s="142">
        <f>'Vystup. ukazovatele projektov'!L196</f>
        <v>18545377.093399998</v>
      </c>
      <c r="Y75" s="1042">
        <f t="shared" si="35"/>
        <v>6.6494718871997122E-2</v>
      </c>
      <c r="Z75" s="1041"/>
      <c r="AA75" s="1097"/>
      <c r="AB75" s="765">
        <f>'Vystup. ukazovatele projektov'!O196</f>
        <v>49251108.136700004</v>
      </c>
      <c r="AC75" s="760">
        <f t="shared" si="32"/>
        <v>69189744.140100002</v>
      </c>
      <c r="AD75" s="1098">
        <f t="shared" si="36"/>
        <v>0.24808083234169953</v>
      </c>
      <c r="AE75" s="742"/>
      <c r="AF75" s="141"/>
    </row>
    <row r="76" spans="1:35" ht="43.5" customHeight="1" x14ac:dyDescent="0.25">
      <c r="A76" s="1054"/>
      <c r="B76" s="1052"/>
      <c r="C76" s="1443"/>
      <c r="D76" s="1443"/>
      <c r="E76" s="1466"/>
      <c r="F76" s="1468"/>
      <c r="G76" s="1468"/>
      <c r="H76" s="1443"/>
      <c r="I76" s="132" t="s">
        <v>84</v>
      </c>
      <c r="J76" s="132" t="s">
        <v>85</v>
      </c>
      <c r="K76" s="132" t="s">
        <v>331</v>
      </c>
      <c r="L76" s="132" t="s">
        <v>1855</v>
      </c>
      <c r="M76" s="1128">
        <v>73500</v>
      </c>
      <c r="N76" s="796"/>
      <c r="O76" s="1157"/>
      <c r="P76" s="781">
        <f>'Vystup. ukazovatele projektov'!M185</f>
        <v>0</v>
      </c>
      <c r="Q76" s="1131">
        <f t="shared" si="33"/>
        <v>0</v>
      </c>
      <c r="R76" s="1131"/>
      <c r="S76" s="1132"/>
      <c r="T76" s="787">
        <f>'Vystup. ukazovatele projektov'!K185</f>
        <v>97941.867400000003</v>
      </c>
      <c r="U76" s="1131">
        <f t="shared" si="34"/>
        <v>1.3325424136054422</v>
      </c>
      <c r="V76" s="1131"/>
      <c r="W76" s="790"/>
      <c r="X76" s="790">
        <f>'Vystup. ukazovatele projektov'!L185</f>
        <v>5272.7560999999996</v>
      </c>
      <c r="Y76" s="1131">
        <f t="shared" si="35"/>
        <v>7.1738178231292513E-2</v>
      </c>
      <c r="Z76" s="1131"/>
      <c r="AA76" s="1134"/>
      <c r="AB76" s="792">
        <f>'Vystup. ukazovatele projektov'!O185</f>
        <v>8572.2390999999989</v>
      </c>
      <c r="AC76" s="788">
        <f t="shared" si="32"/>
        <v>106514.10649999999</v>
      </c>
      <c r="AD76" s="1135">
        <f t="shared" si="36"/>
        <v>1.4491715170068027</v>
      </c>
      <c r="AE76" s="795"/>
      <c r="AF76" s="796"/>
    </row>
    <row r="77" spans="1:35" ht="43.5" customHeight="1" x14ac:dyDescent="0.25">
      <c r="A77" s="1054"/>
      <c r="B77" s="1052"/>
      <c r="C77" s="1443"/>
      <c r="D77" s="1443"/>
      <c r="E77" s="1466"/>
      <c r="F77" s="1468"/>
      <c r="G77" s="1468"/>
      <c r="H77" s="1443"/>
      <c r="I77" s="754" t="s">
        <v>105</v>
      </c>
      <c r="J77" s="918" t="s">
        <v>106</v>
      </c>
      <c r="K77" s="918" t="s">
        <v>355</v>
      </c>
      <c r="L77" s="918" t="s">
        <v>399</v>
      </c>
      <c r="M77" s="1084">
        <v>550</v>
      </c>
      <c r="N77" s="1084"/>
      <c r="O77" s="1085"/>
      <c r="P77" s="587">
        <f>'Vystup. ukazovatele projektov'!M187</f>
        <v>0</v>
      </c>
      <c r="Q77" s="1086">
        <f t="shared" si="33"/>
        <v>0</v>
      </c>
      <c r="R77" s="1086"/>
      <c r="S77" s="1087"/>
      <c r="T77" s="775">
        <f>'Vystup. ukazovatele projektov'!K187</f>
        <v>97</v>
      </c>
      <c r="U77" s="1088">
        <f t="shared" si="34"/>
        <v>0.17636363636363636</v>
      </c>
      <c r="V77" s="1088"/>
      <c r="W77" s="589"/>
      <c r="X77" s="589">
        <f>'Vystup. ukazovatele projektov'!L187</f>
        <v>88</v>
      </c>
      <c r="Y77" s="1088">
        <f t="shared" si="35"/>
        <v>0.16</v>
      </c>
      <c r="Z77" s="1086"/>
      <c r="AA77" s="1089"/>
      <c r="AB77" s="767">
        <f>'Vystup. ukazovatele projektov'!O187</f>
        <v>237</v>
      </c>
      <c r="AC77" s="762">
        <f t="shared" si="32"/>
        <v>334</v>
      </c>
      <c r="AD77" s="1090">
        <f t="shared" si="36"/>
        <v>0.6072727272727273</v>
      </c>
      <c r="AE77" s="744"/>
      <c r="AF77" s="588"/>
    </row>
    <row r="78" spans="1:35" ht="43.5" customHeight="1" x14ac:dyDescent="0.25">
      <c r="A78" s="1054"/>
      <c r="B78" s="1052"/>
      <c r="C78" s="1443"/>
      <c r="D78" s="1443"/>
      <c r="E78" s="1466"/>
      <c r="F78" s="1468"/>
      <c r="G78" s="1468"/>
      <c r="H78" s="1443"/>
      <c r="I78" s="132" t="s">
        <v>107</v>
      </c>
      <c r="J78" s="123" t="s">
        <v>108</v>
      </c>
      <c r="K78" s="123" t="s">
        <v>356</v>
      </c>
      <c r="L78" s="123" t="s">
        <v>1856</v>
      </c>
      <c r="M78" s="1100">
        <v>1248000</v>
      </c>
      <c r="N78" s="1158">
        <v>187200</v>
      </c>
      <c r="O78" s="1159"/>
      <c r="P78" s="467">
        <f>'Vystup. ukazovatele projektov'!M188</f>
        <v>553.91</v>
      </c>
      <c r="Q78" s="402">
        <f t="shared" si="33"/>
        <v>4.4383814102564098E-4</v>
      </c>
      <c r="R78" s="402">
        <f>IF(N78=0,0,P78/N78)</f>
        <v>2.9589209401709401E-3</v>
      </c>
      <c r="S78" s="1102"/>
      <c r="T78" s="773">
        <f>'Vystup. ukazovatele projektov'!K188</f>
        <v>135430.45499999996</v>
      </c>
      <c r="U78" s="509">
        <f t="shared" si="34"/>
        <v>0.1085179927884615</v>
      </c>
      <c r="V78" s="509">
        <f>IF(N78=0,0,T78/N78)</f>
        <v>0.72345328525641006</v>
      </c>
      <c r="W78" s="1160"/>
      <c r="X78" s="144">
        <f>'Vystup. ukazovatele projektov'!L188</f>
        <v>130293.80499999995</v>
      </c>
      <c r="Y78" s="509">
        <f t="shared" si="35"/>
        <v>0.10440208733974354</v>
      </c>
      <c r="Z78" s="402">
        <f>IF(N78=0,0,X78/N78)</f>
        <v>0.69601391559829029</v>
      </c>
      <c r="AA78" s="1103"/>
      <c r="AB78" s="764">
        <f>'Vystup. ukazovatele projektov'!O188</f>
        <v>389174.42140000034</v>
      </c>
      <c r="AC78" s="759">
        <f t="shared" si="32"/>
        <v>524604.8764000003</v>
      </c>
      <c r="AD78" s="1104">
        <f t="shared" si="36"/>
        <v>0.42035647147435923</v>
      </c>
      <c r="AE78" s="741"/>
      <c r="AF78" s="143"/>
    </row>
    <row r="79" spans="1:35" s="899" customFormat="1" ht="43.5" customHeight="1" thickBot="1" x14ac:dyDescent="0.3">
      <c r="A79" s="1054"/>
      <c r="B79" s="1052"/>
      <c r="C79" s="1443"/>
      <c r="D79" s="1443"/>
      <c r="E79" s="1466"/>
      <c r="F79" s="1468"/>
      <c r="G79" s="1468"/>
      <c r="H79" s="1443"/>
      <c r="I79" s="132" t="s">
        <v>109</v>
      </c>
      <c r="J79" s="432" t="s">
        <v>1920</v>
      </c>
      <c r="K79" s="432" t="s">
        <v>361</v>
      </c>
      <c r="L79" s="916" t="s">
        <v>415</v>
      </c>
      <c r="M79" s="1093">
        <v>172000000</v>
      </c>
      <c r="N79" s="1094"/>
      <c r="O79" s="1095"/>
      <c r="P79" s="466">
        <f>'Vystup. ukazovatele projektov'!M191</f>
        <v>47.008099999999999</v>
      </c>
      <c r="Q79" s="1041">
        <f t="shared" si="33"/>
        <v>2.7330290697674418E-7</v>
      </c>
      <c r="R79" s="1041"/>
      <c r="S79" s="1096"/>
      <c r="T79" s="770">
        <f>'Vystup. ukazovatele projektov'!K191</f>
        <v>11008686.432799999</v>
      </c>
      <c r="U79" s="1042">
        <f t="shared" si="34"/>
        <v>6.4003990888372081E-2</v>
      </c>
      <c r="V79" s="1042"/>
      <c r="W79" s="142"/>
      <c r="X79" s="142">
        <f>'Vystup. ukazovatele projektov'!L191</f>
        <v>10130447.783199998</v>
      </c>
      <c r="Y79" s="1042">
        <f t="shared" si="35"/>
        <v>5.8897952227906961E-2</v>
      </c>
      <c r="Z79" s="1041"/>
      <c r="AA79" s="1097"/>
      <c r="AB79" s="765">
        <f>'Vystup. ukazovatele projektov'!O191</f>
        <v>39300115.495700009</v>
      </c>
      <c r="AC79" s="760">
        <f t="shared" si="32"/>
        <v>50308801.928500012</v>
      </c>
      <c r="AD79" s="1098">
        <f t="shared" si="36"/>
        <v>0.29249303446802333</v>
      </c>
      <c r="AE79" s="742"/>
      <c r="AF79" s="141"/>
      <c r="AI79" s="9"/>
    </row>
    <row r="80" spans="1:35" ht="43.5" customHeight="1" x14ac:dyDescent="0.25">
      <c r="A80" s="1054"/>
      <c r="B80" s="1052"/>
      <c r="C80" s="1481">
        <v>42829</v>
      </c>
      <c r="D80" s="1443" t="s">
        <v>1921</v>
      </c>
      <c r="E80" s="1464" t="s">
        <v>21</v>
      </c>
      <c r="F80" s="1467" t="s">
        <v>1922</v>
      </c>
      <c r="G80" s="590" t="s">
        <v>1924</v>
      </c>
      <c r="H80" s="586" t="s">
        <v>1965</v>
      </c>
      <c r="I80" s="585" t="s">
        <v>117</v>
      </c>
      <c r="J80" s="586" t="s">
        <v>118</v>
      </c>
      <c r="K80" s="586" t="s">
        <v>377</v>
      </c>
      <c r="L80" s="917" t="s">
        <v>399</v>
      </c>
      <c r="M80" s="1161">
        <v>50</v>
      </c>
      <c r="N80" s="1155"/>
      <c r="O80" s="1156"/>
      <c r="P80" s="603"/>
      <c r="Q80" s="1146">
        <f t="shared" si="33"/>
        <v>0</v>
      </c>
      <c r="R80" s="1146"/>
      <c r="S80" s="1147"/>
      <c r="T80" s="772"/>
      <c r="U80" s="1148">
        <f t="shared" si="34"/>
        <v>0</v>
      </c>
      <c r="V80" s="1148"/>
      <c r="W80" s="605"/>
      <c r="X80" s="605"/>
      <c r="Y80" s="1148">
        <f t="shared" si="35"/>
        <v>0</v>
      </c>
      <c r="Z80" s="1146"/>
      <c r="AA80" s="1150"/>
      <c r="AB80" s="763"/>
      <c r="AC80" s="758">
        <f t="shared" si="32"/>
        <v>0</v>
      </c>
      <c r="AD80" s="1151">
        <f t="shared" si="36"/>
        <v>0</v>
      </c>
      <c r="AE80" s="740"/>
      <c r="AF80" s="604"/>
    </row>
    <row r="81" spans="1:35" ht="43.5" customHeight="1" x14ac:dyDescent="0.25">
      <c r="A81" s="1054"/>
      <c r="B81" s="1052"/>
      <c r="C81" s="1443"/>
      <c r="D81" s="1443"/>
      <c r="E81" s="1466"/>
      <c r="F81" s="1468"/>
      <c r="G81" s="433" t="s">
        <v>1925</v>
      </c>
      <c r="H81" s="432" t="s">
        <v>1966</v>
      </c>
      <c r="I81" s="132" t="s">
        <v>115</v>
      </c>
      <c r="J81" s="432" t="s">
        <v>116</v>
      </c>
      <c r="K81" s="432" t="s">
        <v>1989</v>
      </c>
      <c r="L81" s="916" t="s">
        <v>399</v>
      </c>
      <c r="M81" s="1162">
        <v>10</v>
      </c>
      <c r="N81" s="1094"/>
      <c r="O81" s="1095"/>
      <c r="P81" s="466"/>
      <c r="Q81" s="1041">
        <f t="shared" ref="Q81:Q101" si="37">IF(M81=0,0,P81/M81)</f>
        <v>0</v>
      </c>
      <c r="R81" s="1041"/>
      <c r="S81" s="1096"/>
      <c r="T81" s="770"/>
      <c r="U81" s="1042">
        <f t="shared" si="30"/>
        <v>0</v>
      </c>
      <c r="V81" s="1042"/>
      <c r="W81" s="142"/>
      <c r="X81" s="142"/>
      <c r="Y81" s="1042">
        <f t="shared" ref="Y81:Y101" si="38">IF(M81=0,0,X81/M81)</f>
        <v>0</v>
      </c>
      <c r="Z81" s="1041"/>
      <c r="AA81" s="1097"/>
      <c r="AB81" s="765"/>
      <c r="AC81" s="760">
        <f t="shared" si="32"/>
        <v>0</v>
      </c>
      <c r="AD81" s="1098">
        <f t="shared" si="20"/>
        <v>0</v>
      </c>
      <c r="AE81" s="742"/>
      <c r="AF81" s="141"/>
    </row>
    <row r="82" spans="1:35" ht="43.5" customHeight="1" x14ac:dyDescent="0.25">
      <c r="A82" s="1054"/>
      <c r="B82" s="1052"/>
      <c r="C82" s="1443"/>
      <c r="D82" s="1443"/>
      <c r="E82" s="1466"/>
      <c r="F82" s="1468"/>
      <c r="G82" s="433" t="s">
        <v>1928</v>
      </c>
      <c r="H82" s="432" t="s">
        <v>1967</v>
      </c>
      <c r="I82" s="132" t="s">
        <v>113</v>
      </c>
      <c r="J82" s="432" t="s">
        <v>114</v>
      </c>
      <c r="K82" s="432" t="s">
        <v>343</v>
      </c>
      <c r="L82" s="916" t="s">
        <v>399</v>
      </c>
      <c r="M82" s="1162">
        <v>80</v>
      </c>
      <c r="N82" s="1094"/>
      <c r="O82" s="1095"/>
      <c r="P82" s="466"/>
      <c r="Q82" s="1041">
        <f t="shared" si="37"/>
        <v>0</v>
      </c>
      <c r="R82" s="1041"/>
      <c r="S82" s="1096"/>
      <c r="T82" s="770"/>
      <c r="U82" s="1042">
        <f t="shared" si="30"/>
        <v>0</v>
      </c>
      <c r="V82" s="1042"/>
      <c r="W82" s="142"/>
      <c r="X82" s="142"/>
      <c r="Y82" s="1042">
        <f t="shared" si="38"/>
        <v>0</v>
      </c>
      <c r="Z82" s="1041"/>
      <c r="AA82" s="1097"/>
      <c r="AB82" s="765"/>
      <c r="AC82" s="760">
        <f t="shared" ref="AC82:AC84" si="39">T82+AB82</f>
        <v>0</v>
      </c>
      <c r="AD82" s="1098">
        <f t="shared" si="20"/>
        <v>0</v>
      </c>
      <c r="AE82" s="742"/>
      <c r="AF82" s="141"/>
    </row>
    <row r="83" spans="1:35" ht="43.5" customHeight="1" x14ac:dyDescent="0.25">
      <c r="A83" s="1054"/>
      <c r="B83" s="1052"/>
      <c r="C83" s="1443"/>
      <c r="D83" s="1443"/>
      <c r="E83" s="1466"/>
      <c r="F83" s="1468"/>
      <c r="G83" s="433" t="s">
        <v>1929</v>
      </c>
      <c r="H83" s="432" t="s">
        <v>1968</v>
      </c>
      <c r="I83" s="432" t="s">
        <v>93</v>
      </c>
      <c r="J83" s="432" t="s">
        <v>94</v>
      </c>
      <c r="K83" s="432" t="s">
        <v>338</v>
      </c>
      <c r="L83" s="916" t="s">
        <v>399</v>
      </c>
      <c r="M83" s="1162">
        <v>80</v>
      </c>
      <c r="N83" s="1094"/>
      <c r="O83" s="1095"/>
      <c r="P83" s="466"/>
      <c r="Q83" s="1041">
        <f t="shared" si="37"/>
        <v>0</v>
      </c>
      <c r="R83" s="1041"/>
      <c r="S83" s="1096"/>
      <c r="T83" s="770"/>
      <c r="U83" s="1042">
        <f t="shared" si="30"/>
        <v>0</v>
      </c>
      <c r="V83" s="1042"/>
      <c r="W83" s="142"/>
      <c r="X83" s="142"/>
      <c r="Y83" s="1042">
        <f t="shared" si="38"/>
        <v>0</v>
      </c>
      <c r="Z83" s="1041"/>
      <c r="AA83" s="1097"/>
      <c r="AB83" s="765"/>
      <c r="AC83" s="760">
        <f t="shared" si="39"/>
        <v>0</v>
      </c>
      <c r="AD83" s="1098">
        <f t="shared" si="20"/>
        <v>0</v>
      </c>
      <c r="AE83" s="742"/>
      <c r="AF83" s="141"/>
    </row>
    <row r="84" spans="1:35" ht="43.5" customHeight="1" x14ac:dyDescent="0.25">
      <c r="A84" s="1054"/>
      <c r="B84" s="1052"/>
      <c r="C84" s="1443"/>
      <c r="D84" s="1443"/>
      <c r="E84" s="1466"/>
      <c r="F84" s="1468"/>
      <c r="G84" s="433" t="s">
        <v>1949</v>
      </c>
      <c r="H84" s="432" t="s">
        <v>1969</v>
      </c>
      <c r="I84" s="432" t="s">
        <v>32</v>
      </c>
      <c r="J84" s="432" t="s">
        <v>152</v>
      </c>
      <c r="K84" s="432" t="s">
        <v>151</v>
      </c>
      <c r="L84" s="916" t="s">
        <v>399</v>
      </c>
      <c r="M84" s="1162">
        <v>2500</v>
      </c>
      <c r="N84" s="1094"/>
      <c r="O84" s="1095"/>
      <c r="P84" s="466"/>
      <c r="Q84" s="1041">
        <f t="shared" si="37"/>
        <v>0</v>
      </c>
      <c r="R84" s="1041"/>
      <c r="S84" s="1096"/>
      <c r="T84" s="770"/>
      <c r="U84" s="1042">
        <f t="shared" si="30"/>
        <v>0</v>
      </c>
      <c r="V84" s="1042"/>
      <c r="W84" s="142"/>
      <c r="X84" s="142"/>
      <c r="Y84" s="1042">
        <f t="shared" si="38"/>
        <v>0</v>
      </c>
      <c r="Z84" s="1041"/>
      <c r="AA84" s="1097"/>
      <c r="AB84" s="765"/>
      <c r="AC84" s="760">
        <f t="shared" si="39"/>
        <v>0</v>
      </c>
      <c r="AD84" s="1098">
        <f t="shared" si="20"/>
        <v>0</v>
      </c>
      <c r="AE84" s="742"/>
      <c r="AF84" s="141"/>
    </row>
    <row r="85" spans="1:35" ht="43.5" customHeight="1" thickBot="1" x14ac:dyDescent="0.3">
      <c r="A85" s="1054"/>
      <c r="B85" s="1052"/>
      <c r="C85" s="1443"/>
      <c r="D85" s="1443"/>
      <c r="E85" s="1480"/>
      <c r="F85" s="1479"/>
      <c r="G85" s="609" t="s">
        <v>1951</v>
      </c>
      <c r="H85" s="584" t="s">
        <v>1970</v>
      </c>
      <c r="I85" s="584" t="s">
        <v>111</v>
      </c>
      <c r="J85" s="584" t="s">
        <v>112</v>
      </c>
      <c r="K85" s="584" t="s">
        <v>380</v>
      </c>
      <c r="L85" s="924" t="s">
        <v>399</v>
      </c>
      <c r="M85" s="1163">
        <v>10</v>
      </c>
      <c r="N85" s="1164"/>
      <c r="O85" s="1165"/>
      <c r="P85" s="606"/>
      <c r="Q85" s="1166">
        <f t="shared" si="37"/>
        <v>0</v>
      </c>
      <c r="R85" s="1166"/>
      <c r="S85" s="1167"/>
      <c r="T85" s="774"/>
      <c r="U85" s="1168">
        <f t="shared" si="30"/>
        <v>0</v>
      </c>
      <c r="V85" s="1168"/>
      <c r="W85" s="608"/>
      <c r="X85" s="608"/>
      <c r="Y85" s="1168">
        <f t="shared" si="38"/>
        <v>0</v>
      </c>
      <c r="Z85" s="1166"/>
      <c r="AA85" s="1169"/>
      <c r="AB85" s="766"/>
      <c r="AC85" s="761">
        <f>T85+AB85</f>
        <v>0</v>
      </c>
      <c r="AD85" s="1170">
        <f t="shared" si="20"/>
        <v>0</v>
      </c>
      <c r="AE85" s="743"/>
      <c r="AF85" s="607"/>
    </row>
    <row r="86" spans="1:35" ht="43.5" customHeight="1" x14ac:dyDescent="0.25">
      <c r="A86" s="1054"/>
      <c r="B86" s="1052"/>
      <c r="C86" s="1421">
        <v>42859</v>
      </c>
      <c r="D86" s="1443" t="s">
        <v>1923</v>
      </c>
      <c r="E86" s="1423" t="s">
        <v>22</v>
      </c>
      <c r="F86" s="1425" t="s">
        <v>1897</v>
      </c>
      <c r="G86" s="1424" t="s">
        <v>1924</v>
      </c>
      <c r="H86" s="1482" t="s">
        <v>1971</v>
      </c>
      <c r="I86" s="434" t="s">
        <v>119</v>
      </c>
      <c r="J86" s="434" t="s">
        <v>120</v>
      </c>
      <c r="K86" s="434" t="s">
        <v>384</v>
      </c>
      <c r="L86" s="918" t="s">
        <v>399</v>
      </c>
      <c r="M86" s="1171">
        <v>25</v>
      </c>
      <c r="N86" s="1084"/>
      <c r="O86" s="1085"/>
      <c r="P86" s="587"/>
      <c r="Q86" s="1086">
        <f t="shared" si="37"/>
        <v>0</v>
      </c>
      <c r="R86" s="1086"/>
      <c r="S86" s="1087"/>
      <c r="T86" s="775"/>
      <c r="U86" s="1088">
        <f t="shared" si="30"/>
        <v>0</v>
      </c>
      <c r="V86" s="1088"/>
      <c r="W86" s="589"/>
      <c r="X86" s="589"/>
      <c r="Y86" s="1088">
        <f t="shared" si="38"/>
        <v>0</v>
      </c>
      <c r="Z86" s="1086"/>
      <c r="AA86" s="1089"/>
      <c r="AB86" s="767"/>
      <c r="AC86" s="762">
        <f>T86+AB86</f>
        <v>0</v>
      </c>
      <c r="AD86" s="1090">
        <f t="shared" si="20"/>
        <v>0</v>
      </c>
      <c r="AE86" s="744"/>
      <c r="AF86" s="588"/>
    </row>
    <row r="87" spans="1:35" ht="43.5" customHeight="1" x14ac:dyDescent="0.25">
      <c r="A87" s="1054"/>
      <c r="B87" s="1052"/>
      <c r="C87" s="1422"/>
      <c r="D87" s="1443"/>
      <c r="E87" s="1423"/>
      <c r="F87" s="1468"/>
      <c r="G87" s="1425"/>
      <c r="H87" s="1443"/>
      <c r="I87" s="263" t="s">
        <v>121</v>
      </c>
      <c r="J87" s="263" t="s">
        <v>122</v>
      </c>
      <c r="K87" s="263" t="s">
        <v>385</v>
      </c>
      <c r="L87" s="132" t="s">
        <v>414</v>
      </c>
      <c r="M87" s="1152">
        <v>1000000</v>
      </c>
      <c r="N87" s="1094"/>
      <c r="O87" s="1095"/>
      <c r="P87" s="466"/>
      <c r="Q87" s="1041">
        <f t="shared" si="37"/>
        <v>0</v>
      </c>
      <c r="R87" s="1041"/>
      <c r="S87" s="1096"/>
      <c r="T87" s="770"/>
      <c r="U87" s="1042">
        <f t="shared" si="30"/>
        <v>0</v>
      </c>
      <c r="V87" s="1042"/>
      <c r="W87" s="142"/>
      <c r="X87" s="142"/>
      <c r="Y87" s="1042">
        <f t="shared" si="38"/>
        <v>0</v>
      </c>
      <c r="Z87" s="1041"/>
      <c r="AA87" s="1097"/>
      <c r="AB87" s="765"/>
      <c r="AC87" s="760">
        <f>T87+AB87</f>
        <v>0</v>
      </c>
      <c r="AD87" s="1098">
        <f t="shared" si="20"/>
        <v>0</v>
      </c>
      <c r="AE87" s="742"/>
      <c r="AF87" s="141"/>
    </row>
    <row r="88" spans="1:35" ht="43.5" customHeight="1" x14ac:dyDescent="0.25">
      <c r="A88" s="1054"/>
      <c r="B88" s="1052"/>
      <c r="C88" s="1422"/>
      <c r="D88" s="1443"/>
      <c r="E88" s="1423"/>
      <c r="F88" s="1468"/>
      <c r="G88" s="1426" t="s">
        <v>1925</v>
      </c>
      <c r="H88" s="1443" t="s">
        <v>1972</v>
      </c>
      <c r="I88" s="132" t="s">
        <v>84</v>
      </c>
      <c r="J88" s="132" t="s">
        <v>85</v>
      </c>
      <c r="K88" s="132" t="s">
        <v>331</v>
      </c>
      <c r="L88" s="132" t="s">
        <v>1855</v>
      </c>
      <c r="M88" s="1152">
        <v>280000</v>
      </c>
      <c r="N88" s="1172"/>
      <c r="O88" s="1173"/>
      <c r="P88" s="781"/>
      <c r="Q88" s="1174">
        <f t="shared" si="37"/>
        <v>0</v>
      </c>
      <c r="R88" s="1174"/>
      <c r="S88" s="1175"/>
      <c r="T88" s="787"/>
      <c r="U88" s="1131">
        <f t="shared" si="30"/>
        <v>0</v>
      </c>
      <c r="V88" s="1131"/>
      <c r="W88" s="790"/>
      <c r="X88" s="790"/>
      <c r="Y88" s="1131">
        <f t="shared" si="38"/>
        <v>0</v>
      </c>
      <c r="Z88" s="1174"/>
      <c r="AA88" s="1134"/>
      <c r="AB88" s="792"/>
      <c r="AC88" s="900">
        <f t="shared" ref="AC88:AC89" si="40">T88+AB88</f>
        <v>0</v>
      </c>
      <c r="AD88" s="1098">
        <f t="shared" si="20"/>
        <v>0</v>
      </c>
      <c r="AE88" s="795"/>
      <c r="AF88" s="796"/>
    </row>
    <row r="89" spans="1:35" ht="43.5" customHeight="1" x14ac:dyDescent="0.25">
      <c r="A89" s="1054"/>
      <c r="B89" s="1052"/>
      <c r="C89" s="1422"/>
      <c r="D89" s="1443"/>
      <c r="E89" s="1423"/>
      <c r="F89" s="1468"/>
      <c r="G89" s="1424"/>
      <c r="H89" s="1443"/>
      <c r="I89" s="263" t="s">
        <v>125</v>
      </c>
      <c r="J89" s="263" t="s">
        <v>126</v>
      </c>
      <c r="K89" s="263" t="s">
        <v>388</v>
      </c>
      <c r="L89" s="916" t="s">
        <v>408</v>
      </c>
      <c r="M89" s="1093">
        <v>45</v>
      </c>
      <c r="N89" s="1094"/>
      <c r="O89" s="1095"/>
      <c r="P89" s="466"/>
      <c r="Q89" s="1041">
        <f t="shared" si="37"/>
        <v>0</v>
      </c>
      <c r="R89" s="1041"/>
      <c r="S89" s="1096"/>
      <c r="T89" s="770"/>
      <c r="U89" s="1042">
        <f t="shared" si="30"/>
        <v>0</v>
      </c>
      <c r="V89" s="1042"/>
      <c r="W89" s="142"/>
      <c r="X89" s="142"/>
      <c r="Y89" s="1042">
        <f t="shared" si="38"/>
        <v>0</v>
      </c>
      <c r="Z89" s="1041"/>
      <c r="AA89" s="1097"/>
      <c r="AB89" s="765"/>
      <c r="AC89" s="760">
        <f t="shared" si="40"/>
        <v>0</v>
      </c>
      <c r="AD89" s="1098">
        <f t="shared" si="20"/>
        <v>0</v>
      </c>
      <c r="AE89" s="742"/>
      <c r="AF89" s="141"/>
    </row>
    <row r="90" spans="1:35" ht="43.5" customHeight="1" thickBot="1" x14ac:dyDescent="0.3">
      <c r="A90" s="1054"/>
      <c r="B90" s="1052"/>
      <c r="C90" s="1422"/>
      <c r="D90" s="1444"/>
      <c r="E90" s="1423"/>
      <c r="F90" s="1426"/>
      <c r="G90" s="1424"/>
      <c r="H90" s="1444"/>
      <c r="I90" s="265" t="s">
        <v>123</v>
      </c>
      <c r="J90" s="265" t="s">
        <v>124</v>
      </c>
      <c r="K90" s="265" t="s">
        <v>383</v>
      </c>
      <c r="L90" s="922" t="s">
        <v>414</v>
      </c>
      <c r="M90" s="1176">
        <v>400000</v>
      </c>
      <c r="N90" s="1177"/>
      <c r="O90" s="1178"/>
      <c r="P90" s="468"/>
      <c r="Q90" s="1179">
        <f>IF(M90=0,0,P90/M90)</f>
        <v>0</v>
      </c>
      <c r="R90" s="1179"/>
      <c r="S90" s="1180"/>
      <c r="T90" s="771"/>
      <c r="U90" s="1181">
        <f t="shared" si="30"/>
        <v>0</v>
      </c>
      <c r="V90" s="1181"/>
      <c r="W90" s="186"/>
      <c r="X90" s="186"/>
      <c r="Y90" s="1181">
        <f t="shared" si="38"/>
        <v>0</v>
      </c>
      <c r="Z90" s="1179"/>
      <c r="AA90" s="1182"/>
      <c r="AB90" s="768"/>
      <c r="AC90" s="780">
        <f>T90+AB90</f>
        <v>0</v>
      </c>
      <c r="AD90" s="1183">
        <f t="shared" si="20"/>
        <v>0</v>
      </c>
      <c r="AE90" s="745"/>
      <c r="AF90" s="185"/>
    </row>
    <row r="91" spans="1:35" ht="43.5" customHeight="1" x14ac:dyDescent="0.25">
      <c r="A91" s="1054"/>
      <c r="B91" s="927"/>
      <c r="C91" s="928"/>
      <c r="D91" s="928"/>
      <c r="E91" s="928"/>
      <c r="F91" s="928"/>
      <c r="G91" s="928"/>
      <c r="H91" s="929"/>
      <c r="I91" s="513" t="s">
        <v>409</v>
      </c>
      <c r="J91" s="513" t="s">
        <v>2030</v>
      </c>
      <c r="K91" s="513"/>
      <c r="L91" s="514" t="s">
        <v>410</v>
      </c>
      <c r="M91" s="1118">
        <v>1612472049</v>
      </c>
      <c r="N91" s="1184">
        <v>499866335</v>
      </c>
      <c r="O91" s="1127"/>
      <c r="P91" s="515">
        <v>19589450.98</v>
      </c>
      <c r="Q91" s="1185">
        <f t="shared" si="37"/>
        <v>1.2148707316910522E-2</v>
      </c>
      <c r="R91" s="1121">
        <f>IF(N91=0,0,P91/N91)</f>
        <v>3.9189378456542787E-2</v>
      </c>
      <c r="S91" s="1122"/>
      <c r="T91" s="776">
        <f>'Vystup. ukazovatele projektov'!K252+'Vystup. ukazovatele projektov'!K254+'Vystup. ukazovatele projektov'!K255+'Vystup. ukazovatele projektov'!K256+'Vystup. ukazovatele projektov'!K257</f>
        <v>88618360.679999992</v>
      </c>
      <c r="U91" s="1186">
        <f t="shared" si="30"/>
        <v>5.4958075543050849E-2</v>
      </c>
      <c r="V91" s="1123">
        <f t="shared" ref="V91:V92" si="41">IF(N91=0,0,T91/N91)</f>
        <v>0.17728411472238872</v>
      </c>
      <c r="W91" s="516"/>
      <c r="X91" s="516">
        <f>'Vystup. ukazovatele projektov'!L252+'Vystup. ukazovatele projektov'!L254+'Vystup. ukazovatele projektov'!L255+'Vystup. ukazovatele projektov'!L256+'Vystup. ukazovatele projektov'!L257</f>
        <v>79837466.879999995</v>
      </c>
      <c r="Y91" s="1186">
        <f t="shared" si="38"/>
        <v>4.9512465614217911E-2</v>
      </c>
      <c r="Z91" s="1121">
        <f t="shared" si="23"/>
        <v>0.15971763107431508</v>
      </c>
      <c r="AA91" s="1125"/>
      <c r="AB91" s="1282">
        <f>'Vystup. ukazovatele projektov'!O252+'Vystup. ukazovatele projektov'!O254+'Vystup. ukazovatele projektov'!O255+'Vystup. ukazovatele projektov'!O256+'Vystup. ukazovatele projektov'!O257</f>
        <v>73678288.830000013</v>
      </c>
      <c r="AC91" s="1283">
        <f t="shared" ref="AC91:AC94" si="42">T91+AB91</f>
        <v>162296649.50999999</v>
      </c>
      <c r="AD91" s="1187">
        <f t="shared" si="20"/>
        <v>0.10065082964424148</v>
      </c>
      <c r="AE91" s="746">
        <f>'Vystup. ukazovatele projektov'!N252+'Vystup. ukazovatele projektov'!N254+'Vystup. ukazovatele projektov'!N255+'Vystup. ukazovatele projektov'!N256+'Vystup. ukazovatele projektov'!N257</f>
        <v>0</v>
      </c>
      <c r="AF91" s="582">
        <f>'Vystup. ukazovatele projektov'!P252+'Vystup. ukazovatele projektov'!P254+'Vystup. ukazovatele projektov'!P255+'Vystup. ukazovatele projektov'!P256+'Vystup. ukazovatele projektov'!P257</f>
        <v>0</v>
      </c>
    </row>
    <row r="92" spans="1:35" s="899" customFormat="1" ht="43.5" customHeight="1" thickBot="1" x14ac:dyDescent="0.3">
      <c r="A92" s="1264"/>
      <c r="B92" s="1265"/>
      <c r="C92" s="1266"/>
      <c r="D92" s="1266"/>
      <c r="E92" s="1266"/>
      <c r="F92" s="1266"/>
      <c r="G92" s="1266"/>
      <c r="H92" s="1267"/>
      <c r="I92" s="1268" t="s">
        <v>409</v>
      </c>
      <c r="J92" s="1268" t="s">
        <v>2031</v>
      </c>
      <c r="K92" s="1268"/>
      <c r="L92" s="1269" t="s">
        <v>410</v>
      </c>
      <c r="M92" s="1188">
        <v>2656424</v>
      </c>
      <c r="N92" s="1189">
        <v>823491</v>
      </c>
      <c r="O92" s="1270"/>
      <c r="P92" s="1271">
        <v>555160.27</v>
      </c>
      <c r="Q92" s="1272">
        <f t="shared" si="37"/>
        <v>0.20898782347998662</v>
      </c>
      <c r="R92" s="1272">
        <f t="shared" si="21"/>
        <v>0.67415462949807592</v>
      </c>
      <c r="S92" s="1273"/>
      <c r="T92" s="1274">
        <f>P92</f>
        <v>555160.27</v>
      </c>
      <c r="U92" s="1275">
        <f t="shared" si="30"/>
        <v>0.20898782347998662</v>
      </c>
      <c r="V92" s="1275">
        <f t="shared" si="41"/>
        <v>0.67415462949807592</v>
      </c>
      <c r="W92" s="1276"/>
      <c r="X92" s="1276">
        <f>P92</f>
        <v>555160.27</v>
      </c>
      <c r="Y92" s="1275">
        <f t="shared" si="38"/>
        <v>0.20898782347998662</v>
      </c>
      <c r="Z92" s="1272">
        <f t="shared" si="23"/>
        <v>0.67415462949807592</v>
      </c>
      <c r="AA92" s="1277"/>
      <c r="AB92" s="1278">
        <f>'Vystup. ukazovatele projektov'!O253</f>
        <v>0</v>
      </c>
      <c r="AC92" s="1279">
        <f t="shared" si="42"/>
        <v>555160.27</v>
      </c>
      <c r="AD92" s="1190">
        <f t="shared" si="20"/>
        <v>0.20898782347998662</v>
      </c>
      <c r="AE92" s="1280">
        <f>'Vystup. ukazovatele projektov'!N253</f>
        <v>0</v>
      </c>
      <c r="AF92" s="1281">
        <f>'Vystup. ukazovatele projektov'!P253</f>
        <v>0</v>
      </c>
      <c r="AI92" s="9"/>
    </row>
    <row r="93" spans="1:35" ht="43.5" customHeight="1" thickTop="1" x14ac:dyDescent="0.25">
      <c r="A93" s="1509">
        <v>5</v>
      </c>
      <c r="B93" s="1512" t="s">
        <v>1978</v>
      </c>
      <c r="C93" s="1431">
        <v>42740</v>
      </c>
      <c r="D93" s="1427"/>
      <c r="E93" s="1429" t="s">
        <v>15</v>
      </c>
      <c r="F93" s="1427" t="s">
        <v>1979</v>
      </c>
      <c r="G93" s="137" t="s">
        <v>1924</v>
      </c>
      <c r="H93" s="138" t="s">
        <v>1984</v>
      </c>
      <c r="I93" s="188" t="s">
        <v>129</v>
      </c>
      <c r="J93" s="189" t="s">
        <v>130</v>
      </c>
      <c r="K93" s="156" t="s">
        <v>396</v>
      </c>
      <c r="L93" s="1191" t="s">
        <v>399</v>
      </c>
      <c r="M93" s="1192">
        <v>60</v>
      </c>
      <c r="N93" s="1193"/>
      <c r="O93" s="1194"/>
      <c r="P93" s="1195">
        <f>'Vystup. ukazovatele projektov'!M223</f>
        <v>0</v>
      </c>
      <c r="Q93" s="1196">
        <f t="shared" si="37"/>
        <v>0</v>
      </c>
      <c r="R93" s="1196"/>
      <c r="S93" s="1197"/>
      <c r="T93" s="1198">
        <f>'Vystup. ukazovatele projektov'!K223</f>
        <v>0</v>
      </c>
      <c r="U93" s="1199">
        <f t="shared" si="30"/>
        <v>0</v>
      </c>
      <c r="V93" s="1199"/>
      <c r="W93" s="1200"/>
      <c r="X93" s="1200">
        <f>'Vystup. ukazovatele projektov'!L223</f>
        <v>0</v>
      </c>
      <c r="Y93" s="1199">
        <f t="shared" si="38"/>
        <v>0</v>
      </c>
      <c r="Z93" s="1196"/>
      <c r="AA93" s="1201"/>
      <c r="AB93" s="1202">
        <f>'Vystup. ukazovatele projektov'!O223</f>
        <v>0</v>
      </c>
      <c r="AC93" s="1203">
        <f t="shared" si="42"/>
        <v>0</v>
      </c>
      <c r="AD93" s="1204">
        <f t="shared" si="20"/>
        <v>0</v>
      </c>
      <c r="AE93" s="1195"/>
      <c r="AF93" s="157"/>
    </row>
    <row r="94" spans="1:35" ht="43.5" customHeight="1" x14ac:dyDescent="0.25">
      <c r="A94" s="1510"/>
      <c r="B94" s="1513"/>
      <c r="C94" s="1432"/>
      <c r="D94" s="1428"/>
      <c r="E94" s="1430"/>
      <c r="F94" s="1428"/>
      <c r="G94" s="139" t="s">
        <v>1925</v>
      </c>
      <c r="H94" s="171" t="s">
        <v>1981</v>
      </c>
      <c r="I94" s="155" t="s">
        <v>131</v>
      </c>
      <c r="J94" s="155" t="s">
        <v>1859</v>
      </c>
      <c r="K94" s="158" t="s">
        <v>389</v>
      </c>
      <c r="L94" s="1205" t="s">
        <v>399</v>
      </c>
      <c r="M94" s="1206">
        <v>310</v>
      </c>
      <c r="N94" s="1207"/>
      <c r="O94" s="1208"/>
      <c r="P94" s="1209">
        <f>'Vystup. ukazovatele projektov'!M224</f>
        <v>313.2099</v>
      </c>
      <c r="Q94" s="1210">
        <f t="shared" si="37"/>
        <v>1.0103545161290324</v>
      </c>
      <c r="R94" s="1210"/>
      <c r="S94" s="1211"/>
      <c r="T94" s="1212">
        <f>'Vystup. ukazovatele projektov'!K224</f>
        <v>350</v>
      </c>
      <c r="U94" s="1213">
        <f t="shared" si="30"/>
        <v>1.1290322580645162</v>
      </c>
      <c r="V94" s="1213"/>
      <c r="W94" s="1214"/>
      <c r="X94" s="1214">
        <f>'Vystup. ukazovatele projektov'!L224</f>
        <v>313.2099</v>
      </c>
      <c r="Y94" s="1213">
        <f t="shared" si="38"/>
        <v>1.0103545161290324</v>
      </c>
      <c r="Z94" s="1210"/>
      <c r="AA94" s="1215"/>
      <c r="AB94" s="1216">
        <f>'Vystup. ukazovatele projektov'!O224</f>
        <v>83</v>
      </c>
      <c r="AC94" s="1217">
        <f t="shared" si="42"/>
        <v>433</v>
      </c>
      <c r="AD94" s="1218">
        <f t="shared" si="20"/>
        <v>1.3967741935483871</v>
      </c>
      <c r="AE94" s="1209"/>
      <c r="AF94" s="159"/>
    </row>
    <row r="95" spans="1:35" ht="43.5" customHeight="1" x14ac:dyDescent="0.25">
      <c r="A95" s="1510"/>
      <c r="B95" s="1513"/>
      <c r="C95" s="1432"/>
      <c r="D95" s="1428"/>
      <c r="E95" s="1430"/>
      <c r="F95" s="1428"/>
      <c r="G95" s="1420" t="s">
        <v>1928</v>
      </c>
      <c r="H95" s="1419" t="s">
        <v>1982</v>
      </c>
      <c r="I95" s="155" t="s">
        <v>134</v>
      </c>
      <c r="J95" s="155" t="s">
        <v>2441</v>
      </c>
      <c r="K95" s="158" t="s">
        <v>391</v>
      </c>
      <c r="L95" s="1205" t="s">
        <v>398</v>
      </c>
      <c r="M95" s="1210">
        <v>1</v>
      </c>
      <c r="N95" s="1207"/>
      <c r="O95" s="1208"/>
      <c r="P95" s="1219">
        <f>'Vystup. ukazovatele projektov'!M225/P94</f>
        <v>0.36940083950092256</v>
      </c>
      <c r="Q95" s="1210">
        <f t="shared" si="37"/>
        <v>0.36940083950092256</v>
      </c>
      <c r="R95" s="1210"/>
      <c r="S95" s="1211"/>
      <c r="T95" s="1220">
        <f>'Vystup. ukazovatele projektov'!K225/T94</f>
        <v>0.34285714285714286</v>
      </c>
      <c r="U95" s="1213">
        <f t="shared" si="30"/>
        <v>0.34285714285714286</v>
      </c>
      <c r="V95" s="1213"/>
      <c r="W95" s="1214"/>
      <c r="X95" s="1213">
        <f>'Vystup. ukazovatele projektov'!L225/X94</f>
        <v>0.36940083950092256</v>
      </c>
      <c r="Y95" s="1213">
        <f t="shared" si="38"/>
        <v>0.36940083950092256</v>
      </c>
      <c r="Z95" s="1210"/>
      <c r="AA95" s="1215"/>
      <c r="AB95" s="1216">
        <f>'Vystup. ukazovatele projektov'!O225/AB94</f>
        <v>0</v>
      </c>
      <c r="AC95" s="1221">
        <f t="shared" ref="AC95:AC100" si="43">T95+AB95</f>
        <v>0.34285714285714286</v>
      </c>
      <c r="AD95" s="1218">
        <f>IF(M95=0,0,AC95/M95)</f>
        <v>0.34285714285714286</v>
      </c>
      <c r="AE95" s="1209"/>
      <c r="AF95" s="159"/>
    </row>
    <row r="96" spans="1:35" s="904" customFormat="1" ht="43.5" customHeight="1" x14ac:dyDescent="0.25">
      <c r="A96" s="1510"/>
      <c r="B96" s="1513"/>
      <c r="C96" s="1432"/>
      <c r="D96" s="1428"/>
      <c r="E96" s="1430"/>
      <c r="F96" s="1428"/>
      <c r="G96" s="1420"/>
      <c r="H96" s="1419"/>
      <c r="I96" s="908"/>
      <c r="J96" s="901" t="s">
        <v>395</v>
      </c>
      <c r="K96" s="902" t="s">
        <v>394</v>
      </c>
      <c r="L96" s="1222" t="s">
        <v>399</v>
      </c>
      <c r="M96" s="1223"/>
      <c r="N96" s="1224"/>
      <c r="O96" s="1225"/>
      <c r="P96" s="1226">
        <f>'Vystup. ukazovatele projektov'!M226</f>
        <v>0</v>
      </c>
      <c r="Q96" s="1227">
        <f t="shared" si="37"/>
        <v>0</v>
      </c>
      <c r="R96" s="1227"/>
      <c r="S96" s="1228"/>
      <c r="T96" s="1229">
        <f>'Vystup. ukazovatele projektov'!K226</f>
        <v>0</v>
      </c>
      <c r="U96" s="1230">
        <f t="shared" si="30"/>
        <v>0</v>
      </c>
      <c r="V96" s="1230"/>
      <c r="W96" s="1231"/>
      <c r="X96" s="1231">
        <f>'Vystup. ukazovatele projektov'!L226</f>
        <v>0</v>
      </c>
      <c r="Y96" s="1230">
        <f t="shared" si="38"/>
        <v>0</v>
      </c>
      <c r="Z96" s="1227"/>
      <c r="AA96" s="1232"/>
      <c r="AB96" s="1233">
        <f>'Vystup. ukazovatele projektov'!O226</f>
        <v>0</v>
      </c>
      <c r="AC96" s="1234">
        <f t="shared" si="43"/>
        <v>0</v>
      </c>
      <c r="AD96" s="1235">
        <f t="shared" si="20"/>
        <v>0</v>
      </c>
      <c r="AE96" s="1226"/>
      <c r="AF96" s="903"/>
      <c r="AI96" s="905"/>
    </row>
    <row r="97" spans="1:35" s="904" customFormat="1" ht="43.5" customHeight="1" x14ac:dyDescent="0.25">
      <c r="A97" s="1510"/>
      <c r="B97" s="1513"/>
      <c r="C97" s="1432"/>
      <c r="D97" s="1428"/>
      <c r="E97" s="1430"/>
      <c r="F97" s="1428"/>
      <c r="G97" s="1420"/>
      <c r="H97" s="1419"/>
      <c r="I97" s="908"/>
      <c r="J97" s="901" t="s">
        <v>1860</v>
      </c>
      <c r="K97" s="902" t="s">
        <v>1862</v>
      </c>
      <c r="L97" s="1222" t="s">
        <v>399</v>
      </c>
      <c r="M97" s="1223"/>
      <c r="N97" s="1224"/>
      <c r="O97" s="1225"/>
      <c r="P97" s="1226">
        <f>'Vystup. ukazovatele projektov'!M227</f>
        <v>0</v>
      </c>
      <c r="Q97" s="1227">
        <f t="shared" si="37"/>
        <v>0</v>
      </c>
      <c r="R97" s="1227"/>
      <c r="S97" s="1228"/>
      <c r="T97" s="1229">
        <f>'Vystup. ukazovatele projektov'!K227</f>
        <v>0</v>
      </c>
      <c r="U97" s="1230">
        <f t="shared" si="30"/>
        <v>0</v>
      </c>
      <c r="V97" s="1230"/>
      <c r="W97" s="1231"/>
      <c r="X97" s="1231">
        <f>'Vystup. ukazovatele projektov'!L227</f>
        <v>0</v>
      </c>
      <c r="Y97" s="1230">
        <f t="shared" si="38"/>
        <v>0</v>
      </c>
      <c r="Z97" s="1227"/>
      <c r="AA97" s="1232"/>
      <c r="AB97" s="1233">
        <f>'Vystup. ukazovatele projektov'!O227</f>
        <v>0</v>
      </c>
      <c r="AC97" s="1234">
        <f t="shared" si="43"/>
        <v>0</v>
      </c>
      <c r="AD97" s="1235">
        <f t="shared" si="20"/>
        <v>0</v>
      </c>
      <c r="AE97" s="1226"/>
      <c r="AF97" s="903"/>
      <c r="AI97" s="905"/>
    </row>
    <row r="98" spans="1:35" ht="43.5" customHeight="1" x14ac:dyDescent="0.25">
      <c r="A98" s="1510"/>
      <c r="B98" s="1513"/>
      <c r="C98" s="1432"/>
      <c r="D98" s="1428"/>
      <c r="E98" s="1430"/>
      <c r="F98" s="1428"/>
      <c r="G98" s="139" t="s">
        <v>1929</v>
      </c>
      <c r="H98" s="171" t="s">
        <v>1983</v>
      </c>
      <c r="I98" s="155" t="s">
        <v>132</v>
      </c>
      <c r="J98" s="155" t="s">
        <v>133</v>
      </c>
      <c r="K98" s="154" t="s">
        <v>393</v>
      </c>
      <c r="L98" s="1236" t="s">
        <v>399</v>
      </c>
      <c r="M98" s="1206">
        <v>30</v>
      </c>
      <c r="N98" s="1207"/>
      <c r="O98" s="1208"/>
      <c r="P98" s="1209">
        <f>'Vystup. ukazovatele projektov'!M228</f>
        <v>1</v>
      </c>
      <c r="Q98" s="1210">
        <f t="shared" si="37"/>
        <v>3.3333333333333333E-2</v>
      </c>
      <c r="R98" s="1210"/>
      <c r="S98" s="1211"/>
      <c r="T98" s="1212">
        <f>'Vystup. ukazovatele projektov'!K228</f>
        <v>1</v>
      </c>
      <c r="U98" s="1213">
        <f t="shared" si="30"/>
        <v>3.3333333333333333E-2</v>
      </c>
      <c r="V98" s="1213"/>
      <c r="W98" s="1214"/>
      <c r="X98" s="1214">
        <f>'Vystup. ukazovatele projektov'!L228</f>
        <v>1</v>
      </c>
      <c r="Y98" s="1213">
        <f t="shared" si="38"/>
        <v>3.3333333333333333E-2</v>
      </c>
      <c r="Z98" s="1210"/>
      <c r="AA98" s="1215"/>
      <c r="AB98" s="1216">
        <f>'Vystup. ukazovatele projektov'!O228</f>
        <v>0</v>
      </c>
      <c r="AC98" s="1217">
        <f t="shared" si="43"/>
        <v>1</v>
      </c>
      <c r="AD98" s="1218">
        <f t="shared" si="20"/>
        <v>3.3333333333333333E-2</v>
      </c>
      <c r="AE98" s="1209"/>
      <c r="AF98" s="159"/>
    </row>
    <row r="99" spans="1:35" ht="43.5" customHeight="1" x14ac:dyDescent="0.25">
      <c r="A99" s="1510"/>
      <c r="B99" s="1513"/>
      <c r="C99" s="1432"/>
      <c r="D99" s="1428"/>
      <c r="E99" s="1430" t="s">
        <v>23</v>
      </c>
      <c r="F99" s="1419" t="s">
        <v>1980</v>
      </c>
      <c r="G99" s="139" t="s">
        <v>1924</v>
      </c>
      <c r="H99" s="171" t="s">
        <v>1990</v>
      </c>
      <c r="I99" s="155" t="s">
        <v>32</v>
      </c>
      <c r="J99" s="155" t="s">
        <v>152</v>
      </c>
      <c r="K99" s="154" t="s">
        <v>151</v>
      </c>
      <c r="L99" s="1236" t="s">
        <v>399</v>
      </c>
      <c r="M99" s="1496">
        <v>600</v>
      </c>
      <c r="N99" s="1207"/>
      <c r="O99" s="1208"/>
      <c r="P99" s="1209">
        <f>'Vystup. ukazovatele projektov'!M229</f>
        <v>0</v>
      </c>
      <c r="Q99" s="1210">
        <f t="shared" si="37"/>
        <v>0</v>
      </c>
      <c r="R99" s="1210"/>
      <c r="S99" s="1211"/>
      <c r="T99" s="1212">
        <f>'Vystup. ukazovatele projektov'!K229</f>
        <v>0</v>
      </c>
      <c r="U99" s="1213">
        <f t="shared" si="30"/>
        <v>0</v>
      </c>
      <c r="V99" s="1213"/>
      <c r="W99" s="1214"/>
      <c r="X99" s="1214">
        <f>'Vystup. ukazovatele projektov'!L229</f>
        <v>0</v>
      </c>
      <c r="Y99" s="1213">
        <f t="shared" si="38"/>
        <v>0</v>
      </c>
      <c r="Z99" s="1210"/>
      <c r="AA99" s="1215"/>
      <c r="AB99" s="1216">
        <f>'Vystup. ukazovatele projektov'!O229</f>
        <v>0</v>
      </c>
      <c r="AC99" s="1217">
        <f t="shared" si="43"/>
        <v>0</v>
      </c>
      <c r="AD99" s="1218">
        <f t="shared" si="20"/>
        <v>0</v>
      </c>
      <c r="AE99" s="1209"/>
      <c r="AF99" s="159"/>
    </row>
    <row r="100" spans="1:35" ht="43.5" customHeight="1" x14ac:dyDescent="0.25">
      <c r="A100" s="1510"/>
      <c r="B100" s="1513"/>
      <c r="C100" s="1432"/>
      <c r="D100" s="1428"/>
      <c r="E100" s="1430"/>
      <c r="F100" s="1419"/>
      <c r="G100" s="158" t="s">
        <v>1925</v>
      </c>
      <c r="H100" s="158" t="s">
        <v>1991</v>
      </c>
      <c r="I100" s="158" t="s">
        <v>32</v>
      </c>
      <c r="J100" s="187" t="s">
        <v>152</v>
      </c>
      <c r="K100" s="158" t="s">
        <v>151</v>
      </c>
      <c r="L100" s="1236" t="s">
        <v>399</v>
      </c>
      <c r="M100" s="1497"/>
      <c r="N100" s="1207"/>
      <c r="O100" s="1208"/>
      <c r="P100" s="1209">
        <f>'Vystup. ukazovatele projektov'!M230</f>
        <v>0</v>
      </c>
      <c r="Q100" s="1210">
        <f t="shared" si="37"/>
        <v>0</v>
      </c>
      <c r="R100" s="1210"/>
      <c r="S100" s="1211"/>
      <c r="T100" s="1212">
        <f>'Vystup. ukazovatele projektov'!K230</f>
        <v>0</v>
      </c>
      <c r="U100" s="1213">
        <f t="shared" si="30"/>
        <v>0</v>
      </c>
      <c r="V100" s="1213"/>
      <c r="W100" s="1214"/>
      <c r="X100" s="1214">
        <f>'Vystup. ukazovatele projektov'!L230</f>
        <v>0</v>
      </c>
      <c r="Y100" s="1213">
        <f t="shared" si="38"/>
        <v>0</v>
      </c>
      <c r="Z100" s="1210"/>
      <c r="AA100" s="1215"/>
      <c r="AB100" s="1216">
        <f>'Vystup. ukazovatele projektov'!O230</f>
        <v>0</v>
      </c>
      <c r="AC100" s="1217">
        <f t="shared" si="43"/>
        <v>0</v>
      </c>
      <c r="AD100" s="1218">
        <f t="shared" si="20"/>
        <v>0</v>
      </c>
      <c r="AE100" s="1209"/>
      <c r="AF100" s="159"/>
    </row>
    <row r="101" spans="1:35" s="153" customFormat="1" ht="43.5" customHeight="1" thickBot="1" x14ac:dyDescent="0.3">
      <c r="A101" s="1511"/>
      <c r="B101" s="1514"/>
      <c r="C101" s="937"/>
      <c r="D101" s="937"/>
      <c r="E101" s="937"/>
      <c r="F101" s="937"/>
      <c r="G101" s="937"/>
      <c r="H101" s="937"/>
      <c r="I101" s="906" t="s">
        <v>127</v>
      </c>
      <c r="J101" s="907" t="s">
        <v>128</v>
      </c>
      <c r="K101" s="937"/>
      <c r="L101" s="906" t="s">
        <v>399</v>
      </c>
      <c r="M101" s="1237">
        <v>20</v>
      </c>
      <c r="N101" s="1237"/>
      <c r="O101" s="1238"/>
      <c r="P101" s="938">
        <v>13</v>
      </c>
      <c r="Q101" s="1239">
        <f t="shared" si="37"/>
        <v>0.65</v>
      </c>
      <c r="R101" s="1239"/>
      <c r="S101" s="1240"/>
      <c r="T101" s="939">
        <v>13</v>
      </c>
      <c r="U101" s="1241">
        <f t="shared" ref="U101" si="44">IF(M101=0,0,T101/M101)</f>
        <v>0.65</v>
      </c>
      <c r="V101" s="937"/>
      <c r="W101" s="937"/>
      <c r="X101" s="616">
        <v>13</v>
      </c>
      <c r="Y101" s="1241">
        <f t="shared" si="38"/>
        <v>0.65</v>
      </c>
      <c r="Z101" s="1242"/>
      <c r="AA101" s="1243"/>
      <c r="AB101" s="940"/>
      <c r="AC101" s="941">
        <f>T101+AB101</f>
        <v>13</v>
      </c>
      <c r="AD101" s="1244">
        <f t="shared" si="20"/>
        <v>0.65</v>
      </c>
      <c r="AE101" s="938"/>
      <c r="AF101" s="616"/>
      <c r="AI101" s="66"/>
    </row>
    <row r="102" spans="1:35" ht="15.75" thickTop="1" x14ac:dyDescent="0.25">
      <c r="K102" s="160"/>
      <c r="L102" s="161"/>
      <c r="M102" s="162"/>
      <c r="N102" s="162"/>
      <c r="O102" s="163"/>
      <c r="P102" s="160"/>
      <c r="Q102" s="163"/>
      <c r="R102" s="163"/>
      <c r="S102" s="163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3"/>
      <c r="AD102" s="779"/>
      <c r="AE102" s="160"/>
      <c r="AF102" s="160"/>
    </row>
    <row r="103" spans="1:35" x14ac:dyDescent="0.25">
      <c r="K103" s="160"/>
      <c r="L103" s="161"/>
      <c r="M103" s="162"/>
      <c r="N103" s="162"/>
      <c r="O103" s="163"/>
      <c r="P103" s="160"/>
      <c r="Q103" s="163"/>
      <c r="R103" s="163"/>
      <c r="S103" s="163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3"/>
      <c r="AD103" s="779"/>
      <c r="AE103" s="160"/>
      <c r="AF103" s="160"/>
    </row>
  </sheetData>
  <sheetProtection algorithmName="SHA-512" hashValue="tRp3e9f+CAQ1xFifpd+2rHdHAshnmXVrR8vGgMtzo8FvfepZc+nxeJs0H7NMgxj40xTFLEYD+6FlmEeSpvd4Qw==" saltValue="z4+/RlCdco3M23XuKRuY4Q==" spinCount="100000" sheet="1" objects="1" scenarios="1" autoFilter="0"/>
  <mergeCells count="112">
    <mergeCell ref="G54:G56"/>
    <mergeCell ref="H54:H56"/>
    <mergeCell ref="G52:G53"/>
    <mergeCell ref="H52:H53"/>
    <mergeCell ref="C28:C35"/>
    <mergeCell ref="B10:B35"/>
    <mergeCell ref="D15:D22"/>
    <mergeCell ref="F23:F27"/>
    <mergeCell ref="D23:D27"/>
    <mergeCell ref="B37:B42"/>
    <mergeCell ref="A37:A43"/>
    <mergeCell ref="C37:C42"/>
    <mergeCell ref="D37:D42"/>
    <mergeCell ref="E37:E41"/>
    <mergeCell ref="F37:F41"/>
    <mergeCell ref="M99:M100"/>
    <mergeCell ref="T8:AA8"/>
    <mergeCell ref="C74:C79"/>
    <mergeCell ref="H74:H79"/>
    <mergeCell ref="O8:O9"/>
    <mergeCell ref="C8:D9"/>
    <mergeCell ref="E32:E34"/>
    <mergeCell ref="C23:C27"/>
    <mergeCell ref="F32:F34"/>
    <mergeCell ref="H32:H34"/>
    <mergeCell ref="F58:F62"/>
    <mergeCell ref="E99:E100"/>
    <mergeCell ref="H30:H31"/>
    <mergeCell ref="G30:G31"/>
    <mergeCell ref="A93:A101"/>
    <mergeCell ref="B93:B101"/>
    <mergeCell ref="H58:H62"/>
    <mergeCell ref="C80:C85"/>
    <mergeCell ref="E80:E85"/>
    <mergeCell ref="F80:F85"/>
    <mergeCell ref="E63:E73"/>
    <mergeCell ref="G64:G73"/>
    <mergeCell ref="C63:C73"/>
    <mergeCell ref="F74:F79"/>
    <mergeCell ref="F63:F73"/>
    <mergeCell ref="F86:F90"/>
    <mergeCell ref="H86:H87"/>
    <mergeCell ref="H88:H90"/>
    <mergeCell ref="D63:D73"/>
    <mergeCell ref="F99:F100"/>
    <mergeCell ref="A10:A36"/>
    <mergeCell ref="H64:H73"/>
    <mergeCell ref="D74:D79"/>
    <mergeCell ref="B36:H36"/>
    <mergeCell ref="E44:E45"/>
    <mergeCell ref="F44:F45"/>
    <mergeCell ref="E46:E48"/>
    <mergeCell ref="F46:F48"/>
    <mergeCell ref="H46:H47"/>
    <mergeCell ref="E49:E50"/>
    <mergeCell ref="F49:F50"/>
    <mergeCell ref="G46:G47"/>
    <mergeCell ref="B51:H51"/>
    <mergeCell ref="E74:E79"/>
    <mergeCell ref="G74:G79"/>
    <mergeCell ref="A44:A51"/>
    <mergeCell ref="H28:H29"/>
    <mergeCell ref="G28:G29"/>
    <mergeCell ref="F28:F31"/>
    <mergeCell ref="D10:D14"/>
    <mergeCell ref="C10:C14"/>
    <mergeCell ref="D28:D35"/>
    <mergeCell ref="D80:D85"/>
    <mergeCell ref="B4:E4"/>
    <mergeCell ref="P7:S7"/>
    <mergeCell ref="M8:M9"/>
    <mergeCell ref="P8:S8"/>
    <mergeCell ref="H95:H97"/>
    <mergeCell ref="G95:G97"/>
    <mergeCell ref="C86:C90"/>
    <mergeCell ref="E86:E90"/>
    <mergeCell ref="G86:G87"/>
    <mergeCell ref="G88:G90"/>
    <mergeCell ref="F93:F98"/>
    <mergeCell ref="E93:E98"/>
    <mergeCell ref="D93:D100"/>
    <mergeCell ref="C93:C100"/>
    <mergeCell ref="B43:H43"/>
    <mergeCell ref="B44:B50"/>
    <mergeCell ref="C44:C50"/>
    <mergeCell ref="D44:D50"/>
    <mergeCell ref="D86:D90"/>
    <mergeCell ref="A8:B9"/>
    <mergeCell ref="H25:H26"/>
    <mergeCell ref="G25:G26"/>
    <mergeCell ref="E28:E31"/>
    <mergeCell ref="G32:G34"/>
    <mergeCell ref="AE8:AE9"/>
    <mergeCell ref="AB8:AB9"/>
    <mergeCell ref="AF8:AF9"/>
    <mergeCell ref="AC8:AD8"/>
    <mergeCell ref="H21:H22"/>
    <mergeCell ref="G21:G22"/>
    <mergeCell ref="N8:N9"/>
    <mergeCell ref="L8:L9"/>
    <mergeCell ref="E8:F9"/>
    <mergeCell ref="I8:J9"/>
    <mergeCell ref="K8:K9"/>
    <mergeCell ref="G8:H9"/>
    <mergeCell ref="F10:F14"/>
    <mergeCell ref="E10:E14"/>
    <mergeCell ref="H17:H19"/>
    <mergeCell ref="G17:G19"/>
    <mergeCell ref="F17:F22"/>
    <mergeCell ref="E17:E22"/>
    <mergeCell ref="H12:H13"/>
    <mergeCell ref="G12:G13"/>
  </mergeCells>
  <pageMargins left="0" right="0" top="0.74803149606299213" bottom="0.74803149606299213" header="0.31496062992125984" footer="0.31496062992125984"/>
  <pageSetup paperSize="8" scale="1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4">
    <tabColor rgb="FFFFFF00"/>
  </sheetPr>
  <dimension ref="A1:P266"/>
  <sheetViews>
    <sheetView topLeftCell="C1" zoomScale="70" zoomScaleNormal="70" workbookViewId="0">
      <pane xSplit="4" ySplit="1" topLeftCell="G221" activePane="bottomRight" state="frozen"/>
      <selection activeCell="C1" sqref="C1"/>
      <selection pane="topRight" activeCell="D1" sqref="D1"/>
      <selection pane="bottomLeft" activeCell="C2" sqref="C2"/>
      <selection pane="bottomRight" activeCell="V221" sqref="V221"/>
    </sheetView>
  </sheetViews>
  <sheetFormatPr defaultRowHeight="12.75" x14ac:dyDescent="0.2"/>
  <cols>
    <col min="1" max="1" width="3.140625" style="16" bestFit="1" customWidth="1"/>
    <col min="2" max="2" width="8.85546875" style="16" bestFit="1" customWidth="1"/>
    <col min="3" max="3" width="7.7109375" style="16" bestFit="1" customWidth="1"/>
    <col min="4" max="5" width="8.85546875" style="16" customWidth="1"/>
    <col min="6" max="6" width="10" style="16" customWidth="1"/>
    <col min="7" max="7" width="57.7109375" style="16" customWidth="1"/>
    <col min="8" max="8" width="10.28515625" style="314" customWidth="1"/>
    <col min="9" max="9" width="9" style="314" customWidth="1"/>
    <col min="10" max="10" width="9.140625" style="314" customWidth="1"/>
    <col min="11" max="11" width="15.42578125" style="151" customWidth="1"/>
    <col min="12" max="12" width="18.5703125" style="151" customWidth="1"/>
    <col min="13" max="13" width="11.5703125" style="151" customWidth="1"/>
    <col min="14" max="14" width="13.42578125" style="151" customWidth="1"/>
    <col min="15" max="15" width="14.42578125" style="151" customWidth="1"/>
    <col min="16" max="16" width="14.85546875" style="151" customWidth="1"/>
    <col min="17" max="16384" width="9.140625" style="16"/>
  </cols>
  <sheetData>
    <row r="1" spans="1:16" ht="51" x14ac:dyDescent="0.2">
      <c r="A1" s="229" t="s">
        <v>0</v>
      </c>
      <c r="B1" s="229" t="s">
        <v>1</v>
      </c>
      <c r="C1" s="229" t="s">
        <v>0</v>
      </c>
      <c r="D1" s="229" t="s">
        <v>1</v>
      </c>
      <c r="E1" s="229" t="s">
        <v>418</v>
      </c>
      <c r="F1" s="229" t="s">
        <v>4</v>
      </c>
      <c r="G1" s="229" t="s">
        <v>401</v>
      </c>
      <c r="H1" s="267" t="s">
        <v>397</v>
      </c>
      <c r="I1" s="229" t="s">
        <v>403</v>
      </c>
      <c r="J1" s="229" t="s">
        <v>482</v>
      </c>
      <c r="K1" s="381" t="s">
        <v>2416</v>
      </c>
      <c r="L1" s="112" t="s">
        <v>2413</v>
      </c>
      <c r="M1" s="113" t="s">
        <v>2419</v>
      </c>
      <c r="N1" s="111" t="s">
        <v>2037</v>
      </c>
      <c r="O1" s="111" t="s">
        <v>1852</v>
      </c>
      <c r="P1" s="111" t="s">
        <v>1853</v>
      </c>
    </row>
    <row r="2" spans="1:16" ht="12.75" customHeight="1" x14ac:dyDescent="0.2">
      <c r="A2" s="1">
        <v>1</v>
      </c>
      <c r="B2" s="231" t="s">
        <v>3</v>
      </c>
      <c r="C2" s="1">
        <v>1</v>
      </c>
      <c r="D2" s="231" t="s">
        <v>3</v>
      </c>
      <c r="E2" s="231" t="s">
        <v>419</v>
      </c>
      <c r="F2" s="231" t="s">
        <v>145</v>
      </c>
      <c r="G2" s="3" t="s">
        <v>146</v>
      </c>
      <c r="H2" s="268" t="s">
        <v>399</v>
      </c>
      <c r="I2" s="2" t="s">
        <v>618</v>
      </c>
      <c r="J2" s="2" t="s">
        <v>530</v>
      </c>
      <c r="K2" s="382">
        <f>'1.1.1 Proj.real.'!Z$144</f>
        <v>0</v>
      </c>
      <c r="L2" s="383"/>
      <c r="M2" s="116">
        <f>'1.1.1 Proj.real.'!AA$144</f>
        <v>0</v>
      </c>
      <c r="N2" s="117"/>
      <c r="O2" s="117"/>
      <c r="P2" s="117"/>
    </row>
    <row r="3" spans="1:16" ht="12.75" customHeight="1" x14ac:dyDescent="0.2">
      <c r="A3" s="1">
        <v>1</v>
      </c>
      <c r="B3" s="231" t="s">
        <v>3</v>
      </c>
      <c r="C3" s="1">
        <v>1</v>
      </c>
      <c r="D3" s="231" t="s">
        <v>3</v>
      </c>
      <c r="E3" s="231" t="s">
        <v>419</v>
      </c>
      <c r="F3" s="231" t="s">
        <v>147</v>
      </c>
      <c r="G3" s="3" t="s">
        <v>148</v>
      </c>
      <c r="H3" s="268"/>
      <c r="I3" s="2"/>
      <c r="J3" s="2"/>
      <c r="K3" s="382">
        <f>'1.1.1 Proj.real.'!AG$144</f>
        <v>0</v>
      </c>
      <c r="L3" s="383"/>
      <c r="M3" s="116">
        <f>'1.1.1 Proj.real.'!AH$144</f>
        <v>0</v>
      </c>
      <c r="N3" s="117"/>
      <c r="O3" s="117"/>
      <c r="P3" s="117"/>
    </row>
    <row r="4" spans="1:16" ht="12.75" customHeight="1" x14ac:dyDescent="0.2">
      <c r="A4" s="1">
        <v>1</v>
      </c>
      <c r="B4" s="231" t="s">
        <v>3</v>
      </c>
      <c r="C4" s="1">
        <v>1</v>
      </c>
      <c r="D4" s="231" t="s">
        <v>3</v>
      </c>
      <c r="E4" s="231" t="s">
        <v>419</v>
      </c>
      <c r="F4" s="231" t="s">
        <v>151</v>
      </c>
      <c r="G4" s="3" t="s">
        <v>152</v>
      </c>
      <c r="H4" s="268" t="s">
        <v>399</v>
      </c>
      <c r="I4" s="2" t="s">
        <v>618</v>
      </c>
      <c r="J4" s="2" t="s">
        <v>483</v>
      </c>
      <c r="K4" s="382">
        <f>'1.1.1 Proj.real.'!AK$144</f>
        <v>0</v>
      </c>
      <c r="L4" s="383"/>
      <c r="M4" s="116">
        <f>'1.1.1 Proj.real.'!AL$144</f>
        <v>0</v>
      </c>
      <c r="N4" s="117"/>
      <c r="O4" s="117"/>
      <c r="P4" s="117"/>
    </row>
    <row r="5" spans="1:16" ht="12.75" customHeight="1" x14ac:dyDescent="0.2">
      <c r="A5" s="1">
        <v>1</v>
      </c>
      <c r="B5" s="231" t="s">
        <v>3</v>
      </c>
      <c r="C5" s="1">
        <v>1</v>
      </c>
      <c r="D5" s="231" t="s">
        <v>3</v>
      </c>
      <c r="E5" s="231" t="s">
        <v>422</v>
      </c>
      <c r="F5" s="231" t="s">
        <v>135</v>
      </c>
      <c r="G5" s="3" t="s">
        <v>136</v>
      </c>
      <c r="H5" s="268" t="s">
        <v>402</v>
      </c>
      <c r="I5" s="2" t="s">
        <v>404</v>
      </c>
      <c r="J5" s="2"/>
      <c r="K5" s="382">
        <f>'1.1.1 Proj.real.'!L$144</f>
        <v>0</v>
      </c>
      <c r="L5" s="383"/>
      <c r="M5" s="116">
        <f>'1.1.1 Proj.real.'!M$144</f>
        <v>0</v>
      </c>
      <c r="N5" s="117"/>
      <c r="O5" s="117"/>
      <c r="P5" s="117">
        <f>'1.1.1 (16.V) Dor.ZoNFP'!L31</f>
        <v>13130.960000000001</v>
      </c>
    </row>
    <row r="6" spans="1:16" ht="12.75" customHeight="1" x14ac:dyDescent="0.2">
      <c r="A6" s="1">
        <v>1</v>
      </c>
      <c r="B6" s="231" t="s">
        <v>3</v>
      </c>
      <c r="C6" s="1">
        <v>1</v>
      </c>
      <c r="D6" s="231" t="s">
        <v>3</v>
      </c>
      <c r="E6" s="231" t="s">
        <v>422</v>
      </c>
      <c r="F6" s="231" t="s">
        <v>139</v>
      </c>
      <c r="G6" s="3" t="s">
        <v>140</v>
      </c>
      <c r="H6" s="399" t="s">
        <v>402</v>
      </c>
      <c r="I6" s="2"/>
      <c r="J6" s="2"/>
      <c r="K6" s="382">
        <f>'1.1.1 Proj.real.'!R$144</f>
        <v>0</v>
      </c>
      <c r="L6" s="383"/>
      <c r="M6" s="116">
        <f>'1.1.1 Proj.real.'!S$144</f>
        <v>0</v>
      </c>
      <c r="N6" s="117"/>
      <c r="O6" s="117"/>
      <c r="P6" s="117">
        <f>'1.1.1 (16.V) Dor.ZoNFP'!N31</f>
        <v>133821.85</v>
      </c>
    </row>
    <row r="7" spans="1:16" ht="12.75" customHeight="1" x14ac:dyDescent="0.2">
      <c r="A7" s="1">
        <v>1</v>
      </c>
      <c r="B7" s="231" t="s">
        <v>3</v>
      </c>
      <c r="C7" s="1">
        <v>1</v>
      </c>
      <c r="D7" s="231" t="s">
        <v>3</v>
      </c>
      <c r="E7" s="231" t="s">
        <v>422</v>
      </c>
      <c r="F7" s="231" t="s">
        <v>141</v>
      </c>
      <c r="G7" s="3" t="s">
        <v>142</v>
      </c>
      <c r="H7" s="268" t="s">
        <v>402</v>
      </c>
      <c r="I7" s="2" t="s">
        <v>404</v>
      </c>
      <c r="J7" s="2" t="s">
        <v>530</v>
      </c>
      <c r="K7" s="382">
        <f>'1.1.1 Proj.real.'!T$144</f>
        <v>45504.859000000011</v>
      </c>
      <c r="L7" s="383">
        <f>'1.1.1 Proj.real.'!U144</f>
        <v>45194.229000000014</v>
      </c>
      <c r="M7" s="116">
        <f>'1.1.1 Proj.real.'!V$144</f>
        <v>0</v>
      </c>
      <c r="N7" s="117"/>
      <c r="O7" s="117">
        <f>'1.1.1 (10.V) Schv.ZoNFP'!L7+'1.1.1 (11.V) Schv.ZoNFP'!L33</f>
        <v>9548.4800000000014</v>
      </c>
      <c r="P7" s="117"/>
    </row>
    <row r="8" spans="1:16" ht="12.75" customHeight="1" x14ac:dyDescent="0.2">
      <c r="A8" s="1">
        <v>1</v>
      </c>
      <c r="B8" s="231" t="s">
        <v>3</v>
      </c>
      <c r="C8" s="1">
        <v>1</v>
      </c>
      <c r="D8" s="231" t="s">
        <v>3</v>
      </c>
      <c r="E8" s="231" t="s">
        <v>422</v>
      </c>
      <c r="F8" s="231" t="s">
        <v>143</v>
      </c>
      <c r="G8" s="3" t="s">
        <v>144</v>
      </c>
      <c r="H8" s="268" t="s">
        <v>402</v>
      </c>
      <c r="I8" s="2" t="s">
        <v>404</v>
      </c>
      <c r="J8" s="2" t="s">
        <v>530</v>
      </c>
      <c r="K8" s="382">
        <f>'1.1.1 Proj.real.'!W$144</f>
        <v>22171.5</v>
      </c>
      <c r="L8" s="383">
        <f>'1.1.1 Proj.real.'!X144</f>
        <v>22171.5</v>
      </c>
      <c r="M8" s="116">
        <f>'1.1.1 Proj.real.'!Y$144</f>
        <v>0</v>
      </c>
      <c r="N8" s="117"/>
      <c r="O8" s="117">
        <f>'1.1.1 (10.V) Schv.ZoNFP'!N7+'1.1.1 (11.V) Schv.ZoNFP'!N33</f>
        <v>15600.5</v>
      </c>
      <c r="P8" s="117">
        <f>'1.1.1 (16.V) Dor.ZoNFP'!P31</f>
        <v>130640.26000000001</v>
      </c>
    </row>
    <row r="9" spans="1:16" ht="12.75" customHeight="1" x14ac:dyDescent="0.2">
      <c r="A9" s="1">
        <v>1</v>
      </c>
      <c r="B9" s="231" t="s">
        <v>3</v>
      </c>
      <c r="C9" s="1">
        <v>1</v>
      </c>
      <c r="D9" s="231" t="s">
        <v>3</v>
      </c>
      <c r="E9" s="231" t="s">
        <v>422</v>
      </c>
      <c r="F9" s="231" t="s">
        <v>145</v>
      </c>
      <c r="G9" s="3" t="s">
        <v>146</v>
      </c>
      <c r="H9" s="268" t="s">
        <v>399</v>
      </c>
      <c r="I9" s="2" t="s">
        <v>618</v>
      </c>
      <c r="J9" s="2" t="s">
        <v>530</v>
      </c>
      <c r="K9" s="382">
        <f>'1.1.1 Proj.real.'!AB$144</f>
        <v>98075</v>
      </c>
      <c r="L9" s="383">
        <f>'1.1.1 Proj.real.'!AC144</f>
        <v>94900</v>
      </c>
      <c r="M9" s="116">
        <f>'1.1.1 Proj.real.'!AD$144</f>
        <v>0</v>
      </c>
      <c r="N9" s="117"/>
      <c r="O9" s="117">
        <f>'1.1.1 (10.V) Schv.ZoNFP'!P7</f>
        <v>2000</v>
      </c>
      <c r="P9" s="117"/>
    </row>
    <row r="10" spans="1:16" ht="12.75" customHeight="1" x14ac:dyDescent="0.2">
      <c r="A10" s="1">
        <v>1</v>
      </c>
      <c r="B10" s="231" t="s">
        <v>3</v>
      </c>
      <c r="C10" s="1">
        <v>1</v>
      </c>
      <c r="D10" s="231" t="s">
        <v>3</v>
      </c>
      <c r="E10" s="231" t="s">
        <v>422</v>
      </c>
      <c r="F10" s="231" t="s">
        <v>149</v>
      </c>
      <c r="G10" s="3" t="s">
        <v>150</v>
      </c>
      <c r="H10" s="399" t="s">
        <v>399</v>
      </c>
      <c r="I10" s="2"/>
      <c r="J10" s="2"/>
      <c r="K10" s="382">
        <f>'1.1.1 Proj.real.'!AI$144</f>
        <v>0</v>
      </c>
      <c r="L10" s="383"/>
      <c r="M10" s="116">
        <f>'1.1.1 Proj.real.'!AJ$144</f>
        <v>0</v>
      </c>
      <c r="N10" s="117"/>
      <c r="O10" s="117"/>
      <c r="P10" s="117"/>
    </row>
    <row r="11" spans="1:16" ht="12.75" customHeight="1" x14ac:dyDescent="0.2">
      <c r="A11" s="1">
        <v>1</v>
      </c>
      <c r="B11" s="231" t="s">
        <v>3</v>
      </c>
      <c r="C11" s="1">
        <v>1</v>
      </c>
      <c r="D11" s="231" t="s">
        <v>3</v>
      </c>
      <c r="E11" s="231" t="s">
        <v>422</v>
      </c>
      <c r="F11" s="231" t="s">
        <v>151</v>
      </c>
      <c r="G11" s="3" t="s">
        <v>152</v>
      </c>
      <c r="H11" s="268" t="s">
        <v>399</v>
      </c>
      <c r="I11" s="2" t="s">
        <v>618</v>
      </c>
      <c r="J11" s="2" t="s">
        <v>483</v>
      </c>
      <c r="K11" s="382">
        <f>'1.1.1 Proj.real.'!AM$144</f>
        <v>220</v>
      </c>
      <c r="L11" s="383">
        <f>'1.1.1 Proj.real.'!AN144</f>
        <v>217</v>
      </c>
      <c r="M11" s="116">
        <f>'1.1.1 Proj.real.'!AO$144</f>
        <v>0</v>
      </c>
      <c r="N11" s="117"/>
      <c r="O11" s="117">
        <f>'1.1.1 (10.V) Schv.ZoNFP'!R7</f>
        <v>4</v>
      </c>
      <c r="P11" s="117"/>
    </row>
    <row r="12" spans="1:16" ht="12.75" customHeight="1" x14ac:dyDescent="0.2">
      <c r="A12" s="1">
        <v>1</v>
      </c>
      <c r="B12" s="231" t="s">
        <v>3</v>
      </c>
      <c r="C12" s="1">
        <v>1</v>
      </c>
      <c r="D12" s="231" t="s">
        <v>3</v>
      </c>
      <c r="E12" s="231" t="s">
        <v>422</v>
      </c>
      <c r="F12" s="231" t="s">
        <v>154</v>
      </c>
      <c r="G12" s="3" t="s">
        <v>27</v>
      </c>
      <c r="H12" s="268" t="s">
        <v>402</v>
      </c>
      <c r="I12" s="2" t="s">
        <v>404</v>
      </c>
      <c r="J12" s="2" t="s">
        <v>483</v>
      </c>
      <c r="K12" s="382">
        <f>'1.1.1 Proj.real.'!AT$144</f>
        <v>49075.859000000011</v>
      </c>
      <c r="L12" s="383">
        <f>'1.1.1 Proj.real.'!AU144</f>
        <v>43894.179000000018</v>
      </c>
      <c r="M12" s="116">
        <f>'1.1.1 Proj.real.'!AV$144</f>
        <v>0</v>
      </c>
      <c r="N12" s="117"/>
      <c r="O12" s="117">
        <f>'1.1.1 (10.V) Schv.ZoNFP'!T7+'1.1.1 (11.V) Schv.ZoNFP'!P33</f>
        <v>9548.4800000000014</v>
      </c>
      <c r="P12" s="117"/>
    </row>
    <row r="13" spans="1:16" ht="12.75" customHeight="1" x14ac:dyDescent="0.2">
      <c r="A13" s="1">
        <v>1</v>
      </c>
      <c r="B13" s="231" t="s">
        <v>3</v>
      </c>
      <c r="C13" s="1">
        <v>1</v>
      </c>
      <c r="D13" s="231" t="s">
        <v>3</v>
      </c>
      <c r="E13" s="231" t="s">
        <v>422</v>
      </c>
      <c r="F13" s="231" t="s">
        <v>155</v>
      </c>
      <c r="G13" s="3" t="s">
        <v>29</v>
      </c>
      <c r="H13" s="268" t="s">
        <v>402</v>
      </c>
      <c r="I13" s="2" t="s">
        <v>404</v>
      </c>
      <c r="J13" s="2" t="s">
        <v>483</v>
      </c>
      <c r="K13" s="382">
        <f>'1.1.1 Proj.real.'!AW$144</f>
        <v>54384</v>
      </c>
      <c r="L13" s="383">
        <f>'1.1.1 Proj.real.'!AX144</f>
        <v>27532</v>
      </c>
      <c r="M13" s="116">
        <f>'1.1.1 Proj.real.'!AY$144</f>
        <v>0</v>
      </c>
      <c r="N13" s="117"/>
      <c r="O13" s="117">
        <f>'1.1.1 (10.V) Schv.ZoNFP'!V7+'1.1.1 (11.V) Schv.ZoNFP'!R33</f>
        <v>16110.5</v>
      </c>
      <c r="P13" s="117">
        <f>'1.1.1 (16.V) Dor.ZoNFP'!R31</f>
        <v>512534.11</v>
      </c>
    </row>
    <row r="14" spans="1:16" ht="12.75" customHeight="1" x14ac:dyDescent="0.2">
      <c r="A14" s="1">
        <v>1</v>
      </c>
      <c r="B14" s="231" t="s">
        <v>3</v>
      </c>
      <c r="C14" s="1">
        <v>1</v>
      </c>
      <c r="D14" s="231" t="s">
        <v>3</v>
      </c>
      <c r="E14" s="231" t="s">
        <v>422</v>
      </c>
      <c r="F14" s="231" t="s">
        <v>156</v>
      </c>
      <c r="G14" s="3" t="s">
        <v>25</v>
      </c>
      <c r="H14" s="268" t="s">
        <v>402</v>
      </c>
      <c r="I14" s="2" t="s">
        <v>404</v>
      </c>
      <c r="J14" s="2" t="s">
        <v>483</v>
      </c>
      <c r="K14" s="382">
        <f>'1.1.1 Proj.real.'!BC$144</f>
        <v>16085</v>
      </c>
      <c r="L14" s="383">
        <f>'1.1.1 Proj.real.'!BD144</f>
        <v>0</v>
      </c>
      <c r="M14" s="116">
        <f>'1.1.1 Proj.real.'!BE$144</f>
        <v>0</v>
      </c>
      <c r="N14" s="117"/>
      <c r="O14" s="117"/>
      <c r="P14" s="117">
        <f>'1.1.1 (16.V) Dor.ZoNFP'!T31</f>
        <v>134925</v>
      </c>
    </row>
    <row r="15" spans="1:16" ht="12.75" customHeight="1" x14ac:dyDescent="0.2">
      <c r="A15" s="1">
        <v>1</v>
      </c>
      <c r="B15" s="231" t="s">
        <v>3</v>
      </c>
      <c r="C15" s="1">
        <v>1</v>
      </c>
      <c r="D15" s="231" t="s">
        <v>3</v>
      </c>
      <c r="E15" s="231" t="s">
        <v>422</v>
      </c>
      <c r="F15" s="231" t="s">
        <v>157</v>
      </c>
      <c r="G15" s="3" t="s">
        <v>158</v>
      </c>
      <c r="H15" s="399" t="s">
        <v>402</v>
      </c>
      <c r="I15" s="2"/>
      <c r="J15" s="2"/>
      <c r="K15" s="382">
        <f>'1.1.1 Proj.real.'!BI$144</f>
        <v>0</v>
      </c>
      <c r="L15" s="383"/>
      <c r="M15" s="116">
        <f>'1.1.1 Proj.real.'!BJ$144</f>
        <v>0</v>
      </c>
      <c r="N15" s="117"/>
      <c r="O15" s="117"/>
      <c r="P15" s="117"/>
    </row>
    <row r="16" spans="1:16" ht="12.75" customHeight="1" x14ac:dyDescent="0.2">
      <c r="A16" s="1">
        <v>1</v>
      </c>
      <c r="B16" s="231" t="s">
        <v>3</v>
      </c>
      <c r="C16" s="1">
        <v>1</v>
      </c>
      <c r="D16" s="231" t="s">
        <v>3</v>
      </c>
      <c r="E16" s="231" t="s">
        <v>420</v>
      </c>
      <c r="F16" s="231" t="s">
        <v>135</v>
      </c>
      <c r="G16" s="3" t="s">
        <v>136</v>
      </c>
      <c r="H16" s="268" t="s">
        <v>402</v>
      </c>
      <c r="I16" s="2" t="s">
        <v>404</v>
      </c>
      <c r="J16" s="2"/>
      <c r="K16" s="382">
        <f>'1.1.1 Proj.real.'!N$144</f>
        <v>0</v>
      </c>
      <c r="L16" s="383"/>
      <c r="M16" s="116">
        <f>'1.1.1 Proj.real.'!O$144</f>
        <v>0</v>
      </c>
      <c r="N16" s="117"/>
      <c r="O16" s="117"/>
      <c r="P16" s="117">
        <f>'1.1.1 (15.V) Dor.ZoNFP'!K8</f>
        <v>4700</v>
      </c>
    </row>
    <row r="17" spans="1:16" ht="12.75" customHeight="1" x14ac:dyDescent="0.2">
      <c r="A17" s="1">
        <v>1</v>
      </c>
      <c r="B17" s="231" t="s">
        <v>3</v>
      </c>
      <c r="C17" s="1">
        <v>1</v>
      </c>
      <c r="D17" s="231" t="s">
        <v>3</v>
      </c>
      <c r="E17" s="231" t="s">
        <v>420</v>
      </c>
      <c r="F17" s="231" t="s">
        <v>137</v>
      </c>
      <c r="G17" s="3" t="s">
        <v>138</v>
      </c>
      <c r="H17" s="399" t="s">
        <v>402</v>
      </c>
      <c r="I17" s="2"/>
      <c r="J17" s="2"/>
      <c r="K17" s="382">
        <f>'1.1.1 Proj.real.'!P$144</f>
        <v>0</v>
      </c>
      <c r="L17" s="383"/>
      <c r="M17" s="116">
        <f>'1.1.1 Proj.real.'!Q$144</f>
        <v>0</v>
      </c>
      <c r="N17" s="117"/>
      <c r="O17" s="117"/>
      <c r="P17" s="117">
        <f>'1.1.1 (15.V) Dor.ZoNFP'!M8</f>
        <v>2300</v>
      </c>
    </row>
    <row r="18" spans="1:16" ht="12.75" customHeight="1" x14ac:dyDescent="0.2">
      <c r="A18" s="1">
        <v>1</v>
      </c>
      <c r="B18" s="231" t="s">
        <v>3</v>
      </c>
      <c r="C18" s="1">
        <v>1</v>
      </c>
      <c r="D18" s="231" t="s">
        <v>3</v>
      </c>
      <c r="E18" s="231" t="s">
        <v>420</v>
      </c>
      <c r="F18" s="231" t="s">
        <v>145</v>
      </c>
      <c r="G18" s="3" t="s">
        <v>146</v>
      </c>
      <c r="H18" s="268" t="s">
        <v>399</v>
      </c>
      <c r="I18" s="2" t="s">
        <v>618</v>
      </c>
      <c r="J18" s="2" t="s">
        <v>530</v>
      </c>
      <c r="K18" s="382">
        <f>'1.1.1 Proj.real.'!AE$144</f>
        <v>0</v>
      </c>
      <c r="L18" s="383"/>
      <c r="M18" s="116">
        <f>'1.1.1 Proj.real.'!AF$144</f>
        <v>0</v>
      </c>
      <c r="N18" s="117"/>
      <c r="O18" s="117"/>
      <c r="P18" s="117"/>
    </row>
    <row r="19" spans="1:16" ht="12.75" customHeight="1" x14ac:dyDescent="0.2">
      <c r="A19" s="1">
        <v>1</v>
      </c>
      <c r="B19" s="231" t="s">
        <v>3</v>
      </c>
      <c r="C19" s="1">
        <v>1</v>
      </c>
      <c r="D19" s="231" t="s">
        <v>3</v>
      </c>
      <c r="E19" s="231" t="s">
        <v>420</v>
      </c>
      <c r="F19" s="231" t="s">
        <v>151</v>
      </c>
      <c r="G19" s="3" t="s">
        <v>152</v>
      </c>
      <c r="H19" s="268" t="s">
        <v>399</v>
      </c>
      <c r="I19" s="2" t="s">
        <v>618</v>
      </c>
      <c r="J19" s="2" t="s">
        <v>483</v>
      </c>
      <c r="K19" s="382">
        <f>'1.1.1 Proj.real.'!AP$144</f>
        <v>0</v>
      </c>
      <c r="L19" s="383"/>
      <c r="M19" s="116">
        <f>'1.1.1 Proj.real.'!AQ$144</f>
        <v>0</v>
      </c>
      <c r="N19" s="117"/>
      <c r="O19" s="117"/>
      <c r="P19" s="117"/>
    </row>
    <row r="20" spans="1:16" ht="12.75" customHeight="1" x14ac:dyDescent="0.2">
      <c r="A20" s="1">
        <v>1</v>
      </c>
      <c r="B20" s="231" t="s">
        <v>3</v>
      </c>
      <c r="C20" s="1">
        <v>1</v>
      </c>
      <c r="D20" s="231" t="s">
        <v>3</v>
      </c>
      <c r="E20" s="231" t="s">
        <v>420</v>
      </c>
      <c r="F20" s="231" t="s">
        <v>155</v>
      </c>
      <c r="G20" s="3" t="s">
        <v>29</v>
      </c>
      <c r="H20" s="268" t="s">
        <v>402</v>
      </c>
      <c r="I20" s="2" t="s">
        <v>404</v>
      </c>
      <c r="J20" s="2" t="s">
        <v>483</v>
      </c>
      <c r="K20" s="382">
        <f>'1.1.1 Proj.real.'!AZ$144</f>
        <v>26852</v>
      </c>
      <c r="L20" s="383">
        <f>'1.1.1 Proj.real.'!BA144</f>
        <v>0</v>
      </c>
      <c r="M20" s="116">
        <f>'1.1.1 Proj.real.'!BB$144</f>
        <v>0</v>
      </c>
      <c r="N20" s="117"/>
      <c r="O20" s="117"/>
      <c r="P20" s="117">
        <f>'1.1.1 (15.V) Dor.ZoNFP'!O8</f>
        <v>7000</v>
      </c>
    </row>
    <row r="21" spans="1:16" ht="12.75" customHeight="1" x14ac:dyDescent="0.2">
      <c r="A21" s="1">
        <v>1</v>
      </c>
      <c r="B21" s="231" t="s">
        <v>3</v>
      </c>
      <c r="C21" s="1">
        <v>1</v>
      </c>
      <c r="D21" s="231" t="s">
        <v>3</v>
      </c>
      <c r="E21" s="231" t="s">
        <v>420</v>
      </c>
      <c r="F21" s="231" t="s">
        <v>156</v>
      </c>
      <c r="G21" s="3" t="s">
        <v>25</v>
      </c>
      <c r="H21" s="268" t="s">
        <v>402</v>
      </c>
      <c r="I21" s="2" t="s">
        <v>404</v>
      </c>
      <c r="J21" s="2" t="s">
        <v>483</v>
      </c>
      <c r="K21" s="382">
        <f>'1.1.1 Proj.real.'!BF$144</f>
        <v>16085</v>
      </c>
      <c r="L21" s="383">
        <f>'1.1.1 Proj.real.'!BG144</f>
        <v>0</v>
      </c>
      <c r="M21" s="116">
        <f>'1.1.1 Proj.real.'!BH$144</f>
        <v>0</v>
      </c>
      <c r="N21" s="117"/>
      <c r="O21" s="117"/>
      <c r="P21" s="117">
        <f>'1.1.1 (15.V) Dor.ZoNFP'!Q8</f>
        <v>2300</v>
      </c>
    </row>
    <row r="22" spans="1:16" ht="15.75" customHeight="1" thickBot="1" x14ac:dyDescent="0.25">
      <c r="A22" s="1">
        <v>1</v>
      </c>
      <c r="B22" s="231" t="s">
        <v>3</v>
      </c>
      <c r="C22" s="411">
        <v>1</v>
      </c>
      <c r="D22" s="412" t="s">
        <v>3</v>
      </c>
      <c r="E22" s="412" t="s">
        <v>439</v>
      </c>
      <c r="F22" s="412" t="s">
        <v>153</v>
      </c>
      <c r="G22" s="413" t="s">
        <v>31</v>
      </c>
      <c r="H22" s="414" t="s">
        <v>399</v>
      </c>
      <c r="I22" s="415"/>
      <c r="J22" s="415"/>
      <c r="K22" s="416">
        <f>'1.1.1 Proj.real.'!AR$144</f>
        <v>0</v>
      </c>
      <c r="L22" s="417"/>
      <c r="M22" s="418">
        <f>'1.1.1 Proj.real.'!AS$144</f>
        <v>0</v>
      </c>
      <c r="N22" s="419"/>
      <c r="O22" s="419"/>
      <c r="P22" s="419">
        <f>'1.1.1 (12.V) Dor.ZoNFP'!J7</f>
        <v>1</v>
      </c>
    </row>
    <row r="23" spans="1:16" ht="12.75" customHeight="1" thickTop="1" x14ac:dyDescent="0.2">
      <c r="A23" s="1">
        <v>1</v>
      </c>
      <c r="B23" s="231" t="s">
        <v>2</v>
      </c>
      <c r="C23" s="403" t="s">
        <v>417</v>
      </c>
      <c r="D23" s="403" t="s">
        <v>2</v>
      </c>
      <c r="E23" s="403" t="s">
        <v>440</v>
      </c>
      <c r="F23" s="403" t="s">
        <v>159</v>
      </c>
      <c r="G23" s="404" t="s">
        <v>160</v>
      </c>
      <c r="H23" s="405" t="s">
        <v>529</v>
      </c>
      <c r="I23" s="406" t="s">
        <v>528</v>
      </c>
      <c r="J23" s="406" t="s">
        <v>483</v>
      </c>
      <c r="K23" s="407">
        <f>'1.2.1+1.2.2 Proj.real.'!L$47</f>
        <v>918.26030000000003</v>
      </c>
      <c r="L23" s="408">
        <f>'1.2.1+1.2.2 Proj.real.'!N47</f>
        <v>377.7561</v>
      </c>
      <c r="M23" s="409">
        <f>'1.2.1+1.2.2 Proj.real.'!M$47</f>
        <v>75.076400000000007</v>
      </c>
      <c r="N23" s="410">
        <f>'1.2.1+1.2.2 (1.V) Zasob'!K23</f>
        <v>286.27389999999997</v>
      </c>
      <c r="O23" s="410"/>
      <c r="P23" s="410"/>
    </row>
    <row r="24" spans="1:16" ht="12.75" customHeight="1" x14ac:dyDescent="0.2">
      <c r="A24" s="1">
        <v>1</v>
      </c>
      <c r="B24" s="231" t="s">
        <v>2</v>
      </c>
      <c r="C24" s="231" t="s">
        <v>417</v>
      </c>
      <c r="D24" s="231" t="s">
        <v>2</v>
      </c>
      <c r="E24" s="231" t="s">
        <v>440</v>
      </c>
      <c r="F24" s="231" t="s">
        <v>161</v>
      </c>
      <c r="G24" s="3" t="s">
        <v>162</v>
      </c>
      <c r="H24" s="268" t="s">
        <v>399</v>
      </c>
      <c r="I24" s="2" t="s">
        <v>404</v>
      </c>
      <c r="J24" s="2" t="s">
        <v>483</v>
      </c>
      <c r="K24" s="382">
        <f>'1.2.1+1.2.2 Proj.real.'!Q$47</f>
        <v>42</v>
      </c>
      <c r="L24" s="383">
        <f>'1.2.1+1.2.2 Proj.real.'!S47</f>
        <v>18</v>
      </c>
      <c r="M24" s="116">
        <f>'1.2.1+1.2.2 Proj.real.'!R$47</f>
        <v>2.76</v>
      </c>
      <c r="N24" s="117">
        <f>'1.2.1+1.2.2 (1.V) Zasob'!O23</f>
        <v>4</v>
      </c>
      <c r="O24" s="117"/>
      <c r="P24" s="117"/>
    </row>
    <row r="25" spans="1:16" ht="12.75" customHeight="1" x14ac:dyDescent="0.2">
      <c r="A25" s="1">
        <v>1</v>
      </c>
      <c r="B25" s="231" t="s">
        <v>2</v>
      </c>
      <c r="C25" s="231" t="s">
        <v>417</v>
      </c>
      <c r="D25" s="231" t="s">
        <v>2</v>
      </c>
      <c r="E25" s="231" t="s">
        <v>440</v>
      </c>
      <c r="F25" s="231" t="s">
        <v>163</v>
      </c>
      <c r="G25" s="3" t="s">
        <v>33</v>
      </c>
      <c r="H25" s="268" t="s">
        <v>406</v>
      </c>
      <c r="I25" s="2" t="s">
        <v>528</v>
      </c>
      <c r="J25" s="2" t="s">
        <v>530</v>
      </c>
      <c r="K25" s="382">
        <f>'1.2.1+1.2.2 Proj.real.'!V$47</f>
        <v>273863</v>
      </c>
      <c r="L25" s="383">
        <f>'1.2.1+1.2.2 Proj.real.'!X47</f>
        <v>172746</v>
      </c>
      <c r="M25" s="116">
        <f>'1.2.1+1.2.2 Proj.real.'!W$47</f>
        <v>3500</v>
      </c>
      <c r="N25" s="117">
        <f>'1.2.1+1.2.2 (1.V) Zasob'!S23</f>
        <v>42272</v>
      </c>
      <c r="O25" s="117"/>
      <c r="P25" s="117"/>
    </row>
    <row r="26" spans="1:16" ht="12.75" customHeight="1" x14ac:dyDescent="0.2">
      <c r="A26" s="1">
        <v>1</v>
      </c>
      <c r="B26" s="231" t="s">
        <v>2</v>
      </c>
      <c r="C26" s="231" t="s">
        <v>417</v>
      </c>
      <c r="D26" s="231" t="s">
        <v>2</v>
      </c>
      <c r="E26" s="231" t="s">
        <v>421</v>
      </c>
      <c r="F26" s="231" t="s">
        <v>159</v>
      </c>
      <c r="G26" s="3" t="s">
        <v>160</v>
      </c>
      <c r="H26" s="268" t="s">
        <v>529</v>
      </c>
      <c r="I26" s="2" t="s">
        <v>528</v>
      </c>
      <c r="J26" s="2" t="s">
        <v>483</v>
      </c>
      <c r="K26" s="382">
        <f>'1.2.1+1.2.2 Proj.real.'!O$47</f>
        <v>0</v>
      </c>
      <c r="L26" s="383"/>
      <c r="M26" s="116">
        <f>'1.2.1+1.2.2 Proj.real.'!P$47</f>
        <v>0</v>
      </c>
      <c r="N26" s="117"/>
      <c r="O26" s="117"/>
      <c r="P26" s="117"/>
    </row>
    <row r="27" spans="1:16" ht="12.75" customHeight="1" x14ac:dyDescent="0.2">
      <c r="A27" s="1">
        <v>1</v>
      </c>
      <c r="B27" s="231" t="s">
        <v>2</v>
      </c>
      <c r="C27" s="231" t="s">
        <v>417</v>
      </c>
      <c r="D27" s="231" t="s">
        <v>2</v>
      </c>
      <c r="E27" s="231" t="s">
        <v>421</v>
      </c>
      <c r="F27" s="231" t="s">
        <v>161</v>
      </c>
      <c r="G27" s="3" t="s">
        <v>162</v>
      </c>
      <c r="H27" s="268" t="s">
        <v>399</v>
      </c>
      <c r="I27" s="2" t="s">
        <v>404</v>
      </c>
      <c r="J27" s="2" t="s">
        <v>483</v>
      </c>
      <c r="K27" s="382">
        <f>'1.2.1+1.2.2 Proj.real.'!T$47</f>
        <v>0</v>
      </c>
      <c r="L27" s="383"/>
      <c r="M27" s="116">
        <f>'1.2.1+1.2.2 Proj.real.'!U$47</f>
        <v>0</v>
      </c>
      <c r="N27" s="117"/>
      <c r="O27" s="117"/>
      <c r="P27" s="117"/>
    </row>
    <row r="28" spans="1:16" ht="12.75" customHeight="1" x14ac:dyDescent="0.2">
      <c r="A28" s="1">
        <v>1</v>
      </c>
      <c r="B28" s="231" t="s">
        <v>2</v>
      </c>
      <c r="C28" s="231" t="s">
        <v>417</v>
      </c>
      <c r="D28" s="231" t="s">
        <v>2</v>
      </c>
      <c r="E28" s="231" t="s">
        <v>421</v>
      </c>
      <c r="F28" s="231" t="s">
        <v>163</v>
      </c>
      <c r="G28" s="3" t="s">
        <v>33</v>
      </c>
      <c r="H28" s="268" t="s">
        <v>406</v>
      </c>
      <c r="I28" s="2" t="s">
        <v>528</v>
      </c>
      <c r="J28" s="2" t="s">
        <v>530</v>
      </c>
      <c r="K28" s="382">
        <f>'1.2.1+1.2.2 Proj.real.'!Y$47</f>
        <v>0</v>
      </c>
      <c r="L28" s="383"/>
      <c r="M28" s="116">
        <f>'1.2.1+1.2.2 Proj.real.'!Z$47</f>
        <v>0</v>
      </c>
      <c r="N28" s="117"/>
      <c r="O28" s="117"/>
      <c r="P28" s="117"/>
    </row>
    <row r="29" spans="1:16" ht="12.75" customHeight="1" x14ac:dyDescent="0.2">
      <c r="A29" s="1">
        <v>1</v>
      </c>
      <c r="B29" s="231" t="s">
        <v>5</v>
      </c>
      <c r="C29" s="231" t="s">
        <v>417</v>
      </c>
      <c r="D29" s="231" t="s">
        <v>5</v>
      </c>
      <c r="E29" s="231" t="s">
        <v>441</v>
      </c>
      <c r="F29" s="231" t="s">
        <v>164</v>
      </c>
      <c r="G29" s="3" t="s">
        <v>165</v>
      </c>
      <c r="H29" s="268" t="s">
        <v>529</v>
      </c>
      <c r="I29" s="2" t="s">
        <v>528</v>
      </c>
      <c r="J29" s="2" t="s">
        <v>483</v>
      </c>
      <c r="K29" s="382">
        <f>'1.2.1+1.2.2 Proj.real.'!AB$47</f>
        <v>28.127800000000001</v>
      </c>
      <c r="L29" s="383">
        <f>'1.2.1+1.2.2 Proj.real.'!AD47</f>
        <v>5.7190000000000003</v>
      </c>
      <c r="M29" s="116">
        <f>'1.2.1+1.2.2 Proj.real.'!AC$47</f>
        <v>0.90229999999999999</v>
      </c>
      <c r="N29" s="117">
        <f>'1.2.1+1.2.2 (1.V) Zasob'!M23</f>
        <v>6.1680000000000001</v>
      </c>
      <c r="O29" s="117"/>
      <c r="P29" s="117"/>
    </row>
    <row r="30" spans="1:16" ht="12.75" customHeight="1" x14ac:dyDescent="0.2">
      <c r="A30" s="1">
        <v>1</v>
      </c>
      <c r="B30" s="231" t="s">
        <v>5</v>
      </c>
      <c r="C30" s="231" t="s">
        <v>417</v>
      </c>
      <c r="D30" s="231" t="s">
        <v>5</v>
      </c>
      <c r="E30" s="231" t="s">
        <v>441</v>
      </c>
      <c r="F30" s="231" t="s">
        <v>166</v>
      </c>
      <c r="G30" s="3" t="s">
        <v>167</v>
      </c>
      <c r="H30" s="268" t="s">
        <v>399</v>
      </c>
      <c r="I30" s="2" t="s">
        <v>404</v>
      </c>
      <c r="J30" s="2"/>
      <c r="K30" s="382">
        <f>'1.2.1+1.2.2 Proj.real.'!AE$47</f>
        <v>0</v>
      </c>
      <c r="L30" s="383"/>
      <c r="M30" s="116">
        <f>'1.2.1+1.2.2 Proj.real.'!AF$47</f>
        <v>0</v>
      </c>
      <c r="N30" s="117"/>
      <c r="O30" s="117"/>
      <c r="P30" s="117"/>
    </row>
    <row r="31" spans="1:16" ht="12.75" customHeight="1" x14ac:dyDescent="0.2">
      <c r="A31" s="1">
        <v>1</v>
      </c>
      <c r="B31" s="231" t="s">
        <v>5</v>
      </c>
      <c r="C31" s="231" t="s">
        <v>417</v>
      </c>
      <c r="D31" s="231" t="s">
        <v>5</v>
      </c>
      <c r="E31" s="231" t="s">
        <v>441</v>
      </c>
      <c r="F31" s="231" t="s">
        <v>168</v>
      </c>
      <c r="G31" s="3" t="s">
        <v>169</v>
      </c>
      <c r="H31" s="268" t="s">
        <v>405</v>
      </c>
      <c r="I31" s="2" t="s">
        <v>528</v>
      </c>
      <c r="J31" s="2" t="s">
        <v>530</v>
      </c>
      <c r="K31" s="382">
        <f>'1.2.1+1.2.2 Proj.real.'!AG$47</f>
        <v>3129</v>
      </c>
      <c r="L31" s="383">
        <f>'1.2.1+1.2.2 Proj.real.'!AI47</f>
        <v>729</v>
      </c>
      <c r="M31" s="116">
        <f>'1.2.1+1.2.2 Proj.real.'!AH$47</f>
        <v>0</v>
      </c>
      <c r="N31" s="117">
        <f>'1.2.1+1.2.2 (1.V) Zasob'!Q23</f>
        <v>1610</v>
      </c>
      <c r="O31" s="117"/>
      <c r="P31" s="117"/>
    </row>
    <row r="32" spans="1:16" ht="12.75" customHeight="1" x14ac:dyDescent="0.2">
      <c r="A32" s="1">
        <v>1</v>
      </c>
      <c r="B32" s="231" t="s">
        <v>6</v>
      </c>
      <c r="C32" s="231" t="s">
        <v>417</v>
      </c>
      <c r="D32" s="231" t="s">
        <v>6</v>
      </c>
      <c r="E32" s="231" t="s">
        <v>433</v>
      </c>
      <c r="F32" s="231" t="s">
        <v>172</v>
      </c>
      <c r="G32" s="3" t="s">
        <v>173</v>
      </c>
      <c r="H32" s="268" t="s">
        <v>399</v>
      </c>
      <c r="I32" s="2" t="s">
        <v>404</v>
      </c>
      <c r="J32" s="2" t="s">
        <v>530</v>
      </c>
      <c r="K32" s="382">
        <f>'1.2.3 Proj.real'!N$9</f>
        <v>0</v>
      </c>
      <c r="L32" s="383"/>
      <c r="M32" s="116">
        <f>'1.2.3 Proj.real'!O$9</f>
        <v>0</v>
      </c>
      <c r="N32" s="117"/>
      <c r="O32" s="117"/>
      <c r="P32" s="117"/>
    </row>
    <row r="33" spans="1:16" ht="12.75" customHeight="1" x14ac:dyDescent="0.2">
      <c r="A33" s="1">
        <v>1</v>
      </c>
      <c r="B33" s="231" t="s">
        <v>6</v>
      </c>
      <c r="C33" s="231" t="s">
        <v>417</v>
      </c>
      <c r="D33" s="231" t="s">
        <v>6</v>
      </c>
      <c r="E33" s="231" t="s">
        <v>433</v>
      </c>
      <c r="F33" s="231" t="s">
        <v>174</v>
      </c>
      <c r="G33" s="3" t="s">
        <v>175</v>
      </c>
      <c r="H33" s="268" t="s">
        <v>399</v>
      </c>
      <c r="I33" s="2" t="s">
        <v>404</v>
      </c>
      <c r="J33" s="2" t="s">
        <v>530</v>
      </c>
      <c r="K33" s="382">
        <f>'1.2.3 Proj.real'!P$9</f>
        <v>94954</v>
      </c>
      <c r="L33" s="383">
        <f>'1.2.3 Proj.real'!R9</f>
        <v>94954</v>
      </c>
      <c r="M33" s="116">
        <f>'1.2.3 Proj.real'!Q$9</f>
        <v>94954</v>
      </c>
      <c r="N33" s="117"/>
      <c r="O33" s="117"/>
      <c r="P33" s="117"/>
    </row>
    <row r="34" spans="1:16" ht="12.75" customHeight="1" x14ac:dyDescent="0.2">
      <c r="A34" s="1">
        <v>1</v>
      </c>
      <c r="B34" s="231" t="s">
        <v>6</v>
      </c>
      <c r="C34" s="231" t="s">
        <v>417</v>
      </c>
      <c r="D34" s="231" t="s">
        <v>6</v>
      </c>
      <c r="E34" s="231" t="s">
        <v>433</v>
      </c>
      <c r="F34" s="231" t="s">
        <v>176</v>
      </c>
      <c r="G34" s="3" t="s">
        <v>177</v>
      </c>
      <c r="H34" s="268" t="s">
        <v>399</v>
      </c>
      <c r="I34" s="2" t="s">
        <v>404</v>
      </c>
      <c r="J34" s="2" t="s">
        <v>483</v>
      </c>
      <c r="K34" s="382">
        <f>'1.2.3 Proj.real'!S$9</f>
        <v>112190</v>
      </c>
      <c r="L34" s="383">
        <f>'1.2.3 Proj.real'!U9</f>
        <v>0</v>
      </c>
      <c r="M34" s="116">
        <f>'1.2.3 Proj.real'!T$9</f>
        <v>5265</v>
      </c>
      <c r="N34" s="117"/>
      <c r="O34" s="117"/>
      <c r="P34" s="117"/>
    </row>
    <row r="35" spans="1:16" ht="12.75" customHeight="1" x14ac:dyDescent="0.2">
      <c r="A35" s="1">
        <v>1</v>
      </c>
      <c r="B35" s="231" t="s">
        <v>6</v>
      </c>
      <c r="C35" s="231" t="s">
        <v>417</v>
      </c>
      <c r="D35" s="231" t="s">
        <v>6</v>
      </c>
      <c r="E35" s="231" t="s">
        <v>433</v>
      </c>
      <c r="F35" s="231" t="s">
        <v>178</v>
      </c>
      <c r="G35" s="3" t="s">
        <v>179</v>
      </c>
      <c r="H35" s="268" t="s">
        <v>399</v>
      </c>
      <c r="I35" s="2" t="s">
        <v>404</v>
      </c>
      <c r="J35" s="2" t="s">
        <v>483</v>
      </c>
      <c r="K35" s="382">
        <f>'1.2.3 Proj.real'!V$9</f>
        <v>775356</v>
      </c>
      <c r="L35" s="383">
        <f>'1.2.3 Proj.real'!X9</f>
        <v>4763</v>
      </c>
      <c r="M35" s="116">
        <f>'1.2.3 Proj.real'!W$9</f>
        <v>68829</v>
      </c>
      <c r="N35" s="117"/>
      <c r="O35" s="117"/>
      <c r="P35" s="117"/>
    </row>
    <row r="36" spans="1:16" ht="12.75" customHeight="1" x14ac:dyDescent="0.2">
      <c r="A36" s="1">
        <v>1</v>
      </c>
      <c r="B36" s="231" t="s">
        <v>6</v>
      </c>
      <c r="C36" s="231" t="s">
        <v>417</v>
      </c>
      <c r="D36" s="231" t="s">
        <v>6</v>
      </c>
      <c r="E36" s="231" t="s">
        <v>433</v>
      </c>
      <c r="F36" s="231" t="s">
        <v>182</v>
      </c>
      <c r="G36" s="3" t="s">
        <v>183</v>
      </c>
      <c r="H36" s="268" t="s">
        <v>399</v>
      </c>
      <c r="I36" s="2" t="s">
        <v>404</v>
      </c>
      <c r="J36" s="2" t="s">
        <v>530</v>
      </c>
      <c r="K36" s="382">
        <f>'1.2.3 Proj.real'!AB$9</f>
        <v>122</v>
      </c>
      <c r="L36" s="383">
        <f>'1.2.3 Proj.real'!AD9</f>
        <v>0</v>
      </c>
      <c r="M36" s="116">
        <f>'1.2.3 Proj.real'!AC$9</f>
        <v>122</v>
      </c>
      <c r="N36" s="117"/>
      <c r="O36" s="117"/>
      <c r="P36" s="117"/>
    </row>
    <row r="37" spans="1:16" ht="12.75" customHeight="1" x14ac:dyDescent="0.2">
      <c r="A37" s="1">
        <v>1</v>
      </c>
      <c r="B37" s="231" t="s">
        <v>6</v>
      </c>
      <c r="C37" s="231" t="s">
        <v>417</v>
      </c>
      <c r="D37" s="231" t="s">
        <v>6</v>
      </c>
      <c r="E37" s="231" t="s">
        <v>433</v>
      </c>
      <c r="F37" s="231" t="s">
        <v>184</v>
      </c>
      <c r="G37" s="3" t="s">
        <v>185</v>
      </c>
      <c r="H37" s="268" t="s">
        <v>399</v>
      </c>
      <c r="I37" s="2" t="s">
        <v>404</v>
      </c>
      <c r="J37" s="2" t="s">
        <v>530</v>
      </c>
      <c r="K37" s="382">
        <f>'1.2.3 Proj.real'!AE$9</f>
        <v>1486</v>
      </c>
      <c r="L37" s="383">
        <f>'1.2.3 Proj.real'!AG9</f>
        <v>0</v>
      </c>
      <c r="M37" s="116">
        <f>'1.2.3 Proj.real'!AF$9</f>
        <v>581</v>
      </c>
      <c r="N37" s="117"/>
      <c r="O37" s="117"/>
      <c r="P37" s="117"/>
    </row>
    <row r="38" spans="1:16" ht="12.75" customHeight="1" x14ac:dyDescent="0.2">
      <c r="A38" s="1">
        <v>1</v>
      </c>
      <c r="B38" s="231" t="s">
        <v>6</v>
      </c>
      <c r="C38" s="231" t="s">
        <v>417</v>
      </c>
      <c r="D38" s="231" t="s">
        <v>6</v>
      </c>
      <c r="E38" s="231" t="s">
        <v>433</v>
      </c>
      <c r="F38" s="231" t="s">
        <v>187</v>
      </c>
      <c r="G38" s="3" t="s">
        <v>188</v>
      </c>
      <c r="H38" s="268" t="s">
        <v>399</v>
      </c>
      <c r="I38" s="2"/>
      <c r="J38" s="2"/>
      <c r="K38" s="382">
        <f>'1.2.3 Proj.real'!AJ$9</f>
        <v>0</v>
      </c>
      <c r="L38" s="383"/>
      <c r="M38" s="116">
        <f>'1.2.3 Proj.real'!AK$9</f>
        <v>0</v>
      </c>
      <c r="N38" s="117"/>
      <c r="O38" s="117"/>
      <c r="P38" s="117"/>
    </row>
    <row r="39" spans="1:16" ht="12.75" customHeight="1" x14ac:dyDescent="0.2">
      <c r="A39" s="1">
        <v>1</v>
      </c>
      <c r="B39" s="231" t="s">
        <v>6</v>
      </c>
      <c r="C39" s="231" t="s">
        <v>417</v>
      </c>
      <c r="D39" s="231" t="s">
        <v>6</v>
      </c>
      <c r="E39" s="231" t="s">
        <v>433</v>
      </c>
      <c r="F39" s="231" t="s">
        <v>189</v>
      </c>
      <c r="G39" s="3" t="s">
        <v>190</v>
      </c>
      <c r="H39" s="268" t="s">
        <v>399</v>
      </c>
      <c r="I39" s="2" t="s">
        <v>404</v>
      </c>
      <c r="J39" s="2" t="s">
        <v>483</v>
      </c>
      <c r="K39" s="382">
        <f>'1.2.3 Proj.real'!AN$9</f>
        <v>0</v>
      </c>
      <c r="L39" s="383"/>
      <c r="M39" s="116">
        <f>'1.2.3 Proj.real'!AO$9</f>
        <v>0</v>
      </c>
      <c r="N39" s="117"/>
      <c r="O39" s="117"/>
      <c r="P39" s="117"/>
    </row>
    <row r="40" spans="1:16" ht="12.75" customHeight="1" x14ac:dyDescent="0.2">
      <c r="A40" s="1">
        <v>1</v>
      </c>
      <c r="B40" s="231" t="s">
        <v>6</v>
      </c>
      <c r="C40" s="231" t="s">
        <v>417</v>
      </c>
      <c r="D40" s="231" t="s">
        <v>6</v>
      </c>
      <c r="E40" s="231" t="s">
        <v>433</v>
      </c>
      <c r="F40" s="231" t="s">
        <v>191</v>
      </c>
      <c r="G40" s="3" t="s">
        <v>192</v>
      </c>
      <c r="H40" s="268" t="s">
        <v>399</v>
      </c>
      <c r="I40" s="2" t="s">
        <v>404</v>
      </c>
      <c r="J40" s="2" t="s">
        <v>483</v>
      </c>
      <c r="K40" s="382">
        <f>'1.2.3 Proj.real'!AP$9</f>
        <v>0</v>
      </c>
      <c r="L40" s="383"/>
      <c r="M40" s="116">
        <f>'1.2.3 Proj.real'!AQ$9</f>
        <v>0</v>
      </c>
      <c r="N40" s="117"/>
      <c r="O40" s="117"/>
      <c r="P40" s="117"/>
    </row>
    <row r="41" spans="1:16" ht="12.75" customHeight="1" x14ac:dyDescent="0.2">
      <c r="A41" s="1">
        <v>1</v>
      </c>
      <c r="B41" s="231" t="s">
        <v>6</v>
      </c>
      <c r="C41" s="231" t="s">
        <v>417</v>
      </c>
      <c r="D41" s="231" t="s">
        <v>6</v>
      </c>
      <c r="E41" s="231" t="s">
        <v>433</v>
      </c>
      <c r="F41" s="231" t="s">
        <v>193</v>
      </c>
      <c r="G41" s="3" t="s">
        <v>194</v>
      </c>
      <c r="H41" s="268" t="s">
        <v>399</v>
      </c>
      <c r="I41" s="2" t="s">
        <v>404</v>
      </c>
      <c r="J41" s="2" t="s">
        <v>483</v>
      </c>
      <c r="K41" s="382">
        <f>'1.2.3 Proj.real'!AR$9</f>
        <v>122</v>
      </c>
      <c r="L41" s="383">
        <f>'1.2.3 Proj.real'!AT9</f>
        <v>0</v>
      </c>
      <c r="M41" s="116">
        <f>'1.2.3 Proj.real'!AS$9</f>
        <v>49</v>
      </c>
      <c r="N41" s="117"/>
      <c r="O41" s="117"/>
      <c r="P41" s="117"/>
    </row>
    <row r="42" spans="1:16" ht="12.75" customHeight="1" x14ac:dyDescent="0.2">
      <c r="A42" s="1">
        <v>1</v>
      </c>
      <c r="B42" s="231" t="s">
        <v>6</v>
      </c>
      <c r="C42" s="231" t="s">
        <v>417</v>
      </c>
      <c r="D42" s="231" t="s">
        <v>6</v>
      </c>
      <c r="E42" s="231" t="s">
        <v>433</v>
      </c>
      <c r="F42" s="231" t="s">
        <v>195</v>
      </c>
      <c r="G42" s="3" t="s">
        <v>196</v>
      </c>
      <c r="H42" s="268" t="s">
        <v>399</v>
      </c>
      <c r="I42" s="2" t="s">
        <v>404</v>
      </c>
      <c r="J42" s="2" t="s">
        <v>483</v>
      </c>
      <c r="K42" s="382">
        <f>'1.2.3 Proj.real'!AU$9</f>
        <v>1510</v>
      </c>
      <c r="L42" s="383">
        <f>'1.2.3 Proj.real'!AW9</f>
        <v>0</v>
      </c>
      <c r="M42" s="116">
        <f>'1.2.3 Proj.real'!AV$9</f>
        <v>0</v>
      </c>
      <c r="N42" s="117"/>
      <c r="O42" s="117"/>
      <c r="P42" s="117"/>
    </row>
    <row r="43" spans="1:16" ht="12.75" customHeight="1" x14ac:dyDescent="0.2">
      <c r="A43" s="1">
        <v>1</v>
      </c>
      <c r="B43" s="231" t="s">
        <v>6</v>
      </c>
      <c r="C43" s="231" t="s">
        <v>417</v>
      </c>
      <c r="D43" s="231" t="s">
        <v>6</v>
      </c>
      <c r="E43" s="231" t="s">
        <v>442</v>
      </c>
      <c r="F43" s="231" t="s">
        <v>170</v>
      </c>
      <c r="G43" s="3" t="s">
        <v>171</v>
      </c>
      <c r="H43" s="268" t="s">
        <v>529</v>
      </c>
      <c r="I43" s="2"/>
      <c r="J43" s="2"/>
      <c r="K43" s="382">
        <f>'1.2.3 Proj.real'!L$9</f>
        <v>0</v>
      </c>
      <c r="L43" s="383"/>
      <c r="M43" s="116">
        <f>'1.2.3 Proj.real'!M$9</f>
        <v>0</v>
      </c>
      <c r="N43" s="117"/>
      <c r="O43" s="117"/>
      <c r="P43" s="117"/>
    </row>
    <row r="44" spans="1:16" ht="15" customHeight="1" x14ac:dyDescent="0.2">
      <c r="A44" s="1">
        <v>1</v>
      </c>
      <c r="B44" s="231" t="s">
        <v>6</v>
      </c>
      <c r="C44" s="231" t="s">
        <v>417</v>
      </c>
      <c r="D44" s="231" t="s">
        <v>6</v>
      </c>
      <c r="E44" s="231" t="s">
        <v>442</v>
      </c>
      <c r="F44" s="231" t="s">
        <v>186</v>
      </c>
      <c r="G44" s="3" t="s">
        <v>39</v>
      </c>
      <c r="H44" s="268" t="s">
        <v>399</v>
      </c>
      <c r="I44" s="2"/>
      <c r="J44" s="2"/>
      <c r="K44" s="382">
        <f>'1.2.3 Proj.real'!AH$9</f>
        <v>0</v>
      </c>
      <c r="L44" s="383"/>
      <c r="M44" s="116">
        <f>'1.2.3 Proj.real'!AI$9</f>
        <v>0</v>
      </c>
      <c r="N44" s="117"/>
      <c r="O44" s="117"/>
      <c r="P44" s="117"/>
    </row>
    <row r="45" spans="1:16" ht="12.75" customHeight="1" x14ac:dyDescent="0.2">
      <c r="A45" s="1">
        <v>1</v>
      </c>
      <c r="B45" s="231" t="s">
        <v>6</v>
      </c>
      <c r="C45" s="231" t="s">
        <v>417</v>
      </c>
      <c r="D45" s="231" t="s">
        <v>6</v>
      </c>
      <c r="E45" s="231" t="s">
        <v>442</v>
      </c>
      <c r="F45" s="231" t="s">
        <v>197</v>
      </c>
      <c r="G45" s="3" t="s">
        <v>198</v>
      </c>
      <c r="H45" s="268" t="s">
        <v>399</v>
      </c>
      <c r="I45" s="2"/>
      <c r="J45" s="2"/>
      <c r="K45" s="382">
        <f>'1.2.3 Proj.real'!AZ$9</f>
        <v>0</v>
      </c>
      <c r="L45" s="383"/>
      <c r="M45" s="116">
        <f>'1.2.3 Proj.real'!BA$9</f>
        <v>0</v>
      </c>
      <c r="N45" s="117"/>
      <c r="O45" s="117"/>
      <c r="P45" s="117"/>
    </row>
    <row r="46" spans="1:16" ht="12.75" customHeight="1" x14ac:dyDescent="0.2">
      <c r="A46" s="1">
        <v>1</v>
      </c>
      <c r="B46" s="231" t="s">
        <v>6</v>
      </c>
      <c r="C46" s="231" t="s">
        <v>417</v>
      </c>
      <c r="D46" s="231" t="s">
        <v>6</v>
      </c>
      <c r="E46" s="231" t="s">
        <v>425</v>
      </c>
      <c r="F46" s="231" t="s">
        <v>180</v>
      </c>
      <c r="G46" s="3" t="s">
        <v>181</v>
      </c>
      <c r="H46" s="268" t="s">
        <v>399</v>
      </c>
      <c r="I46" s="2"/>
      <c r="J46" s="2"/>
      <c r="K46" s="382">
        <f>'1.2.3 Proj.real'!Y$9</f>
        <v>0</v>
      </c>
      <c r="L46" s="383"/>
      <c r="M46" s="116">
        <f>'1.2.3 Proj.real'!Z$9</f>
        <v>0</v>
      </c>
      <c r="N46" s="117"/>
      <c r="O46" s="117"/>
      <c r="P46" s="117"/>
    </row>
    <row r="47" spans="1:16" ht="12.75" customHeight="1" x14ac:dyDescent="0.2">
      <c r="A47" s="1">
        <v>1</v>
      </c>
      <c r="B47" s="231" t="s">
        <v>6</v>
      </c>
      <c r="C47" s="231" t="s">
        <v>417</v>
      </c>
      <c r="D47" s="231" t="s">
        <v>6</v>
      </c>
      <c r="E47" s="231" t="s">
        <v>425</v>
      </c>
      <c r="F47" s="231" t="s">
        <v>145</v>
      </c>
      <c r="G47" s="3" t="s">
        <v>146</v>
      </c>
      <c r="H47" s="268" t="s">
        <v>399</v>
      </c>
      <c r="I47" s="2"/>
      <c r="J47" s="2"/>
      <c r="K47" s="382">
        <f>'1.2.3 Proj.real'!AL$9</f>
        <v>0</v>
      </c>
      <c r="L47" s="383"/>
      <c r="M47" s="116">
        <f>'1.2.3 Proj.real'!AM$9</f>
        <v>0</v>
      </c>
      <c r="N47" s="117"/>
      <c r="O47" s="117"/>
      <c r="P47" s="117"/>
    </row>
    <row r="48" spans="1:16" ht="13.5" customHeight="1" thickBot="1" x14ac:dyDescent="0.25">
      <c r="A48" s="1">
        <v>1</v>
      </c>
      <c r="B48" s="231" t="s">
        <v>6</v>
      </c>
      <c r="C48" s="412" t="s">
        <v>417</v>
      </c>
      <c r="D48" s="412" t="s">
        <v>6</v>
      </c>
      <c r="E48" s="412" t="s">
        <v>425</v>
      </c>
      <c r="F48" s="412" t="s">
        <v>151</v>
      </c>
      <c r="G48" s="413" t="s">
        <v>152</v>
      </c>
      <c r="H48" s="414" t="s">
        <v>399</v>
      </c>
      <c r="I48" s="415"/>
      <c r="J48" s="415"/>
      <c r="K48" s="416">
        <f>'1.2.3 Proj.real'!AX$9</f>
        <v>0</v>
      </c>
      <c r="L48" s="417"/>
      <c r="M48" s="418">
        <f>'1.2.3 Proj.real'!AY$9</f>
        <v>0</v>
      </c>
      <c r="N48" s="419"/>
      <c r="O48" s="419"/>
      <c r="P48" s="419"/>
    </row>
    <row r="49" spans="1:16" ht="13.5" customHeight="1" thickTop="1" x14ac:dyDescent="0.2">
      <c r="A49" s="1">
        <v>1</v>
      </c>
      <c r="B49" s="231" t="s">
        <v>7</v>
      </c>
      <c r="C49" s="472" t="s">
        <v>417</v>
      </c>
      <c r="D49" s="472" t="s">
        <v>7</v>
      </c>
      <c r="E49" s="472" t="s">
        <v>434</v>
      </c>
      <c r="F49" s="472" t="s">
        <v>199</v>
      </c>
      <c r="G49" s="473" t="s">
        <v>200</v>
      </c>
      <c r="H49" s="474" t="s">
        <v>407</v>
      </c>
      <c r="I49" s="475"/>
      <c r="J49" s="475"/>
      <c r="K49" s="476"/>
      <c r="L49" s="477"/>
      <c r="M49" s="478"/>
      <c r="N49" s="479"/>
      <c r="O49" s="479"/>
      <c r="P49" s="479"/>
    </row>
    <row r="50" spans="1:16" ht="12.75" customHeight="1" x14ac:dyDescent="0.2">
      <c r="A50" s="1">
        <v>1</v>
      </c>
      <c r="B50" s="231" t="s">
        <v>7</v>
      </c>
      <c r="C50" s="400" t="s">
        <v>417</v>
      </c>
      <c r="D50" s="400" t="s">
        <v>7</v>
      </c>
      <c r="E50" s="400" t="s">
        <v>434</v>
      </c>
      <c r="F50" s="400" t="s">
        <v>209</v>
      </c>
      <c r="G50" s="3" t="s">
        <v>210</v>
      </c>
      <c r="H50" s="399" t="s">
        <v>399</v>
      </c>
      <c r="I50" s="2"/>
      <c r="J50" s="2"/>
      <c r="K50" s="382"/>
      <c r="L50" s="383"/>
      <c r="M50" s="116"/>
      <c r="N50" s="117"/>
      <c r="O50" s="117"/>
      <c r="P50" s="117"/>
    </row>
    <row r="51" spans="1:16" ht="12.75" customHeight="1" x14ac:dyDescent="0.2">
      <c r="A51" s="1">
        <v>1</v>
      </c>
      <c r="B51" s="231" t="s">
        <v>7</v>
      </c>
      <c r="C51" s="400" t="s">
        <v>417</v>
      </c>
      <c r="D51" s="400" t="s">
        <v>7</v>
      </c>
      <c r="E51" s="400" t="s">
        <v>445</v>
      </c>
      <c r="F51" s="400" t="s">
        <v>199</v>
      </c>
      <c r="G51" s="3" t="s">
        <v>200</v>
      </c>
      <c r="H51" s="399" t="s">
        <v>407</v>
      </c>
      <c r="I51" s="2"/>
      <c r="J51" s="2"/>
      <c r="K51" s="382"/>
      <c r="L51" s="383"/>
      <c r="M51" s="116"/>
      <c r="N51" s="117"/>
      <c r="O51" s="117"/>
      <c r="P51" s="117"/>
    </row>
    <row r="52" spans="1:16" ht="12.75" customHeight="1" x14ac:dyDescent="0.2">
      <c r="A52" s="1">
        <v>1</v>
      </c>
      <c r="B52" s="231" t="s">
        <v>7</v>
      </c>
      <c r="C52" s="400" t="s">
        <v>417</v>
      </c>
      <c r="D52" s="400" t="s">
        <v>7</v>
      </c>
      <c r="E52" s="400" t="s">
        <v>445</v>
      </c>
      <c r="F52" s="400" t="s">
        <v>201</v>
      </c>
      <c r="G52" s="3" t="s">
        <v>202</v>
      </c>
      <c r="H52" s="399" t="s">
        <v>407</v>
      </c>
      <c r="I52" s="2"/>
      <c r="J52" s="2"/>
      <c r="K52" s="382"/>
      <c r="L52" s="383"/>
      <c r="M52" s="116"/>
      <c r="N52" s="117"/>
      <c r="O52" s="117"/>
      <c r="P52" s="117"/>
    </row>
    <row r="53" spans="1:16" ht="12.75" customHeight="1" x14ac:dyDescent="0.2">
      <c r="A53" s="1">
        <v>1</v>
      </c>
      <c r="B53" s="231" t="s">
        <v>7</v>
      </c>
      <c r="C53" s="400" t="s">
        <v>417</v>
      </c>
      <c r="D53" s="400" t="s">
        <v>7</v>
      </c>
      <c r="E53" s="400" t="s">
        <v>445</v>
      </c>
      <c r="F53" s="400" t="s">
        <v>208</v>
      </c>
      <c r="G53" s="3" t="s">
        <v>44</v>
      </c>
      <c r="H53" s="399" t="s">
        <v>399</v>
      </c>
      <c r="I53" s="2"/>
      <c r="J53" s="2"/>
      <c r="K53" s="382"/>
      <c r="L53" s="383"/>
      <c r="M53" s="116"/>
      <c r="N53" s="117"/>
      <c r="O53" s="117"/>
      <c r="P53" s="117"/>
    </row>
    <row r="54" spans="1:16" ht="12.75" customHeight="1" x14ac:dyDescent="0.2">
      <c r="A54" s="1">
        <v>1</v>
      </c>
      <c r="B54" s="231" t="s">
        <v>7</v>
      </c>
      <c r="C54" s="400" t="s">
        <v>417</v>
      </c>
      <c r="D54" s="400" t="s">
        <v>7</v>
      </c>
      <c r="E54" s="400" t="s">
        <v>445</v>
      </c>
      <c r="F54" s="400" t="s">
        <v>211</v>
      </c>
      <c r="G54" s="3" t="s">
        <v>212</v>
      </c>
      <c r="H54" s="399" t="s">
        <v>399</v>
      </c>
      <c r="I54" s="2"/>
      <c r="J54" s="2"/>
      <c r="K54" s="382"/>
      <c r="L54" s="383"/>
      <c r="M54" s="116"/>
      <c r="N54" s="117"/>
      <c r="O54" s="117"/>
      <c r="P54" s="117"/>
    </row>
    <row r="55" spans="1:16" ht="12.75" customHeight="1" x14ac:dyDescent="0.2">
      <c r="A55" s="1">
        <v>1</v>
      </c>
      <c r="B55" s="231" t="s">
        <v>7</v>
      </c>
      <c r="C55" s="400" t="s">
        <v>417</v>
      </c>
      <c r="D55" s="400" t="s">
        <v>7</v>
      </c>
      <c r="E55" s="400" t="s">
        <v>445</v>
      </c>
      <c r="F55" s="400" t="s">
        <v>213</v>
      </c>
      <c r="G55" s="3" t="s">
        <v>214</v>
      </c>
      <c r="H55" s="399" t="s">
        <v>399</v>
      </c>
      <c r="I55" s="2"/>
      <c r="J55" s="2"/>
      <c r="K55" s="382"/>
      <c r="L55" s="383"/>
      <c r="M55" s="116"/>
      <c r="N55" s="117"/>
      <c r="O55" s="117"/>
      <c r="P55" s="117"/>
    </row>
    <row r="56" spans="1:16" ht="25.5" customHeight="1" x14ac:dyDescent="0.2">
      <c r="A56" s="1">
        <v>1</v>
      </c>
      <c r="B56" s="231" t="s">
        <v>7</v>
      </c>
      <c r="C56" s="400" t="s">
        <v>417</v>
      </c>
      <c r="D56" s="400" t="s">
        <v>7</v>
      </c>
      <c r="E56" s="400" t="s">
        <v>426</v>
      </c>
      <c r="F56" s="400" t="s">
        <v>203</v>
      </c>
      <c r="G56" s="3" t="s">
        <v>204</v>
      </c>
      <c r="H56" s="399" t="s">
        <v>399</v>
      </c>
      <c r="I56" s="2"/>
      <c r="J56" s="2"/>
      <c r="K56" s="382"/>
      <c r="L56" s="383"/>
      <c r="M56" s="116"/>
      <c r="N56" s="117"/>
      <c r="O56" s="117"/>
      <c r="P56" s="117"/>
    </row>
    <row r="57" spans="1:16" ht="25.5" customHeight="1" x14ac:dyDescent="0.2">
      <c r="A57" s="1">
        <v>1</v>
      </c>
      <c r="B57" s="231" t="s">
        <v>7</v>
      </c>
      <c r="C57" s="400" t="s">
        <v>417</v>
      </c>
      <c r="D57" s="400" t="s">
        <v>7</v>
      </c>
      <c r="E57" s="400" t="s">
        <v>426</v>
      </c>
      <c r="F57" s="400" t="s">
        <v>205</v>
      </c>
      <c r="G57" s="3" t="s">
        <v>206</v>
      </c>
      <c r="H57" s="399" t="s">
        <v>399</v>
      </c>
      <c r="I57" s="2"/>
      <c r="J57" s="2"/>
      <c r="K57" s="382"/>
      <c r="L57" s="383"/>
      <c r="M57" s="116"/>
      <c r="N57" s="117"/>
      <c r="O57" s="117"/>
      <c r="P57" s="117"/>
    </row>
    <row r="58" spans="1:16" ht="12.75" customHeight="1" x14ac:dyDescent="0.2">
      <c r="A58" s="1">
        <v>1</v>
      </c>
      <c r="B58" s="231" t="s">
        <v>7</v>
      </c>
      <c r="C58" s="400" t="s">
        <v>417</v>
      </c>
      <c r="D58" s="400" t="s">
        <v>7</v>
      </c>
      <c r="E58" s="400" t="s">
        <v>426</v>
      </c>
      <c r="F58" s="400" t="s">
        <v>207</v>
      </c>
      <c r="G58" s="3" t="s">
        <v>46</v>
      </c>
      <c r="H58" s="399" t="s">
        <v>399</v>
      </c>
      <c r="I58" s="2"/>
      <c r="J58" s="2"/>
      <c r="K58" s="382"/>
      <c r="L58" s="383"/>
      <c r="M58" s="116"/>
      <c r="N58" s="117"/>
      <c r="O58" s="117"/>
      <c r="P58" s="117"/>
    </row>
    <row r="59" spans="1:16" ht="12.75" customHeight="1" x14ac:dyDescent="0.2">
      <c r="A59" s="1">
        <v>1</v>
      </c>
      <c r="B59" s="231" t="s">
        <v>7</v>
      </c>
      <c r="C59" s="400" t="s">
        <v>417</v>
      </c>
      <c r="D59" s="400" t="s">
        <v>7</v>
      </c>
      <c r="E59" s="400" t="s">
        <v>428</v>
      </c>
      <c r="F59" s="400" t="s">
        <v>145</v>
      </c>
      <c r="G59" s="3" t="s">
        <v>146</v>
      </c>
      <c r="H59" s="399" t="s">
        <v>399</v>
      </c>
      <c r="I59" s="2"/>
      <c r="J59" s="2"/>
      <c r="K59" s="382"/>
      <c r="L59" s="383"/>
      <c r="M59" s="116"/>
      <c r="N59" s="117"/>
      <c r="O59" s="117"/>
      <c r="P59" s="117"/>
    </row>
    <row r="60" spans="1:16" ht="13.5" customHeight="1" thickBot="1" x14ac:dyDescent="0.25">
      <c r="A60" s="1">
        <v>1</v>
      </c>
      <c r="B60" s="231" t="s">
        <v>7</v>
      </c>
      <c r="C60" s="412" t="s">
        <v>417</v>
      </c>
      <c r="D60" s="412" t="s">
        <v>7</v>
      </c>
      <c r="E60" s="412" t="s">
        <v>428</v>
      </c>
      <c r="F60" s="412" t="s">
        <v>151</v>
      </c>
      <c r="G60" s="413" t="s">
        <v>152</v>
      </c>
      <c r="H60" s="414" t="s">
        <v>399</v>
      </c>
      <c r="I60" s="415"/>
      <c r="J60" s="415"/>
      <c r="K60" s="416"/>
      <c r="L60" s="417"/>
      <c r="M60" s="418"/>
      <c r="N60" s="419"/>
      <c r="O60" s="419"/>
      <c r="P60" s="419"/>
    </row>
    <row r="61" spans="1:16" ht="26.25" thickTop="1" x14ac:dyDescent="0.2">
      <c r="A61" s="1">
        <v>1</v>
      </c>
      <c r="B61" s="231" t="s">
        <v>8</v>
      </c>
      <c r="C61" s="472" t="s">
        <v>417</v>
      </c>
      <c r="D61" s="472" t="s">
        <v>8</v>
      </c>
      <c r="E61" s="472" t="s">
        <v>435</v>
      </c>
      <c r="F61" s="472" t="s">
        <v>215</v>
      </c>
      <c r="G61" s="473" t="s">
        <v>53</v>
      </c>
      <c r="H61" s="474" t="s">
        <v>408</v>
      </c>
      <c r="I61" s="475"/>
      <c r="J61" s="475"/>
      <c r="K61" s="476">
        <f>'1.4.1 Proj.real'!K$23</f>
        <v>0</v>
      </c>
      <c r="L61" s="477"/>
      <c r="M61" s="478">
        <f>'1.4.1 Proj.real'!L$23</f>
        <v>0</v>
      </c>
      <c r="N61" s="479"/>
      <c r="O61" s="479"/>
      <c r="P61" s="479"/>
    </row>
    <row r="62" spans="1:16" x14ac:dyDescent="0.2">
      <c r="A62" s="1">
        <v>1</v>
      </c>
      <c r="B62" s="231" t="s">
        <v>8</v>
      </c>
      <c r="C62" s="400" t="s">
        <v>417</v>
      </c>
      <c r="D62" s="400" t="s">
        <v>8</v>
      </c>
      <c r="E62" s="400" t="s">
        <v>435</v>
      </c>
      <c r="F62" s="400" t="s">
        <v>217</v>
      </c>
      <c r="G62" s="3" t="s">
        <v>218</v>
      </c>
      <c r="H62" s="399" t="s">
        <v>399</v>
      </c>
      <c r="I62" s="2"/>
      <c r="J62" s="2"/>
      <c r="K62" s="382">
        <f>'1.4.1 Proj.real'!O$23</f>
        <v>0</v>
      </c>
      <c r="L62" s="383"/>
      <c r="M62" s="116">
        <f>'1.4.1 Proj.real'!P$23</f>
        <v>0</v>
      </c>
      <c r="N62" s="117"/>
      <c r="O62" s="117"/>
      <c r="P62" s="117"/>
    </row>
    <row r="63" spans="1:16" ht="25.5" x14ac:dyDescent="0.2">
      <c r="A63" s="1">
        <v>1</v>
      </c>
      <c r="B63" s="231" t="s">
        <v>8</v>
      </c>
      <c r="C63" s="400" t="s">
        <v>417</v>
      </c>
      <c r="D63" s="400" t="s">
        <v>8</v>
      </c>
      <c r="E63" s="400" t="s">
        <v>435</v>
      </c>
      <c r="F63" s="400" t="s">
        <v>229</v>
      </c>
      <c r="G63" s="3" t="s">
        <v>230</v>
      </c>
      <c r="H63" s="399" t="s">
        <v>399</v>
      </c>
      <c r="I63" s="2" t="s">
        <v>404</v>
      </c>
      <c r="J63" s="2" t="s">
        <v>483</v>
      </c>
      <c r="K63" s="382">
        <f>'1.4.1 Proj.real'!AC$23</f>
        <v>0</v>
      </c>
      <c r="L63" s="383"/>
      <c r="M63" s="116">
        <f>'1.4.1 Proj.real'!AD$23</f>
        <v>0</v>
      </c>
      <c r="N63" s="117"/>
      <c r="O63" s="117"/>
      <c r="P63" s="117"/>
    </row>
    <row r="64" spans="1:16" ht="25.5" x14ac:dyDescent="0.2">
      <c r="A64" s="1">
        <v>1</v>
      </c>
      <c r="B64" s="231" t="s">
        <v>8</v>
      </c>
      <c r="C64" s="400" t="s">
        <v>417</v>
      </c>
      <c r="D64" s="400" t="s">
        <v>8</v>
      </c>
      <c r="E64" s="400" t="s">
        <v>435</v>
      </c>
      <c r="F64" s="400" t="s">
        <v>231</v>
      </c>
      <c r="G64" s="3" t="s">
        <v>55</v>
      </c>
      <c r="H64" s="399" t="s">
        <v>399</v>
      </c>
      <c r="I64" s="2" t="s">
        <v>404</v>
      </c>
      <c r="J64" s="2" t="s">
        <v>483</v>
      </c>
      <c r="K64" s="382">
        <f>'1.4.1 Proj.real'!AE$23</f>
        <v>22</v>
      </c>
      <c r="L64" s="383">
        <f>'1.4.1 Proj.real'!AG23</f>
        <v>2</v>
      </c>
      <c r="M64" s="116">
        <f>'1.4.1 Proj.real'!AF$23</f>
        <v>0</v>
      </c>
      <c r="N64" s="117"/>
      <c r="O64" s="117"/>
      <c r="P64" s="117"/>
    </row>
    <row r="65" spans="1:16" x14ac:dyDescent="0.2">
      <c r="A65" s="1">
        <v>1</v>
      </c>
      <c r="B65" s="231" t="s">
        <v>8</v>
      </c>
      <c r="C65" s="400" t="s">
        <v>417</v>
      </c>
      <c r="D65" s="400" t="s">
        <v>8</v>
      </c>
      <c r="E65" s="400" t="s">
        <v>435</v>
      </c>
      <c r="F65" s="400" t="s">
        <v>236</v>
      </c>
      <c r="G65" s="3" t="s">
        <v>237</v>
      </c>
      <c r="H65" s="399" t="s">
        <v>539</v>
      </c>
      <c r="I65" s="2" t="s">
        <v>404</v>
      </c>
      <c r="J65" s="2" t="s">
        <v>530</v>
      </c>
      <c r="K65" s="382">
        <f>'1.4.1 Proj.real'!AN$23</f>
        <v>0</v>
      </c>
      <c r="L65" s="383"/>
      <c r="M65" s="116">
        <f>'1.4.1 Proj.real'!AO$23</f>
        <v>0</v>
      </c>
      <c r="N65" s="117"/>
      <c r="O65" s="117"/>
      <c r="P65" s="117"/>
    </row>
    <row r="66" spans="1:16" x14ac:dyDescent="0.2">
      <c r="A66" s="1">
        <v>1</v>
      </c>
      <c r="B66" s="231" t="s">
        <v>8</v>
      </c>
      <c r="C66" s="400" t="s">
        <v>417</v>
      </c>
      <c r="D66" s="400" t="s">
        <v>8</v>
      </c>
      <c r="E66" s="400" t="s">
        <v>435</v>
      </c>
      <c r="F66" s="400" t="s">
        <v>238</v>
      </c>
      <c r="G66" s="3" t="s">
        <v>239</v>
      </c>
      <c r="H66" s="399" t="s">
        <v>539</v>
      </c>
      <c r="I66" s="2" t="s">
        <v>404</v>
      </c>
      <c r="J66" s="2" t="s">
        <v>530</v>
      </c>
      <c r="K66" s="382">
        <f>'1.4.1 Proj.real'!AP$23</f>
        <v>29105.666700000002</v>
      </c>
      <c r="L66" s="383">
        <f>'1.4.1 Proj.real'!AR23</f>
        <v>0</v>
      </c>
      <c r="M66" s="116">
        <f>'1.4.1 Proj.real'!AQ$23</f>
        <v>0</v>
      </c>
      <c r="N66" s="117"/>
      <c r="O66" s="117"/>
      <c r="P66" s="117"/>
    </row>
    <row r="67" spans="1:16" x14ac:dyDescent="0.2">
      <c r="A67" s="1">
        <v>1</v>
      </c>
      <c r="B67" s="231" t="s">
        <v>8</v>
      </c>
      <c r="C67" s="400" t="s">
        <v>417</v>
      </c>
      <c r="D67" s="400" t="s">
        <v>8</v>
      </c>
      <c r="E67" s="400" t="s">
        <v>435</v>
      </c>
      <c r="F67" s="400" t="s">
        <v>240</v>
      </c>
      <c r="G67" s="3" t="s">
        <v>241</v>
      </c>
      <c r="H67" s="399" t="s">
        <v>539</v>
      </c>
      <c r="I67" s="2" t="s">
        <v>404</v>
      </c>
      <c r="J67" s="2" t="s">
        <v>530</v>
      </c>
      <c r="K67" s="382">
        <f>'1.4.1 Proj.real'!AS$23</f>
        <v>1510393.7327000001</v>
      </c>
      <c r="L67" s="383">
        <f>'1.4.1 Proj.real'!AU23</f>
        <v>11309</v>
      </c>
      <c r="M67" s="116">
        <f>'1.4.1 Proj.real'!AT$23</f>
        <v>0</v>
      </c>
      <c r="N67" s="117"/>
      <c r="O67" s="117"/>
      <c r="P67" s="117"/>
    </row>
    <row r="68" spans="1:16" x14ac:dyDescent="0.2">
      <c r="A68" s="1">
        <v>1</v>
      </c>
      <c r="B68" s="231" t="s">
        <v>8</v>
      </c>
      <c r="C68" s="400" t="s">
        <v>417</v>
      </c>
      <c r="D68" s="400" t="s">
        <v>8</v>
      </c>
      <c r="E68" s="400" t="s">
        <v>435</v>
      </c>
      <c r="F68" s="400" t="s">
        <v>242</v>
      </c>
      <c r="G68" s="3" t="s">
        <v>243</v>
      </c>
      <c r="H68" s="399" t="s">
        <v>539</v>
      </c>
      <c r="I68" s="2" t="s">
        <v>404</v>
      </c>
      <c r="J68" s="2" t="s">
        <v>530</v>
      </c>
      <c r="K68" s="382">
        <f>'1.4.1 Proj.real'!AV$23</f>
        <v>924543.89600000007</v>
      </c>
      <c r="L68" s="383">
        <f>'1.4.1 Proj.real'!AX23</f>
        <v>10572</v>
      </c>
      <c r="M68" s="116">
        <f>'1.4.1 Proj.real'!AW$23</f>
        <v>0</v>
      </c>
      <c r="N68" s="117"/>
      <c r="O68" s="117"/>
      <c r="P68" s="117"/>
    </row>
    <row r="69" spans="1:16" x14ac:dyDescent="0.2">
      <c r="A69" s="1">
        <v>1</v>
      </c>
      <c r="B69" s="231" t="s">
        <v>8</v>
      </c>
      <c r="C69" s="400" t="s">
        <v>417</v>
      </c>
      <c r="D69" s="400" t="s">
        <v>8</v>
      </c>
      <c r="E69" s="400" t="s">
        <v>435</v>
      </c>
      <c r="F69" s="400" t="s">
        <v>244</v>
      </c>
      <c r="G69" s="3" t="s">
        <v>245</v>
      </c>
      <c r="H69" s="399" t="s">
        <v>539</v>
      </c>
      <c r="I69" s="2" t="s">
        <v>404</v>
      </c>
      <c r="J69" s="2" t="s">
        <v>530</v>
      </c>
      <c r="K69" s="382">
        <f>'1.4.1 Proj.real'!AY$23</f>
        <v>238.16669999999999</v>
      </c>
      <c r="L69" s="383">
        <f>'1.4.1 Proj.real'!BA23</f>
        <v>0</v>
      </c>
      <c r="M69" s="116">
        <f>'1.4.1 Proj.real'!AZ$23</f>
        <v>0</v>
      </c>
      <c r="N69" s="117"/>
      <c r="O69" s="117"/>
      <c r="P69" s="117"/>
    </row>
    <row r="70" spans="1:16" x14ac:dyDescent="0.2">
      <c r="A70" s="1">
        <v>1</v>
      </c>
      <c r="B70" s="231" t="s">
        <v>8</v>
      </c>
      <c r="C70" s="400" t="s">
        <v>417</v>
      </c>
      <c r="D70" s="400" t="s">
        <v>8</v>
      </c>
      <c r="E70" s="400" t="s">
        <v>435</v>
      </c>
      <c r="F70" s="400" t="s">
        <v>246</v>
      </c>
      <c r="G70" s="3" t="s">
        <v>247</v>
      </c>
      <c r="H70" s="399" t="s">
        <v>539</v>
      </c>
      <c r="I70" s="2" t="s">
        <v>404</v>
      </c>
      <c r="J70" s="2" t="s">
        <v>530</v>
      </c>
      <c r="K70" s="382">
        <f>'1.4.1 Proj.real'!BB$23</f>
        <v>0</v>
      </c>
      <c r="L70" s="383"/>
      <c r="M70" s="116">
        <f>'1.4.1 Proj.real'!BC$23</f>
        <v>0</v>
      </c>
      <c r="N70" s="117"/>
      <c r="O70" s="117"/>
      <c r="P70" s="117"/>
    </row>
    <row r="71" spans="1:16" x14ac:dyDescent="0.2">
      <c r="A71" s="1">
        <v>1</v>
      </c>
      <c r="B71" s="231" t="s">
        <v>8</v>
      </c>
      <c r="C71" s="400" t="s">
        <v>417</v>
      </c>
      <c r="D71" s="400" t="s">
        <v>8</v>
      </c>
      <c r="E71" s="400" t="s">
        <v>430</v>
      </c>
      <c r="F71" s="400" t="s">
        <v>145</v>
      </c>
      <c r="G71" s="3" t="s">
        <v>146</v>
      </c>
      <c r="H71" s="399" t="s">
        <v>399</v>
      </c>
      <c r="I71" s="2"/>
      <c r="J71" s="2"/>
      <c r="K71" s="382">
        <f>'1.4.1 Proj.real'!W$23</f>
        <v>0</v>
      </c>
      <c r="L71" s="383"/>
      <c r="M71" s="116">
        <f>'1.4.1 Proj.real'!X$23</f>
        <v>0</v>
      </c>
      <c r="N71" s="117"/>
      <c r="O71" s="117"/>
      <c r="P71" s="117"/>
    </row>
    <row r="72" spans="1:16" x14ac:dyDescent="0.2">
      <c r="A72" s="1">
        <v>1</v>
      </c>
      <c r="B72" s="231" t="s">
        <v>8</v>
      </c>
      <c r="C72" s="400" t="s">
        <v>417</v>
      </c>
      <c r="D72" s="400" t="s">
        <v>8</v>
      </c>
      <c r="E72" s="400" t="s">
        <v>430</v>
      </c>
      <c r="F72" s="400" t="s">
        <v>151</v>
      </c>
      <c r="G72" s="3" t="s">
        <v>152</v>
      </c>
      <c r="H72" s="399" t="s">
        <v>399</v>
      </c>
      <c r="I72" s="2"/>
      <c r="J72" s="2"/>
      <c r="K72" s="382">
        <f>'1.4.1 Proj.real'!AL$23</f>
        <v>0</v>
      </c>
      <c r="L72" s="383"/>
      <c r="M72" s="116">
        <f>'1.4.1 Proj.real'!AM$23</f>
        <v>0</v>
      </c>
      <c r="N72" s="117"/>
      <c r="O72" s="117"/>
      <c r="P72" s="117"/>
    </row>
    <row r="73" spans="1:16" ht="25.5" x14ac:dyDescent="0.2">
      <c r="A73" s="1">
        <v>1</v>
      </c>
      <c r="B73" s="231" t="s">
        <v>8</v>
      </c>
      <c r="C73" s="400" t="s">
        <v>417</v>
      </c>
      <c r="D73" s="400" t="s">
        <v>8</v>
      </c>
      <c r="E73" s="400" t="s">
        <v>427</v>
      </c>
      <c r="F73" s="400" t="s">
        <v>216</v>
      </c>
      <c r="G73" s="3" t="s">
        <v>51</v>
      </c>
      <c r="H73" s="399" t="s">
        <v>399</v>
      </c>
      <c r="I73" s="2"/>
      <c r="J73" s="2"/>
      <c r="K73" s="382">
        <f>'1.4.1 Proj.real'!M$23</f>
        <v>0</v>
      </c>
      <c r="L73" s="383"/>
      <c r="M73" s="116">
        <f>'1.4.1 Proj.real'!N$23</f>
        <v>0</v>
      </c>
      <c r="N73" s="117"/>
      <c r="O73" s="117"/>
      <c r="P73" s="117"/>
    </row>
    <row r="74" spans="1:16" x14ac:dyDescent="0.2">
      <c r="A74" s="1">
        <v>1</v>
      </c>
      <c r="B74" s="231" t="s">
        <v>8</v>
      </c>
      <c r="C74" s="400" t="s">
        <v>417</v>
      </c>
      <c r="D74" s="400" t="s">
        <v>8</v>
      </c>
      <c r="E74" s="400" t="s">
        <v>427</v>
      </c>
      <c r="F74" s="400" t="s">
        <v>219</v>
      </c>
      <c r="G74" s="3" t="s">
        <v>220</v>
      </c>
      <c r="H74" s="399" t="s">
        <v>399</v>
      </c>
      <c r="I74" s="2"/>
      <c r="J74" s="2"/>
      <c r="K74" s="382">
        <f>'1.4.1 Proj.real'!Q$23</f>
        <v>0</v>
      </c>
      <c r="L74" s="383"/>
      <c r="M74" s="116">
        <f>'1.4.1 Proj.real'!R$23</f>
        <v>0</v>
      </c>
      <c r="N74" s="117"/>
      <c r="O74" s="117"/>
      <c r="P74" s="117"/>
    </row>
    <row r="75" spans="1:16" x14ac:dyDescent="0.2">
      <c r="A75" s="1">
        <v>1</v>
      </c>
      <c r="B75" s="231" t="s">
        <v>8</v>
      </c>
      <c r="C75" s="400" t="s">
        <v>417</v>
      </c>
      <c r="D75" s="400" t="s">
        <v>8</v>
      </c>
      <c r="E75" s="400" t="s">
        <v>427</v>
      </c>
      <c r="F75" s="400" t="s">
        <v>221</v>
      </c>
      <c r="G75" s="3" t="s">
        <v>222</v>
      </c>
      <c r="H75" s="399" t="s">
        <v>399</v>
      </c>
      <c r="I75" s="2"/>
      <c r="J75" s="2"/>
      <c r="K75" s="382">
        <f>'1.4.1 Proj.real'!S$23</f>
        <v>0</v>
      </c>
      <c r="L75" s="383"/>
      <c r="M75" s="116">
        <f>'1.4.1 Proj.real'!T$23</f>
        <v>0</v>
      </c>
      <c r="N75" s="117"/>
      <c r="O75" s="117"/>
      <c r="P75" s="117"/>
    </row>
    <row r="76" spans="1:16" x14ac:dyDescent="0.2">
      <c r="A76" s="1">
        <v>1</v>
      </c>
      <c r="B76" s="231" t="s">
        <v>8</v>
      </c>
      <c r="C76" s="400" t="s">
        <v>417</v>
      </c>
      <c r="D76" s="400" t="s">
        <v>8</v>
      </c>
      <c r="E76" s="400" t="s">
        <v>427</v>
      </c>
      <c r="F76" s="400" t="s">
        <v>223</v>
      </c>
      <c r="G76" s="3" t="s">
        <v>224</v>
      </c>
      <c r="H76" s="399" t="s">
        <v>399</v>
      </c>
      <c r="I76" s="2"/>
      <c r="J76" s="2"/>
      <c r="K76" s="382">
        <f>'1.4.1 Proj.real'!U$23</f>
        <v>0</v>
      </c>
      <c r="L76" s="383"/>
      <c r="M76" s="116">
        <f>'1.4.1 Proj.real'!V$23</f>
        <v>0</v>
      </c>
      <c r="N76" s="117"/>
      <c r="O76" s="117"/>
      <c r="P76" s="117"/>
    </row>
    <row r="77" spans="1:16" x14ac:dyDescent="0.2">
      <c r="A77" s="1">
        <v>1</v>
      </c>
      <c r="B77" s="231" t="s">
        <v>8</v>
      </c>
      <c r="C77" s="400" t="s">
        <v>417</v>
      </c>
      <c r="D77" s="400" t="s">
        <v>8</v>
      </c>
      <c r="E77" s="400" t="s">
        <v>427</v>
      </c>
      <c r="F77" s="400" t="s">
        <v>225</v>
      </c>
      <c r="G77" s="3" t="s">
        <v>226</v>
      </c>
      <c r="H77" s="399" t="s">
        <v>399</v>
      </c>
      <c r="I77" s="2"/>
      <c r="J77" s="2"/>
      <c r="K77" s="382">
        <f>'1.4.1 Proj.real'!Y$23</f>
        <v>0</v>
      </c>
      <c r="L77" s="383"/>
      <c r="M77" s="116">
        <f>'1.4.1 Proj.real'!Z$23</f>
        <v>0</v>
      </c>
      <c r="N77" s="117"/>
      <c r="O77" s="117"/>
      <c r="P77" s="117"/>
    </row>
    <row r="78" spans="1:16" x14ac:dyDescent="0.2">
      <c r="A78" s="1">
        <v>1</v>
      </c>
      <c r="B78" s="231" t="s">
        <v>8</v>
      </c>
      <c r="C78" s="400" t="s">
        <v>417</v>
      </c>
      <c r="D78" s="400" t="s">
        <v>8</v>
      </c>
      <c r="E78" s="400" t="s">
        <v>427</v>
      </c>
      <c r="F78" s="400" t="s">
        <v>227</v>
      </c>
      <c r="G78" s="3" t="s">
        <v>228</v>
      </c>
      <c r="H78" s="399" t="s">
        <v>399</v>
      </c>
      <c r="I78" s="2"/>
      <c r="J78" s="2"/>
      <c r="K78" s="382">
        <f>'1.4.1 Proj.real'!AA$23</f>
        <v>0</v>
      </c>
      <c r="L78" s="383"/>
      <c r="M78" s="116">
        <f>'1.4.1 Proj.real'!AB$23</f>
        <v>0</v>
      </c>
      <c r="N78" s="117"/>
      <c r="O78" s="117"/>
      <c r="P78" s="117"/>
    </row>
    <row r="79" spans="1:16" x14ac:dyDescent="0.2">
      <c r="A79" s="1">
        <v>1</v>
      </c>
      <c r="B79" s="231" t="s">
        <v>8</v>
      </c>
      <c r="C79" s="400" t="s">
        <v>417</v>
      </c>
      <c r="D79" s="400" t="s">
        <v>8</v>
      </c>
      <c r="E79" s="400" t="s">
        <v>427</v>
      </c>
      <c r="F79" s="400" t="s">
        <v>232</v>
      </c>
      <c r="G79" s="3" t="s">
        <v>233</v>
      </c>
      <c r="H79" s="399" t="s">
        <v>399</v>
      </c>
      <c r="I79" s="2"/>
      <c r="J79" s="2"/>
      <c r="K79" s="382">
        <f>'1.4.1 Proj.real'!AH$23</f>
        <v>0</v>
      </c>
      <c r="L79" s="383"/>
      <c r="M79" s="116">
        <f>'1.4.1 Proj.real'!AI$23</f>
        <v>0</v>
      </c>
      <c r="N79" s="117"/>
      <c r="O79" s="117"/>
      <c r="P79" s="117"/>
    </row>
    <row r="80" spans="1:16" x14ac:dyDescent="0.2">
      <c r="A80" s="1">
        <v>1</v>
      </c>
      <c r="B80" s="231" t="s">
        <v>8</v>
      </c>
      <c r="C80" s="400" t="s">
        <v>417</v>
      </c>
      <c r="D80" s="400" t="s">
        <v>8</v>
      </c>
      <c r="E80" s="400" t="s">
        <v>427</v>
      </c>
      <c r="F80" s="400" t="s">
        <v>234</v>
      </c>
      <c r="G80" s="3" t="s">
        <v>235</v>
      </c>
      <c r="H80" s="399" t="s">
        <v>399</v>
      </c>
      <c r="I80" s="2"/>
      <c r="J80" s="2"/>
      <c r="K80" s="382">
        <f>'1.4.1 Proj.real'!AJ$23</f>
        <v>0</v>
      </c>
      <c r="L80" s="383"/>
      <c r="M80" s="116">
        <f>'1.4.1 Proj.real'!AK$23</f>
        <v>0</v>
      </c>
      <c r="N80" s="117"/>
      <c r="O80" s="117"/>
      <c r="P80" s="117"/>
    </row>
    <row r="81" spans="1:16" x14ac:dyDescent="0.2">
      <c r="A81" s="1">
        <v>1</v>
      </c>
      <c r="B81" s="231" t="s">
        <v>9</v>
      </c>
      <c r="C81" s="400" t="s">
        <v>417</v>
      </c>
      <c r="D81" s="400" t="s">
        <v>9</v>
      </c>
      <c r="E81" s="400" t="s">
        <v>448</v>
      </c>
      <c r="F81" s="400" t="s">
        <v>248</v>
      </c>
      <c r="G81" s="3" t="s">
        <v>249</v>
      </c>
      <c r="H81" s="399"/>
      <c r="I81" s="2"/>
      <c r="J81" s="2"/>
      <c r="K81" s="382">
        <f>'1.4.2 Proj.real'!L$7</f>
        <v>0</v>
      </c>
      <c r="L81" s="383"/>
      <c r="M81" s="116">
        <f>'1.4.2 Proj.real'!M$7</f>
        <v>0</v>
      </c>
      <c r="N81" s="117"/>
      <c r="O81" s="117"/>
      <c r="P81" s="117"/>
    </row>
    <row r="82" spans="1:16" x14ac:dyDescent="0.2">
      <c r="A82" s="1">
        <v>1</v>
      </c>
      <c r="B82" s="231" t="s">
        <v>9</v>
      </c>
      <c r="C82" s="400" t="s">
        <v>417</v>
      </c>
      <c r="D82" s="400" t="s">
        <v>9</v>
      </c>
      <c r="E82" s="400" t="s">
        <v>448</v>
      </c>
      <c r="F82" s="400" t="s">
        <v>250</v>
      </c>
      <c r="G82" s="3" t="s">
        <v>60</v>
      </c>
      <c r="H82" s="399" t="s">
        <v>407</v>
      </c>
      <c r="I82" s="2" t="s">
        <v>404</v>
      </c>
      <c r="J82" s="2" t="s">
        <v>483</v>
      </c>
      <c r="K82" s="382">
        <f>'1.4.2 Proj.real'!N$7</f>
        <v>205.1</v>
      </c>
      <c r="L82" s="383">
        <f>'1.4.2 Proj.real'!P7</f>
        <v>195</v>
      </c>
      <c r="M82" s="116">
        <f>'1.4.2 Proj.real'!O$7</f>
        <v>195</v>
      </c>
      <c r="N82" s="117"/>
      <c r="O82" s="117"/>
      <c r="P82" s="117"/>
    </row>
    <row r="83" spans="1:16" x14ac:dyDescent="0.2">
      <c r="A83" s="1">
        <v>1</v>
      </c>
      <c r="B83" s="231" t="s">
        <v>9</v>
      </c>
      <c r="C83" s="400" t="s">
        <v>417</v>
      </c>
      <c r="D83" s="400" t="s">
        <v>9</v>
      </c>
      <c r="E83" s="400" t="s">
        <v>448</v>
      </c>
      <c r="F83" s="400" t="s">
        <v>251</v>
      </c>
      <c r="G83" s="3" t="s">
        <v>58</v>
      </c>
      <c r="H83" s="399" t="s">
        <v>407</v>
      </c>
      <c r="I83" s="2" t="s">
        <v>404</v>
      </c>
      <c r="J83" s="2" t="s">
        <v>483</v>
      </c>
      <c r="K83" s="382">
        <f>'1.4.2 Proj.real'!Q$7</f>
        <v>12.46</v>
      </c>
      <c r="L83" s="383">
        <f>'1.4.2 Proj.real'!S7</f>
        <v>0</v>
      </c>
      <c r="M83" s="116">
        <f>'1.4.2 Proj.real'!R$7</f>
        <v>0</v>
      </c>
      <c r="N83" s="117"/>
      <c r="O83" s="117"/>
      <c r="P83" s="117"/>
    </row>
    <row r="84" spans="1:16" x14ac:dyDescent="0.2">
      <c r="A84" s="1">
        <v>1</v>
      </c>
      <c r="B84" s="231" t="s">
        <v>9</v>
      </c>
      <c r="C84" s="400" t="s">
        <v>417</v>
      </c>
      <c r="D84" s="400" t="s">
        <v>9</v>
      </c>
      <c r="E84" s="400" t="s">
        <v>448</v>
      </c>
      <c r="F84" s="400" t="s">
        <v>252</v>
      </c>
      <c r="G84" s="3" t="s">
        <v>253</v>
      </c>
      <c r="H84" s="399" t="s">
        <v>399</v>
      </c>
      <c r="I84" s="2" t="s">
        <v>404</v>
      </c>
      <c r="J84" s="2" t="s">
        <v>530</v>
      </c>
      <c r="K84" s="382">
        <f>'1.4.2 Proj.real'!T$7</f>
        <v>83</v>
      </c>
      <c r="L84" s="383">
        <f>'1.4.2 Proj.real'!V7</f>
        <v>82</v>
      </c>
      <c r="M84" s="116">
        <f>'1.4.2 Proj.real'!U$7</f>
        <v>82</v>
      </c>
      <c r="N84" s="117"/>
      <c r="O84" s="117"/>
      <c r="P84" s="117"/>
    </row>
    <row r="85" spans="1:16" x14ac:dyDescent="0.2">
      <c r="A85" s="1">
        <v>1</v>
      </c>
      <c r="B85" s="231" t="s">
        <v>9</v>
      </c>
      <c r="C85" s="400" t="s">
        <v>417</v>
      </c>
      <c r="D85" s="400" t="s">
        <v>9</v>
      </c>
      <c r="E85" s="400" t="s">
        <v>448</v>
      </c>
      <c r="F85" s="400" t="s">
        <v>254</v>
      </c>
      <c r="G85" s="3" t="s">
        <v>255</v>
      </c>
      <c r="H85" s="399" t="s">
        <v>399</v>
      </c>
      <c r="I85" s="2" t="s">
        <v>404</v>
      </c>
      <c r="J85" s="2" t="s">
        <v>530</v>
      </c>
      <c r="K85" s="382">
        <f>'1.4.2 Proj.real'!Z$7</f>
        <v>53</v>
      </c>
      <c r="L85" s="383">
        <f>'1.4.2 Proj.real'!AB7</f>
        <v>0</v>
      </c>
      <c r="M85" s="116">
        <f>'1.4.2 Proj.real'!AA$7</f>
        <v>0</v>
      </c>
      <c r="N85" s="117"/>
      <c r="O85" s="117"/>
      <c r="P85" s="117"/>
    </row>
    <row r="86" spans="1:16" x14ac:dyDescent="0.2">
      <c r="A86" s="1">
        <v>1</v>
      </c>
      <c r="B86" s="231" t="s">
        <v>9</v>
      </c>
      <c r="C86" s="400" t="s">
        <v>417</v>
      </c>
      <c r="D86" s="400" t="s">
        <v>9</v>
      </c>
      <c r="E86" s="400" t="s">
        <v>448</v>
      </c>
      <c r="F86" s="400" t="s">
        <v>256</v>
      </c>
      <c r="G86" s="3" t="s">
        <v>257</v>
      </c>
      <c r="H86" s="399"/>
      <c r="I86" s="2"/>
      <c r="J86" s="2"/>
      <c r="K86" s="382">
        <f>'1.4.2 Proj.real'!AC$7</f>
        <v>0</v>
      </c>
      <c r="L86" s="383"/>
      <c r="M86" s="116">
        <f>'1.4.2 Proj.real'!AD$7</f>
        <v>0</v>
      </c>
      <c r="N86" s="117"/>
      <c r="O86" s="117"/>
      <c r="P86" s="117"/>
    </row>
    <row r="87" spans="1:16" x14ac:dyDescent="0.2">
      <c r="A87" s="1">
        <v>1</v>
      </c>
      <c r="B87" s="231" t="s">
        <v>9</v>
      </c>
      <c r="C87" s="400" t="s">
        <v>417</v>
      </c>
      <c r="D87" s="400" t="s">
        <v>9</v>
      </c>
      <c r="E87" s="400" t="s">
        <v>448</v>
      </c>
      <c r="F87" s="400" t="s">
        <v>258</v>
      </c>
      <c r="G87" s="3" t="s">
        <v>259</v>
      </c>
      <c r="H87" s="399" t="s">
        <v>399</v>
      </c>
      <c r="I87" s="2" t="s">
        <v>404</v>
      </c>
      <c r="J87" s="2" t="s">
        <v>530</v>
      </c>
      <c r="K87" s="382">
        <f>'1.4.2 Proj.real'!AE$7</f>
        <v>20</v>
      </c>
      <c r="L87" s="383">
        <f>'1.4.2 Proj.real'!AG7</f>
        <v>0</v>
      </c>
      <c r="M87" s="116">
        <f>'1.4.2 Proj.real'!AF$7</f>
        <v>0</v>
      </c>
      <c r="N87" s="117"/>
      <c r="O87" s="117"/>
      <c r="P87" s="117"/>
    </row>
    <row r="88" spans="1:16" x14ac:dyDescent="0.2">
      <c r="A88" s="1">
        <v>1</v>
      </c>
      <c r="B88" s="231" t="s">
        <v>9</v>
      </c>
      <c r="C88" s="400" t="s">
        <v>417</v>
      </c>
      <c r="D88" s="400" t="s">
        <v>9</v>
      </c>
      <c r="E88" s="400" t="s">
        <v>431</v>
      </c>
      <c r="F88" s="400" t="s">
        <v>145</v>
      </c>
      <c r="G88" s="3" t="s">
        <v>146</v>
      </c>
      <c r="H88" s="399"/>
      <c r="I88" s="2"/>
      <c r="J88" s="2"/>
      <c r="K88" s="382">
        <f>'1.4.2 Proj.real'!W$7</f>
        <v>0</v>
      </c>
      <c r="L88" s="383"/>
      <c r="M88" s="116">
        <f>'1.4.2 Proj.real'!X$7</f>
        <v>0</v>
      </c>
      <c r="N88" s="117"/>
      <c r="O88" s="117"/>
      <c r="P88" s="117"/>
    </row>
    <row r="89" spans="1:16" ht="13.5" thickBot="1" x14ac:dyDescent="0.25">
      <c r="A89" s="1">
        <v>1</v>
      </c>
      <c r="B89" s="231" t="s">
        <v>9</v>
      </c>
      <c r="C89" s="412" t="s">
        <v>417</v>
      </c>
      <c r="D89" s="412" t="s">
        <v>9</v>
      </c>
      <c r="E89" s="412" t="s">
        <v>431</v>
      </c>
      <c r="F89" s="412" t="s">
        <v>151</v>
      </c>
      <c r="G89" s="413" t="s">
        <v>152</v>
      </c>
      <c r="H89" s="414"/>
      <c r="I89" s="415"/>
      <c r="J89" s="415"/>
      <c r="K89" s="416">
        <f>'1.4.2 Proj.real'!AH$7</f>
        <v>0</v>
      </c>
      <c r="L89" s="417"/>
      <c r="M89" s="418">
        <f>'1.4.2 Proj.real'!AI$7</f>
        <v>0</v>
      </c>
      <c r="N89" s="419"/>
      <c r="O89" s="419"/>
      <c r="P89" s="419"/>
    </row>
    <row r="90" spans="1:16" ht="13.5" thickTop="1" x14ac:dyDescent="0.2">
      <c r="A90" s="1">
        <v>2</v>
      </c>
      <c r="B90" s="231" t="s">
        <v>10</v>
      </c>
      <c r="C90" s="472" t="s">
        <v>423</v>
      </c>
      <c r="D90" s="472" t="s">
        <v>10</v>
      </c>
      <c r="E90" s="472" t="s">
        <v>453</v>
      </c>
      <c r="F90" s="472" t="s">
        <v>260</v>
      </c>
      <c r="G90" s="473" t="s">
        <v>261</v>
      </c>
      <c r="H90" s="474"/>
      <c r="I90" s="475"/>
      <c r="J90" s="475"/>
      <c r="K90" s="476"/>
      <c r="L90" s="477"/>
      <c r="M90" s="478"/>
      <c r="N90" s="479"/>
      <c r="O90" s="479"/>
      <c r="P90" s="479"/>
    </row>
    <row r="91" spans="1:16" x14ac:dyDescent="0.2">
      <c r="A91" s="1">
        <v>2</v>
      </c>
      <c r="B91" s="231" t="s">
        <v>10</v>
      </c>
      <c r="C91" s="400" t="s">
        <v>423</v>
      </c>
      <c r="D91" s="400" t="s">
        <v>10</v>
      </c>
      <c r="E91" s="400" t="s">
        <v>453</v>
      </c>
      <c r="F91" s="400" t="s">
        <v>266</v>
      </c>
      <c r="G91" s="3" t="s">
        <v>62</v>
      </c>
      <c r="H91" s="399"/>
      <c r="I91" s="2"/>
      <c r="J91" s="2"/>
      <c r="K91" s="382"/>
      <c r="L91" s="383"/>
      <c r="M91" s="116"/>
      <c r="N91" s="117"/>
      <c r="O91" s="117"/>
      <c r="P91" s="117"/>
    </row>
    <row r="92" spans="1:16" x14ac:dyDescent="0.2">
      <c r="A92" s="1">
        <v>2</v>
      </c>
      <c r="B92" s="231" t="s">
        <v>10</v>
      </c>
      <c r="C92" s="400" t="s">
        <v>423</v>
      </c>
      <c r="D92" s="400" t="s">
        <v>10</v>
      </c>
      <c r="E92" s="400" t="s">
        <v>450</v>
      </c>
      <c r="F92" s="400" t="s">
        <v>260</v>
      </c>
      <c r="G92" s="3" t="s">
        <v>261</v>
      </c>
      <c r="H92" s="399"/>
      <c r="I92" s="2"/>
      <c r="J92" s="2"/>
      <c r="K92" s="382"/>
      <c r="L92" s="383"/>
      <c r="M92" s="116"/>
      <c r="N92" s="117"/>
      <c r="O92" s="117"/>
      <c r="P92" s="117"/>
    </row>
    <row r="93" spans="1:16" x14ac:dyDescent="0.2">
      <c r="A93" s="1">
        <v>2</v>
      </c>
      <c r="B93" s="231" t="s">
        <v>10</v>
      </c>
      <c r="C93" s="400" t="s">
        <v>423</v>
      </c>
      <c r="D93" s="400" t="s">
        <v>10</v>
      </c>
      <c r="E93" s="400" t="s">
        <v>450</v>
      </c>
      <c r="F93" s="400" t="s">
        <v>266</v>
      </c>
      <c r="G93" s="3" t="s">
        <v>62</v>
      </c>
      <c r="H93" s="399"/>
      <c r="I93" s="2"/>
      <c r="J93" s="2"/>
      <c r="K93" s="382"/>
      <c r="L93" s="383"/>
      <c r="M93" s="116"/>
      <c r="N93" s="117"/>
      <c r="O93" s="117"/>
      <c r="P93" s="117"/>
    </row>
    <row r="94" spans="1:16" x14ac:dyDescent="0.2">
      <c r="A94" s="1">
        <v>2</v>
      </c>
      <c r="B94" s="231" t="s">
        <v>10</v>
      </c>
      <c r="C94" s="400" t="s">
        <v>423</v>
      </c>
      <c r="D94" s="400" t="s">
        <v>10</v>
      </c>
      <c r="E94" s="400" t="s">
        <v>454</v>
      </c>
      <c r="F94" s="400" t="s">
        <v>262</v>
      </c>
      <c r="G94" s="3" t="s">
        <v>263</v>
      </c>
      <c r="H94" s="399"/>
      <c r="I94" s="2"/>
      <c r="J94" s="2"/>
      <c r="K94" s="382"/>
      <c r="L94" s="383"/>
      <c r="M94" s="116"/>
      <c r="N94" s="117"/>
      <c r="O94" s="117"/>
      <c r="P94" s="117"/>
    </row>
    <row r="95" spans="1:16" x14ac:dyDescent="0.2">
      <c r="A95" s="1">
        <v>2</v>
      </c>
      <c r="B95" s="231" t="s">
        <v>10</v>
      </c>
      <c r="C95" s="400" t="s">
        <v>423</v>
      </c>
      <c r="D95" s="400" t="s">
        <v>10</v>
      </c>
      <c r="E95" s="400" t="s">
        <v>454</v>
      </c>
      <c r="F95" s="400" t="s">
        <v>267</v>
      </c>
      <c r="G95" s="3" t="s">
        <v>64</v>
      </c>
      <c r="H95" s="399"/>
      <c r="I95" s="2"/>
      <c r="J95" s="2"/>
      <c r="K95" s="382"/>
      <c r="L95" s="383"/>
      <c r="M95" s="116"/>
      <c r="N95" s="117"/>
      <c r="O95" s="117"/>
      <c r="P95" s="117"/>
    </row>
    <row r="96" spans="1:16" ht="25.5" x14ac:dyDescent="0.2">
      <c r="A96" s="1">
        <v>2</v>
      </c>
      <c r="B96" s="231" t="s">
        <v>10</v>
      </c>
      <c r="C96" s="400" t="s">
        <v>423</v>
      </c>
      <c r="D96" s="400" t="s">
        <v>10</v>
      </c>
      <c r="E96" s="400" t="s">
        <v>449</v>
      </c>
      <c r="F96" s="400" t="s">
        <v>264</v>
      </c>
      <c r="G96" s="3" t="s">
        <v>66</v>
      </c>
      <c r="H96" s="399"/>
      <c r="I96" s="2"/>
      <c r="J96" s="2"/>
      <c r="K96" s="382"/>
      <c r="L96" s="383"/>
      <c r="M96" s="116"/>
      <c r="N96" s="117"/>
      <c r="O96" s="117"/>
      <c r="P96" s="117"/>
    </row>
    <row r="97" spans="1:16" ht="25.5" x14ac:dyDescent="0.2">
      <c r="A97" s="1">
        <v>2</v>
      </c>
      <c r="B97" s="231" t="s">
        <v>10</v>
      </c>
      <c r="C97" s="400" t="s">
        <v>423</v>
      </c>
      <c r="D97" s="400" t="s">
        <v>10</v>
      </c>
      <c r="E97" s="400" t="s">
        <v>455</v>
      </c>
      <c r="F97" s="400" t="s">
        <v>265</v>
      </c>
      <c r="G97" s="3" t="s">
        <v>68</v>
      </c>
      <c r="H97" s="399"/>
      <c r="I97" s="2"/>
      <c r="J97" s="2"/>
      <c r="K97" s="382"/>
      <c r="L97" s="383"/>
      <c r="M97" s="116"/>
      <c r="N97" s="117"/>
      <c r="O97" s="117"/>
      <c r="P97" s="117"/>
    </row>
    <row r="98" spans="1:16" x14ac:dyDescent="0.2">
      <c r="A98" s="1">
        <v>2</v>
      </c>
      <c r="B98" s="231" t="s">
        <v>10</v>
      </c>
      <c r="C98" s="400" t="s">
        <v>423</v>
      </c>
      <c r="D98" s="400" t="s">
        <v>10</v>
      </c>
      <c r="E98" s="400" t="s">
        <v>432</v>
      </c>
      <c r="F98" s="400" t="s">
        <v>145</v>
      </c>
      <c r="G98" s="3" t="s">
        <v>146</v>
      </c>
      <c r="H98" s="399"/>
      <c r="I98" s="2"/>
      <c r="J98" s="2"/>
      <c r="K98" s="382"/>
      <c r="L98" s="383"/>
      <c r="M98" s="116"/>
      <c r="N98" s="117"/>
      <c r="O98" s="117"/>
      <c r="P98" s="117"/>
    </row>
    <row r="99" spans="1:16" x14ac:dyDescent="0.2">
      <c r="A99" s="1">
        <v>2</v>
      </c>
      <c r="B99" s="231" t="s">
        <v>10</v>
      </c>
      <c r="C99" s="400" t="s">
        <v>423</v>
      </c>
      <c r="D99" s="400" t="s">
        <v>10</v>
      </c>
      <c r="E99" s="400" t="s">
        <v>432</v>
      </c>
      <c r="F99" s="400" t="s">
        <v>151</v>
      </c>
      <c r="G99" s="3" t="s">
        <v>152</v>
      </c>
      <c r="H99" s="399"/>
      <c r="I99" s="2"/>
      <c r="J99" s="2"/>
      <c r="K99" s="382"/>
      <c r="L99" s="383"/>
      <c r="M99" s="116"/>
      <c r="N99" s="117"/>
      <c r="O99" s="117"/>
      <c r="P99" s="117"/>
    </row>
    <row r="100" spans="1:16" ht="25.5" x14ac:dyDescent="0.2">
      <c r="A100" s="1">
        <v>2</v>
      </c>
      <c r="B100" s="231" t="s">
        <v>11</v>
      </c>
      <c r="C100" s="400" t="s">
        <v>423</v>
      </c>
      <c r="D100" s="400" t="s">
        <v>11</v>
      </c>
      <c r="E100" s="400" t="s">
        <v>451</v>
      </c>
      <c r="F100" s="400" t="s">
        <v>268</v>
      </c>
      <c r="G100" s="3" t="s">
        <v>269</v>
      </c>
      <c r="H100" s="399"/>
      <c r="I100" s="2"/>
      <c r="J100" s="2"/>
      <c r="K100" s="382"/>
      <c r="L100" s="383"/>
      <c r="M100" s="116"/>
      <c r="N100" s="117"/>
      <c r="O100" s="117"/>
      <c r="P100" s="117"/>
    </row>
    <row r="101" spans="1:16" x14ac:dyDescent="0.2">
      <c r="A101" s="1">
        <v>2</v>
      </c>
      <c r="B101" s="231" t="s">
        <v>11</v>
      </c>
      <c r="C101" s="400" t="s">
        <v>423</v>
      </c>
      <c r="D101" s="400" t="s">
        <v>11</v>
      </c>
      <c r="E101" s="400" t="s">
        <v>451</v>
      </c>
      <c r="F101" s="400" t="s">
        <v>270</v>
      </c>
      <c r="G101" s="3" t="s">
        <v>249</v>
      </c>
      <c r="H101" s="399"/>
      <c r="I101" s="2"/>
      <c r="J101" s="2"/>
      <c r="K101" s="382"/>
      <c r="L101" s="383"/>
      <c r="M101" s="116"/>
      <c r="N101" s="117"/>
      <c r="O101" s="117"/>
      <c r="P101" s="117"/>
    </row>
    <row r="102" spans="1:16" ht="25.5" x14ac:dyDescent="0.2">
      <c r="A102" s="1">
        <v>2</v>
      </c>
      <c r="B102" s="231" t="s">
        <v>11</v>
      </c>
      <c r="C102" s="400" t="s">
        <v>423</v>
      </c>
      <c r="D102" s="400" t="s">
        <v>11</v>
      </c>
      <c r="E102" s="400" t="s">
        <v>451</v>
      </c>
      <c r="F102" s="400" t="s">
        <v>271</v>
      </c>
      <c r="G102" s="3" t="s">
        <v>272</v>
      </c>
      <c r="H102" s="399"/>
      <c r="I102" s="2"/>
      <c r="J102" s="2"/>
      <c r="K102" s="382"/>
      <c r="L102" s="383"/>
      <c r="M102" s="116"/>
      <c r="N102" s="117"/>
      <c r="O102" s="117"/>
      <c r="P102" s="117"/>
    </row>
    <row r="103" spans="1:16" ht="13.5" thickBot="1" x14ac:dyDescent="0.25">
      <c r="A103" s="1">
        <v>2</v>
      </c>
      <c r="B103" s="231" t="s">
        <v>11</v>
      </c>
      <c r="C103" s="412" t="s">
        <v>423</v>
      </c>
      <c r="D103" s="412" t="s">
        <v>11</v>
      </c>
      <c r="E103" s="412" t="s">
        <v>451</v>
      </c>
      <c r="F103" s="412" t="s">
        <v>273</v>
      </c>
      <c r="G103" s="413" t="s">
        <v>274</v>
      </c>
      <c r="H103" s="414"/>
      <c r="I103" s="415"/>
      <c r="J103" s="415"/>
      <c r="K103" s="416"/>
      <c r="L103" s="417"/>
      <c r="M103" s="418"/>
      <c r="N103" s="419"/>
      <c r="O103" s="419"/>
      <c r="P103" s="419"/>
    </row>
    <row r="104" spans="1:16" ht="26.25" thickTop="1" x14ac:dyDescent="0.2">
      <c r="A104" s="1">
        <v>3</v>
      </c>
      <c r="B104" s="231" t="s">
        <v>13</v>
      </c>
      <c r="C104" s="403" t="s">
        <v>443</v>
      </c>
      <c r="D104" s="403" t="s">
        <v>13</v>
      </c>
      <c r="E104" s="403" t="s">
        <v>457</v>
      </c>
      <c r="F104" s="403" t="s">
        <v>279</v>
      </c>
      <c r="G104" s="404" t="s">
        <v>280</v>
      </c>
      <c r="H104" s="405"/>
      <c r="I104" s="406"/>
      <c r="J104" s="406"/>
      <c r="K104" s="407"/>
      <c r="L104" s="408"/>
      <c r="M104" s="409"/>
      <c r="N104" s="410"/>
      <c r="O104" s="410"/>
      <c r="P104" s="410"/>
    </row>
    <row r="105" spans="1:16" ht="25.5" x14ac:dyDescent="0.2">
      <c r="A105" s="1">
        <v>3</v>
      </c>
      <c r="B105" s="231" t="s">
        <v>13</v>
      </c>
      <c r="C105" s="231" t="s">
        <v>443</v>
      </c>
      <c r="D105" s="231" t="s">
        <v>13</v>
      </c>
      <c r="E105" s="231" t="s">
        <v>457</v>
      </c>
      <c r="F105" s="231" t="s">
        <v>281</v>
      </c>
      <c r="G105" s="3" t="s">
        <v>282</v>
      </c>
      <c r="H105" s="268"/>
      <c r="I105" s="2"/>
      <c r="J105" s="2"/>
      <c r="K105" s="382"/>
      <c r="L105" s="383"/>
      <c r="M105" s="116"/>
      <c r="N105" s="117"/>
      <c r="O105" s="117"/>
      <c r="P105" s="117"/>
    </row>
    <row r="106" spans="1:16" x14ac:dyDescent="0.2">
      <c r="A106" s="1">
        <v>3</v>
      </c>
      <c r="B106" s="231" t="s">
        <v>13</v>
      </c>
      <c r="C106" s="231" t="s">
        <v>443</v>
      </c>
      <c r="D106" s="231" t="s">
        <v>13</v>
      </c>
      <c r="E106" s="231" t="s">
        <v>457</v>
      </c>
      <c r="F106" s="231" t="s">
        <v>283</v>
      </c>
      <c r="G106" s="3" t="s">
        <v>284</v>
      </c>
      <c r="H106" s="268"/>
      <c r="I106" s="2"/>
      <c r="J106" s="2"/>
      <c r="K106" s="382"/>
      <c r="L106" s="383"/>
      <c r="M106" s="116"/>
      <c r="N106" s="117"/>
      <c r="O106" s="117"/>
      <c r="P106" s="117"/>
    </row>
    <row r="107" spans="1:16" ht="25.5" x14ac:dyDescent="0.2">
      <c r="A107" s="1">
        <v>3</v>
      </c>
      <c r="B107" s="231" t="s">
        <v>13</v>
      </c>
      <c r="C107" s="231" t="s">
        <v>443</v>
      </c>
      <c r="D107" s="231" t="s">
        <v>13</v>
      </c>
      <c r="E107" s="231" t="s">
        <v>457</v>
      </c>
      <c r="F107" s="231" t="s">
        <v>285</v>
      </c>
      <c r="G107" s="3" t="s">
        <v>286</v>
      </c>
      <c r="H107" s="268"/>
      <c r="I107" s="2"/>
      <c r="J107" s="2"/>
      <c r="K107" s="382"/>
      <c r="L107" s="383"/>
      <c r="M107" s="116"/>
      <c r="N107" s="117"/>
      <c r="O107" s="117"/>
      <c r="P107" s="117"/>
    </row>
    <row r="108" spans="1:16" ht="25.5" x14ac:dyDescent="0.2">
      <c r="A108" s="1">
        <v>3</v>
      </c>
      <c r="B108" s="231" t="s">
        <v>13</v>
      </c>
      <c r="C108" s="231" t="s">
        <v>443</v>
      </c>
      <c r="D108" s="231" t="s">
        <v>13</v>
      </c>
      <c r="E108" s="231" t="s">
        <v>457</v>
      </c>
      <c r="F108" s="231" t="s">
        <v>292</v>
      </c>
      <c r="G108" s="3" t="s">
        <v>70</v>
      </c>
      <c r="H108" s="268"/>
      <c r="I108" s="2"/>
      <c r="J108" s="2"/>
      <c r="K108" s="382"/>
      <c r="L108" s="383"/>
      <c r="M108" s="116"/>
      <c r="N108" s="117"/>
      <c r="O108" s="117"/>
      <c r="P108" s="117"/>
    </row>
    <row r="109" spans="1:16" ht="25.5" x14ac:dyDescent="0.2">
      <c r="A109" s="1">
        <v>3</v>
      </c>
      <c r="B109" s="231" t="s">
        <v>13</v>
      </c>
      <c r="C109" s="231" t="s">
        <v>443</v>
      </c>
      <c r="D109" s="231" t="s">
        <v>13</v>
      </c>
      <c r="E109" s="231" t="s">
        <v>452</v>
      </c>
      <c r="F109" s="231" t="s">
        <v>275</v>
      </c>
      <c r="G109" s="3" t="s">
        <v>276</v>
      </c>
      <c r="H109" s="268"/>
      <c r="I109" s="2"/>
      <c r="J109" s="2"/>
      <c r="K109" s="382"/>
      <c r="L109" s="383"/>
      <c r="M109" s="116"/>
      <c r="N109" s="117"/>
      <c r="O109" s="117"/>
      <c r="P109" s="117"/>
    </row>
    <row r="110" spans="1:16" x14ac:dyDescent="0.2">
      <c r="A110" s="1">
        <v>3</v>
      </c>
      <c r="B110" s="231" t="s">
        <v>13</v>
      </c>
      <c r="C110" s="231" t="s">
        <v>443</v>
      </c>
      <c r="D110" s="231" t="s">
        <v>13</v>
      </c>
      <c r="E110" s="231" t="s">
        <v>452</v>
      </c>
      <c r="F110" s="231" t="s">
        <v>277</v>
      </c>
      <c r="G110" s="3" t="s">
        <v>278</v>
      </c>
      <c r="H110" s="268"/>
      <c r="I110" s="2"/>
      <c r="J110" s="2"/>
      <c r="K110" s="382"/>
      <c r="L110" s="383"/>
      <c r="M110" s="116"/>
      <c r="N110" s="117"/>
      <c r="O110" s="117"/>
      <c r="P110" s="117"/>
    </row>
    <row r="111" spans="1:16" x14ac:dyDescent="0.2">
      <c r="A111" s="1">
        <v>3</v>
      </c>
      <c r="B111" s="231" t="s">
        <v>13</v>
      </c>
      <c r="C111" s="231" t="s">
        <v>443</v>
      </c>
      <c r="D111" s="231" t="s">
        <v>13</v>
      </c>
      <c r="E111" s="231" t="s">
        <v>452</v>
      </c>
      <c r="F111" s="231" t="s">
        <v>283</v>
      </c>
      <c r="G111" s="3" t="s">
        <v>284</v>
      </c>
      <c r="H111" s="268"/>
      <c r="I111" s="2"/>
      <c r="J111" s="2"/>
      <c r="K111" s="382"/>
      <c r="L111" s="383"/>
      <c r="M111" s="116"/>
      <c r="N111" s="117"/>
      <c r="O111" s="117"/>
      <c r="P111" s="117"/>
    </row>
    <row r="112" spans="1:16" ht="25.5" x14ac:dyDescent="0.2">
      <c r="A112" s="1">
        <v>3</v>
      </c>
      <c r="B112" s="231" t="s">
        <v>13</v>
      </c>
      <c r="C112" s="231" t="s">
        <v>443</v>
      </c>
      <c r="D112" s="231" t="s">
        <v>13</v>
      </c>
      <c r="E112" s="231" t="s">
        <v>452</v>
      </c>
      <c r="F112" s="231" t="s">
        <v>287</v>
      </c>
      <c r="G112" s="3" t="s">
        <v>288</v>
      </c>
      <c r="H112" s="268"/>
      <c r="I112" s="2"/>
      <c r="J112" s="2"/>
      <c r="K112" s="382"/>
      <c r="L112" s="383"/>
      <c r="M112" s="116"/>
      <c r="N112" s="117"/>
      <c r="O112" s="117"/>
      <c r="P112" s="117"/>
    </row>
    <row r="113" spans="1:16" x14ac:dyDescent="0.2">
      <c r="A113" s="1">
        <v>3</v>
      </c>
      <c r="B113" s="231" t="s">
        <v>13</v>
      </c>
      <c r="C113" s="231" t="s">
        <v>443</v>
      </c>
      <c r="D113" s="231" t="s">
        <v>13</v>
      </c>
      <c r="E113" s="231" t="s">
        <v>452</v>
      </c>
      <c r="F113" s="231" t="s">
        <v>289</v>
      </c>
      <c r="G113" s="3" t="s">
        <v>72</v>
      </c>
      <c r="H113" s="268"/>
      <c r="I113" s="2"/>
      <c r="J113" s="2"/>
      <c r="K113" s="382"/>
      <c r="L113" s="383"/>
      <c r="M113" s="116"/>
      <c r="N113" s="117"/>
      <c r="O113" s="117"/>
      <c r="P113" s="117"/>
    </row>
    <row r="114" spans="1:16" x14ac:dyDescent="0.2">
      <c r="A114" s="1">
        <v>3</v>
      </c>
      <c r="B114" s="231" t="s">
        <v>13</v>
      </c>
      <c r="C114" s="231" t="s">
        <v>443</v>
      </c>
      <c r="D114" s="231" t="s">
        <v>13</v>
      </c>
      <c r="E114" s="231" t="s">
        <v>452</v>
      </c>
      <c r="F114" s="231" t="s">
        <v>290</v>
      </c>
      <c r="G114" s="3" t="s">
        <v>291</v>
      </c>
      <c r="H114" s="268"/>
      <c r="I114" s="2"/>
      <c r="J114" s="2"/>
      <c r="K114" s="382"/>
      <c r="L114" s="383"/>
      <c r="M114" s="116"/>
      <c r="N114" s="117"/>
      <c r="O114" s="117"/>
      <c r="P114" s="117"/>
    </row>
    <row r="115" spans="1:16" x14ac:dyDescent="0.2">
      <c r="A115" s="1">
        <v>3</v>
      </c>
      <c r="B115" s="231" t="s">
        <v>16</v>
      </c>
      <c r="C115" s="231" t="s">
        <v>443</v>
      </c>
      <c r="D115" s="231" t="s">
        <v>16</v>
      </c>
      <c r="E115" s="231" t="s">
        <v>456</v>
      </c>
      <c r="F115" s="231" t="s">
        <v>270</v>
      </c>
      <c r="G115" s="3" t="s">
        <v>249</v>
      </c>
      <c r="H115" s="268"/>
      <c r="I115" s="2"/>
      <c r="J115" s="2"/>
      <c r="K115" s="382"/>
      <c r="L115" s="383"/>
      <c r="M115" s="116"/>
      <c r="N115" s="117"/>
      <c r="O115" s="117"/>
      <c r="P115" s="117"/>
    </row>
    <row r="116" spans="1:16" x14ac:dyDescent="0.2">
      <c r="A116" s="1">
        <v>3</v>
      </c>
      <c r="B116" s="231" t="s">
        <v>16</v>
      </c>
      <c r="C116" s="231" t="s">
        <v>443</v>
      </c>
      <c r="D116" s="231" t="s">
        <v>16</v>
      </c>
      <c r="E116" s="231" t="s">
        <v>456</v>
      </c>
      <c r="F116" s="231" t="s">
        <v>294</v>
      </c>
      <c r="G116" s="3" t="s">
        <v>295</v>
      </c>
      <c r="H116" s="268"/>
      <c r="I116" s="2"/>
      <c r="J116" s="2"/>
      <c r="K116" s="382"/>
      <c r="L116" s="383"/>
      <c r="M116" s="116"/>
      <c r="N116" s="117"/>
      <c r="O116" s="117"/>
      <c r="P116" s="117"/>
    </row>
    <row r="117" spans="1:16" x14ac:dyDescent="0.2">
      <c r="A117" s="1">
        <v>3</v>
      </c>
      <c r="B117" s="231" t="s">
        <v>16</v>
      </c>
      <c r="C117" s="231" t="s">
        <v>443</v>
      </c>
      <c r="D117" s="231" t="s">
        <v>16</v>
      </c>
      <c r="E117" s="231" t="s">
        <v>456</v>
      </c>
      <c r="F117" s="231" t="s">
        <v>296</v>
      </c>
      <c r="G117" s="3" t="s">
        <v>74</v>
      </c>
      <c r="H117" s="268"/>
      <c r="I117" s="2"/>
      <c r="J117" s="2"/>
      <c r="K117" s="382"/>
      <c r="L117" s="383"/>
      <c r="M117" s="116"/>
      <c r="N117" s="117"/>
      <c r="O117" s="117"/>
      <c r="P117" s="117"/>
    </row>
    <row r="118" spans="1:16" x14ac:dyDescent="0.2">
      <c r="A118" s="1">
        <v>3</v>
      </c>
      <c r="B118" s="231" t="s">
        <v>16</v>
      </c>
      <c r="C118" s="231" t="s">
        <v>443</v>
      </c>
      <c r="D118" s="231" t="s">
        <v>16</v>
      </c>
      <c r="E118" s="231" t="s">
        <v>456</v>
      </c>
      <c r="F118" s="231" t="s">
        <v>297</v>
      </c>
      <c r="G118" s="3" t="s">
        <v>298</v>
      </c>
      <c r="H118" s="268"/>
      <c r="I118" s="2"/>
      <c r="J118" s="2"/>
      <c r="K118" s="382"/>
      <c r="L118" s="383"/>
      <c r="M118" s="116"/>
      <c r="N118" s="117"/>
      <c r="O118" s="117"/>
      <c r="P118" s="117"/>
    </row>
    <row r="119" spans="1:16" x14ac:dyDescent="0.2">
      <c r="A119" s="1">
        <v>3</v>
      </c>
      <c r="B119" s="231" t="s">
        <v>16</v>
      </c>
      <c r="C119" s="231" t="s">
        <v>443</v>
      </c>
      <c r="D119" s="231" t="s">
        <v>16</v>
      </c>
      <c r="E119" s="231" t="s">
        <v>456</v>
      </c>
      <c r="F119" s="231" t="s">
        <v>299</v>
      </c>
      <c r="G119" s="3" t="s">
        <v>300</v>
      </c>
      <c r="H119" s="268"/>
      <c r="I119" s="2"/>
      <c r="J119" s="2"/>
      <c r="K119" s="382"/>
      <c r="L119" s="383"/>
      <c r="M119" s="116"/>
      <c r="N119" s="117"/>
      <c r="O119" s="117"/>
      <c r="P119" s="117"/>
    </row>
    <row r="120" spans="1:16" x14ac:dyDescent="0.2">
      <c r="A120" s="1">
        <v>3</v>
      </c>
      <c r="B120" s="231" t="s">
        <v>16</v>
      </c>
      <c r="C120" s="231" t="s">
        <v>443</v>
      </c>
      <c r="D120" s="231" t="s">
        <v>16</v>
      </c>
      <c r="E120" s="231" t="s">
        <v>456</v>
      </c>
      <c r="F120" s="231" t="s">
        <v>301</v>
      </c>
      <c r="G120" s="3" t="s">
        <v>302</v>
      </c>
      <c r="H120" s="268"/>
      <c r="I120" s="2"/>
      <c r="J120" s="2"/>
      <c r="K120" s="382"/>
      <c r="L120" s="383"/>
      <c r="M120" s="116"/>
      <c r="N120" s="117"/>
      <c r="O120" s="117"/>
      <c r="P120" s="117"/>
    </row>
    <row r="121" spans="1:16" x14ac:dyDescent="0.2">
      <c r="A121" s="1">
        <v>3</v>
      </c>
      <c r="B121" s="231" t="s">
        <v>16</v>
      </c>
      <c r="C121" s="231" t="s">
        <v>443</v>
      </c>
      <c r="D121" s="231" t="s">
        <v>16</v>
      </c>
      <c r="E121" s="231" t="s">
        <v>456</v>
      </c>
      <c r="F121" s="231" t="s">
        <v>305</v>
      </c>
      <c r="G121" s="3" t="s">
        <v>306</v>
      </c>
      <c r="H121" s="268"/>
      <c r="I121" s="2"/>
      <c r="J121" s="2"/>
      <c r="K121" s="382"/>
      <c r="L121" s="383"/>
      <c r="M121" s="116"/>
      <c r="N121" s="117"/>
      <c r="O121" s="117"/>
      <c r="P121" s="117"/>
    </row>
    <row r="122" spans="1:16" x14ac:dyDescent="0.2">
      <c r="A122" s="1">
        <v>3</v>
      </c>
      <c r="B122" s="231" t="s">
        <v>16</v>
      </c>
      <c r="C122" s="231" t="s">
        <v>443</v>
      </c>
      <c r="D122" s="231" t="s">
        <v>16</v>
      </c>
      <c r="E122" s="231" t="s">
        <v>456</v>
      </c>
      <c r="F122" s="231" t="s">
        <v>307</v>
      </c>
      <c r="G122" s="3" t="s">
        <v>308</v>
      </c>
      <c r="H122" s="268"/>
      <c r="I122" s="2"/>
      <c r="J122" s="2"/>
      <c r="K122" s="382"/>
      <c r="L122" s="383"/>
      <c r="M122" s="116"/>
      <c r="N122" s="117"/>
      <c r="O122" s="117"/>
      <c r="P122" s="117"/>
    </row>
    <row r="123" spans="1:16" x14ac:dyDescent="0.2">
      <c r="A123" s="1">
        <v>3</v>
      </c>
      <c r="B123" s="231" t="s">
        <v>16</v>
      </c>
      <c r="C123" s="231" t="s">
        <v>443</v>
      </c>
      <c r="D123" s="231" t="s">
        <v>16</v>
      </c>
      <c r="E123" s="231" t="s">
        <v>456</v>
      </c>
      <c r="F123" s="231" t="s">
        <v>309</v>
      </c>
      <c r="G123" s="3" t="s">
        <v>310</v>
      </c>
      <c r="H123" s="268"/>
      <c r="I123" s="2"/>
      <c r="J123" s="2"/>
      <c r="K123" s="382"/>
      <c r="L123" s="383"/>
      <c r="M123" s="116"/>
      <c r="N123" s="117"/>
      <c r="O123" s="117"/>
      <c r="P123" s="117"/>
    </row>
    <row r="124" spans="1:16" x14ac:dyDescent="0.2">
      <c r="A124" s="1">
        <v>3</v>
      </c>
      <c r="B124" s="231" t="s">
        <v>16</v>
      </c>
      <c r="C124" s="231" t="s">
        <v>443</v>
      </c>
      <c r="D124" s="231" t="s">
        <v>16</v>
      </c>
      <c r="E124" s="231" t="s">
        <v>458</v>
      </c>
      <c r="F124" s="231" t="s">
        <v>293</v>
      </c>
      <c r="G124" s="3" t="s">
        <v>76</v>
      </c>
      <c r="H124" s="268"/>
      <c r="I124" s="2"/>
      <c r="J124" s="2"/>
      <c r="K124" s="382"/>
      <c r="L124" s="383"/>
      <c r="M124" s="116"/>
      <c r="N124" s="117"/>
      <c r="O124" s="117"/>
      <c r="P124" s="117"/>
    </row>
    <row r="125" spans="1:16" x14ac:dyDescent="0.2">
      <c r="A125" s="1">
        <v>3</v>
      </c>
      <c r="B125" s="231" t="s">
        <v>16</v>
      </c>
      <c r="C125" s="231" t="s">
        <v>443</v>
      </c>
      <c r="D125" s="231" t="s">
        <v>16</v>
      </c>
      <c r="E125" s="231" t="s">
        <v>458</v>
      </c>
      <c r="F125" s="231" t="s">
        <v>303</v>
      </c>
      <c r="G125" s="3" t="s">
        <v>304</v>
      </c>
      <c r="H125" s="268"/>
      <c r="I125" s="2"/>
      <c r="J125" s="2"/>
      <c r="K125" s="382"/>
      <c r="L125" s="383"/>
      <c r="M125" s="116"/>
      <c r="N125" s="117"/>
      <c r="O125" s="117"/>
      <c r="P125" s="117"/>
    </row>
    <row r="126" spans="1:16" x14ac:dyDescent="0.2">
      <c r="A126" s="1">
        <v>3</v>
      </c>
      <c r="B126" s="231" t="s">
        <v>17</v>
      </c>
      <c r="C126" s="231" t="s">
        <v>443</v>
      </c>
      <c r="D126" s="231" t="s">
        <v>17</v>
      </c>
      <c r="E126" s="231" t="s">
        <v>444</v>
      </c>
      <c r="F126" s="231" t="s">
        <v>311</v>
      </c>
      <c r="G126" s="3" t="s">
        <v>12</v>
      </c>
      <c r="H126" s="268"/>
      <c r="I126" s="2"/>
      <c r="J126" s="2"/>
      <c r="K126" s="382"/>
      <c r="L126" s="383"/>
      <c r="M126" s="116"/>
      <c r="N126" s="117"/>
      <c r="O126" s="117"/>
      <c r="P126" s="117"/>
    </row>
    <row r="127" spans="1:16" x14ac:dyDescent="0.2">
      <c r="A127" s="1">
        <v>3</v>
      </c>
      <c r="B127" s="231" t="s">
        <v>17</v>
      </c>
      <c r="C127" s="231" t="s">
        <v>443</v>
      </c>
      <c r="D127" s="231" t="s">
        <v>17</v>
      </c>
      <c r="E127" s="231" t="s">
        <v>444</v>
      </c>
      <c r="F127" s="231" t="s">
        <v>312</v>
      </c>
      <c r="G127" s="3" t="s">
        <v>313</v>
      </c>
      <c r="H127" s="268"/>
      <c r="I127" s="2"/>
      <c r="J127" s="2"/>
      <c r="K127" s="382"/>
      <c r="L127" s="383"/>
      <c r="M127" s="116"/>
      <c r="N127" s="117"/>
      <c r="O127" s="117"/>
      <c r="P127" s="117"/>
    </row>
    <row r="128" spans="1:16" x14ac:dyDescent="0.2">
      <c r="A128" s="1">
        <v>3</v>
      </c>
      <c r="B128" s="231" t="s">
        <v>17</v>
      </c>
      <c r="C128" s="231" t="s">
        <v>443</v>
      </c>
      <c r="D128" s="231" t="s">
        <v>17</v>
      </c>
      <c r="E128" s="231" t="s">
        <v>444</v>
      </c>
      <c r="F128" s="231" t="s">
        <v>180</v>
      </c>
      <c r="G128" s="3" t="s">
        <v>181</v>
      </c>
      <c r="H128" s="268"/>
      <c r="I128" s="2"/>
      <c r="J128" s="2"/>
      <c r="K128" s="382"/>
      <c r="L128" s="383"/>
      <c r="M128" s="116"/>
      <c r="N128" s="117"/>
      <c r="O128" s="117"/>
      <c r="P128" s="117"/>
    </row>
    <row r="129" spans="1:16" ht="25.5" x14ac:dyDescent="0.2">
      <c r="A129" s="1">
        <v>3</v>
      </c>
      <c r="B129" s="231" t="s">
        <v>17</v>
      </c>
      <c r="C129" s="231" t="s">
        <v>443</v>
      </c>
      <c r="D129" s="231" t="s">
        <v>17</v>
      </c>
      <c r="E129" s="231" t="s">
        <v>444</v>
      </c>
      <c r="F129" s="231" t="s">
        <v>314</v>
      </c>
      <c r="G129" s="3" t="s">
        <v>315</v>
      </c>
      <c r="H129" s="268"/>
      <c r="I129" s="2"/>
      <c r="J129" s="2"/>
      <c r="K129" s="382"/>
      <c r="L129" s="383"/>
      <c r="M129" s="116"/>
      <c r="N129" s="117"/>
      <c r="O129" s="117"/>
      <c r="P129" s="117"/>
    </row>
    <row r="130" spans="1:16" x14ac:dyDescent="0.2">
      <c r="A130" s="1">
        <v>3</v>
      </c>
      <c r="B130" s="231" t="s">
        <v>17</v>
      </c>
      <c r="C130" s="231" t="s">
        <v>443</v>
      </c>
      <c r="D130" s="231" t="s">
        <v>17</v>
      </c>
      <c r="E130" s="231" t="s">
        <v>444</v>
      </c>
      <c r="F130" s="231" t="s">
        <v>293</v>
      </c>
      <c r="G130" s="3" t="s">
        <v>78</v>
      </c>
      <c r="H130" s="268"/>
      <c r="I130" s="2"/>
      <c r="J130" s="2"/>
      <c r="K130" s="382"/>
      <c r="L130" s="383"/>
      <c r="M130" s="116"/>
      <c r="N130" s="117"/>
      <c r="O130" s="117"/>
      <c r="P130" s="117"/>
    </row>
    <row r="131" spans="1:16" x14ac:dyDescent="0.2">
      <c r="A131" s="1">
        <v>3</v>
      </c>
      <c r="B131" s="231" t="s">
        <v>17</v>
      </c>
      <c r="C131" s="231" t="s">
        <v>443</v>
      </c>
      <c r="D131" s="231" t="s">
        <v>17</v>
      </c>
      <c r="E131" s="231" t="s">
        <v>444</v>
      </c>
      <c r="F131" s="231" t="s">
        <v>317</v>
      </c>
      <c r="G131" s="3" t="s">
        <v>318</v>
      </c>
      <c r="H131" s="268"/>
      <c r="I131" s="2"/>
      <c r="J131" s="2"/>
      <c r="K131" s="382"/>
      <c r="L131" s="383"/>
      <c r="M131" s="116"/>
      <c r="N131" s="117"/>
      <c r="O131" s="117"/>
      <c r="P131" s="117"/>
    </row>
    <row r="132" spans="1:16" x14ac:dyDescent="0.2">
      <c r="A132" s="1">
        <v>3</v>
      </c>
      <c r="B132" s="231" t="s">
        <v>17</v>
      </c>
      <c r="C132" s="231" t="s">
        <v>443</v>
      </c>
      <c r="D132" s="231" t="s">
        <v>17</v>
      </c>
      <c r="E132" s="231" t="s">
        <v>444</v>
      </c>
      <c r="F132" s="231" t="s">
        <v>319</v>
      </c>
      <c r="G132" s="3" t="s">
        <v>320</v>
      </c>
      <c r="H132" s="268"/>
      <c r="I132" s="2"/>
      <c r="J132" s="2"/>
      <c r="K132" s="382"/>
      <c r="L132" s="383"/>
      <c r="M132" s="116"/>
      <c r="N132" s="117"/>
      <c r="O132" s="117"/>
      <c r="P132" s="117"/>
    </row>
    <row r="133" spans="1:16" x14ac:dyDescent="0.2">
      <c r="A133" s="1">
        <v>3</v>
      </c>
      <c r="B133" s="231" t="s">
        <v>17</v>
      </c>
      <c r="C133" s="231" t="s">
        <v>443</v>
      </c>
      <c r="D133" s="231" t="s">
        <v>17</v>
      </c>
      <c r="E133" s="231" t="s">
        <v>444</v>
      </c>
      <c r="F133" s="231" t="s">
        <v>321</v>
      </c>
      <c r="G133" s="3" t="s">
        <v>322</v>
      </c>
      <c r="H133" s="268"/>
      <c r="I133" s="2"/>
      <c r="J133" s="2"/>
      <c r="K133" s="382"/>
      <c r="L133" s="383"/>
      <c r="M133" s="116"/>
      <c r="N133" s="117"/>
      <c r="O133" s="117"/>
      <c r="P133" s="117"/>
    </row>
    <row r="134" spans="1:16" x14ac:dyDescent="0.2">
      <c r="A134" s="1">
        <v>3</v>
      </c>
      <c r="B134" s="231" t="s">
        <v>17</v>
      </c>
      <c r="C134" s="231" t="s">
        <v>443</v>
      </c>
      <c r="D134" s="231" t="s">
        <v>17</v>
      </c>
      <c r="E134" s="231" t="s">
        <v>459</v>
      </c>
      <c r="F134" s="231" t="s">
        <v>316</v>
      </c>
      <c r="G134" s="3" t="s">
        <v>80</v>
      </c>
      <c r="H134" s="268" t="s">
        <v>399</v>
      </c>
      <c r="I134" s="2" t="s">
        <v>404</v>
      </c>
      <c r="J134" s="2" t="s">
        <v>483</v>
      </c>
      <c r="K134" s="382">
        <f>'3.1.3 Proj.real'!K7</f>
        <v>2</v>
      </c>
      <c r="L134" s="383">
        <f>'3.1.3 Proj.real'!M7</f>
        <v>1</v>
      </c>
      <c r="M134" s="116">
        <f>'3.1.3 Proj.real'!L7</f>
        <v>0</v>
      </c>
      <c r="N134" s="117"/>
      <c r="O134" s="117"/>
      <c r="P134" s="117"/>
    </row>
    <row r="135" spans="1:16" ht="13.5" thickBot="1" x14ac:dyDescent="0.25">
      <c r="A135" s="1">
        <v>3</v>
      </c>
      <c r="B135" s="231" t="s">
        <v>17</v>
      </c>
      <c r="C135" s="412" t="s">
        <v>443</v>
      </c>
      <c r="D135" s="412" t="s">
        <v>17</v>
      </c>
      <c r="E135" s="412" t="s">
        <v>459</v>
      </c>
      <c r="F135" s="412" t="s">
        <v>319</v>
      </c>
      <c r="G135" s="413" t="s">
        <v>320</v>
      </c>
      <c r="H135" s="414" t="s">
        <v>399</v>
      </c>
      <c r="I135" s="415" t="s">
        <v>404</v>
      </c>
      <c r="J135" s="415" t="s">
        <v>483</v>
      </c>
      <c r="K135" s="416">
        <f>'3.1.3 Proj.real'!N7</f>
        <v>9</v>
      </c>
      <c r="L135" s="417">
        <f>'3.1.3 Proj.real'!P7</f>
        <v>5</v>
      </c>
      <c r="M135" s="418">
        <f>'3.1.3 Proj.real'!O7</f>
        <v>0</v>
      </c>
      <c r="N135" s="419"/>
      <c r="O135" s="419"/>
      <c r="P135" s="419"/>
    </row>
    <row r="136" spans="1:16" ht="13.5" thickTop="1" x14ac:dyDescent="0.2">
      <c r="A136" s="1">
        <v>4</v>
      </c>
      <c r="B136" s="231" t="s">
        <v>14</v>
      </c>
      <c r="C136" s="403" t="s">
        <v>424</v>
      </c>
      <c r="D136" s="403" t="s">
        <v>14</v>
      </c>
      <c r="E136" s="403" t="s">
        <v>446</v>
      </c>
      <c r="F136" s="403" t="s">
        <v>325</v>
      </c>
      <c r="G136" s="404" t="s">
        <v>326</v>
      </c>
      <c r="H136" s="405" t="s">
        <v>414</v>
      </c>
      <c r="I136" s="406"/>
      <c r="J136" s="406"/>
      <c r="K136" s="407"/>
      <c r="L136" s="563"/>
      <c r="M136" s="575"/>
      <c r="N136" s="578"/>
      <c r="O136" s="410"/>
      <c r="P136" s="410"/>
    </row>
    <row r="137" spans="1:16" x14ac:dyDescent="0.2">
      <c r="A137" s="1">
        <v>4</v>
      </c>
      <c r="B137" s="231" t="s">
        <v>14</v>
      </c>
      <c r="C137" s="231" t="s">
        <v>424</v>
      </c>
      <c r="D137" s="231" t="s">
        <v>14</v>
      </c>
      <c r="E137" s="231" t="s">
        <v>446</v>
      </c>
      <c r="F137" s="231" t="s">
        <v>327</v>
      </c>
      <c r="G137" s="3" t="s">
        <v>328</v>
      </c>
      <c r="H137" s="268" t="s">
        <v>414</v>
      </c>
      <c r="I137" s="2"/>
      <c r="J137" s="2"/>
      <c r="K137" s="382"/>
      <c r="L137" s="115"/>
      <c r="M137" s="573"/>
      <c r="N137" s="114"/>
      <c r="O137" s="117"/>
      <c r="P137" s="117"/>
    </row>
    <row r="138" spans="1:16" ht="12" customHeight="1" x14ac:dyDescent="0.2">
      <c r="A138" s="1">
        <v>4</v>
      </c>
      <c r="B138" s="231" t="s">
        <v>14</v>
      </c>
      <c r="C138" s="231" t="s">
        <v>424</v>
      </c>
      <c r="D138" s="231" t="s">
        <v>14</v>
      </c>
      <c r="E138" s="231" t="s">
        <v>446</v>
      </c>
      <c r="F138" s="231" t="s">
        <v>331</v>
      </c>
      <c r="G138" s="3" t="s">
        <v>85</v>
      </c>
      <c r="H138" s="268" t="s">
        <v>1855</v>
      </c>
      <c r="I138" s="2" t="s">
        <v>404</v>
      </c>
      <c r="J138" s="2" t="s">
        <v>530</v>
      </c>
      <c r="K138" s="382">
        <f>fn411421431[[#Totals],[Stĺpec12]]</f>
        <v>9109.5</v>
      </c>
      <c r="L138" s="115">
        <f>fn411421431[[#Totals],[Stĺpec14]]</f>
        <v>0</v>
      </c>
      <c r="M138" s="573">
        <f>fn411421431[[#Totals],[Stĺpec13]]</f>
        <v>0</v>
      </c>
      <c r="N138" s="114"/>
      <c r="O138" s="117"/>
      <c r="P138" s="117"/>
    </row>
    <row r="139" spans="1:16" x14ac:dyDescent="0.2">
      <c r="A139" s="1">
        <v>4</v>
      </c>
      <c r="B139" s="231" t="s">
        <v>14</v>
      </c>
      <c r="C139" s="231" t="s">
        <v>424</v>
      </c>
      <c r="D139" s="231" t="s">
        <v>14</v>
      </c>
      <c r="E139" s="231" t="s">
        <v>446</v>
      </c>
      <c r="F139" s="231" t="s">
        <v>333</v>
      </c>
      <c r="G139" s="3" t="s">
        <v>334</v>
      </c>
      <c r="H139" s="268" t="s">
        <v>1858</v>
      </c>
      <c r="I139" s="2" t="s">
        <v>528</v>
      </c>
      <c r="J139" s="2" t="s">
        <v>483</v>
      </c>
      <c r="K139" s="382">
        <f>fn411421431[[#Totals],[Stĺpec18]]</f>
        <v>1</v>
      </c>
      <c r="L139" s="115">
        <f>fn411421431[[#Totals],[Stĺpec20]]</f>
        <v>0</v>
      </c>
      <c r="M139" s="573">
        <f>fn411421431[[#Totals],[Stĺpec19]]</f>
        <v>0</v>
      </c>
      <c r="N139" s="114"/>
      <c r="O139" s="117"/>
      <c r="P139" s="117"/>
    </row>
    <row r="140" spans="1:16" x14ac:dyDescent="0.2">
      <c r="A140" s="1">
        <v>4</v>
      </c>
      <c r="B140" s="231" t="s">
        <v>14</v>
      </c>
      <c r="C140" s="231" t="s">
        <v>424</v>
      </c>
      <c r="D140" s="231" t="s">
        <v>14</v>
      </c>
      <c r="E140" s="231" t="s">
        <v>446</v>
      </c>
      <c r="F140" s="231" t="s">
        <v>238</v>
      </c>
      <c r="G140" s="3" t="s">
        <v>239</v>
      </c>
      <c r="H140" s="268"/>
      <c r="I140" s="2"/>
      <c r="J140" s="2"/>
      <c r="K140" s="382"/>
      <c r="L140" s="115"/>
      <c r="M140" s="573"/>
      <c r="N140" s="114"/>
      <c r="O140" s="117"/>
      <c r="P140" s="117"/>
    </row>
    <row r="141" spans="1:16" x14ac:dyDescent="0.2">
      <c r="A141" s="1">
        <v>4</v>
      </c>
      <c r="B141" s="231" t="s">
        <v>14</v>
      </c>
      <c r="C141" s="231" t="s">
        <v>424</v>
      </c>
      <c r="D141" s="231" t="s">
        <v>14</v>
      </c>
      <c r="E141" s="231" t="s">
        <v>446</v>
      </c>
      <c r="F141" s="231" t="s">
        <v>240</v>
      </c>
      <c r="G141" s="3" t="s">
        <v>241</v>
      </c>
      <c r="H141" s="268"/>
      <c r="I141" s="2"/>
      <c r="J141" s="2"/>
      <c r="K141" s="382"/>
      <c r="L141" s="115"/>
      <c r="M141" s="573"/>
      <c r="N141" s="114"/>
      <c r="O141" s="117"/>
      <c r="P141" s="117"/>
    </row>
    <row r="142" spans="1:16" x14ac:dyDescent="0.2">
      <c r="A142" s="1">
        <v>4</v>
      </c>
      <c r="B142" s="231" t="s">
        <v>14</v>
      </c>
      <c r="C142" s="231" t="s">
        <v>424</v>
      </c>
      <c r="D142" s="231" t="s">
        <v>14</v>
      </c>
      <c r="E142" s="231" t="s">
        <v>446</v>
      </c>
      <c r="F142" s="231" t="s">
        <v>244</v>
      </c>
      <c r="G142" s="3" t="s">
        <v>245</v>
      </c>
      <c r="H142" s="268"/>
      <c r="I142" s="2"/>
      <c r="J142" s="2"/>
      <c r="K142" s="382"/>
      <c r="L142" s="115"/>
      <c r="M142" s="573"/>
      <c r="N142" s="114"/>
      <c r="O142" s="117"/>
      <c r="P142" s="117"/>
    </row>
    <row r="143" spans="1:16" x14ac:dyDescent="0.2">
      <c r="A143" s="1">
        <v>4</v>
      </c>
      <c r="B143" s="231" t="s">
        <v>14</v>
      </c>
      <c r="C143" s="231" t="s">
        <v>424</v>
      </c>
      <c r="D143" s="231" t="s">
        <v>14</v>
      </c>
      <c r="E143" s="231" t="s">
        <v>446</v>
      </c>
      <c r="F143" s="231" t="s">
        <v>335</v>
      </c>
      <c r="G143" s="3" t="s">
        <v>88</v>
      </c>
      <c r="H143" s="268" t="s">
        <v>411</v>
      </c>
      <c r="I143" s="2" t="s">
        <v>404</v>
      </c>
      <c r="J143" s="2" t="s">
        <v>483</v>
      </c>
      <c r="K143" s="382">
        <f>fn411421431[[#Totals],[Stĺpec24]]</f>
        <v>2</v>
      </c>
      <c r="L143" s="115">
        <f>fn411421431[[#Totals],[Stĺpec26]]</f>
        <v>0</v>
      </c>
      <c r="M143" s="573">
        <f>fn411421431[[#Totals],[Stĺpec25]]</f>
        <v>0</v>
      </c>
      <c r="N143" s="114"/>
      <c r="O143" s="117"/>
      <c r="P143" s="117"/>
    </row>
    <row r="144" spans="1:16" x14ac:dyDescent="0.2">
      <c r="A144" s="1">
        <v>4</v>
      </c>
      <c r="B144" s="231" t="s">
        <v>14</v>
      </c>
      <c r="C144" s="231" t="s">
        <v>424</v>
      </c>
      <c r="D144" s="231" t="s">
        <v>14</v>
      </c>
      <c r="E144" s="231" t="s">
        <v>446</v>
      </c>
      <c r="F144" s="231" t="s">
        <v>336</v>
      </c>
      <c r="G144" s="3" t="s">
        <v>83</v>
      </c>
      <c r="H144" s="268" t="s">
        <v>408</v>
      </c>
      <c r="I144" s="2" t="s">
        <v>404</v>
      </c>
      <c r="J144" s="2" t="s">
        <v>483</v>
      </c>
      <c r="K144" s="382">
        <f>fn411421431[[#Totals],[Stĺpec30]]</f>
        <v>20</v>
      </c>
      <c r="L144" s="115">
        <f>fn411421431[[#Totals],[Stĺpec32]]</f>
        <v>0</v>
      </c>
      <c r="M144" s="573">
        <f>fn411421431[[#Totals],[Stĺpec31]]</f>
        <v>0</v>
      </c>
      <c r="N144" s="114"/>
      <c r="O144" s="117"/>
      <c r="P144" s="117"/>
    </row>
    <row r="145" spans="1:16" x14ac:dyDescent="0.2">
      <c r="A145" s="1">
        <v>4</v>
      </c>
      <c r="B145" s="231" t="s">
        <v>14</v>
      </c>
      <c r="C145" s="231" t="s">
        <v>424</v>
      </c>
      <c r="D145" s="231" t="s">
        <v>14</v>
      </c>
      <c r="E145" s="231" t="s">
        <v>446</v>
      </c>
      <c r="F145" s="231" t="s">
        <v>337</v>
      </c>
      <c r="G145" s="3" t="s">
        <v>90</v>
      </c>
      <c r="H145" s="140" t="s">
        <v>412</v>
      </c>
      <c r="I145" s="2" t="s">
        <v>404</v>
      </c>
      <c r="J145" s="2" t="s">
        <v>483</v>
      </c>
      <c r="K145" s="382">
        <f>fn411421431[[#Totals],[Stĺpec36]]</f>
        <v>17</v>
      </c>
      <c r="L145" s="115">
        <f>fn411421431[[#Totals],[Stĺpec38]]</f>
        <v>0</v>
      </c>
      <c r="M145" s="573">
        <f>fn411421431[[#Totals],[Stĺpec37]]</f>
        <v>0</v>
      </c>
      <c r="N145" s="114"/>
      <c r="O145" s="117"/>
      <c r="P145" s="117"/>
    </row>
    <row r="146" spans="1:16" x14ac:dyDescent="0.2">
      <c r="A146" s="1">
        <v>4</v>
      </c>
      <c r="B146" s="231" t="s">
        <v>14</v>
      </c>
      <c r="C146" s="231" t="s">
        <v>424</v>
      </c>
      <c r="D146" s="231" t="s">
        <v>14</v>
      </c>
      <c r="E146" s="231" t="s">
        <v>461</v>
      </c>
      <c r="F146" s="231" t="s">
        <v>323</v>
      </c>
      <c r="G146" s="3" t="s">
        <v>324</v>
      </c>
      <c r="H146" s="268"/>
      <c r="I146" s="2"/>
      <c r="J146" s="2"/>
      <c r="K146" s="382"/>
      <c r="L146" s="115"/>
      <c r="M146" s="573"/>
      <c r="N146" s="114"/>
      <c r="O146" s="117"/>
      <c r="P146" s="117"/>
    </row>
    <row r="147" spans="1:16" x14ac:dyDescent="0.2">
      <c r="A147" s="1">
        <v>4</v>
      </c>
      <c r="B147" s="231" t="s">
        <v>14</v>
      </c>
      <c r="C147" s="231" t="s">
        <v>424</v>
      </c>
      <c r="D147" s="231" t="s">
        <v>14</v>
      </c>
      <c r="E147" s="231" t="s">
        <v>461</v>
      </c>
      <c r="F147" s="231" t="s">
        <v>325</v>
      </c>
      <c r="G147" s="3" t="s">
        <v>326</v>
      </c>
      <c r="H147" s="268" t="s">
        <v>414</v>
      </c>
      <c r="I147" s="2"/>
      <c r="J147" s="2"/>
      <c r="K147" s="382"/>
      <c r="L147" s="115"/>
      <c r="M147" s="573"/>
      <c r="N147" s="114"/>
      <c r="O147" s="117"/>
      <c r="P147" s="117"/>
    </row>
    <row r="148" spans="1:16" x14ac:dyDescent="0.2">
      <c r="A148" s="1">
        <v>4</v>
      </c>
      <c r="B148" s="231" t="s">
        <v>14</v>
      </c>
      <c r="C148" s="231" t="s">
        <v>424</v>
      </c>
      <c r="D148" s="231" t="s">
        <v>14</v>
      </c>
      <c r="E148" s="231" t="s">
        <v>461</v>
      </c>
      <c r="F148" s="231" t="s">
        <v>327</v>
      </c>
      <c r="G148" s="3" t="s">
        <v>328</v>
      </c>
      <c r="H148" s="268" t="s">
        <v>414</v>
      </c>
      <c r="I148" s="2"/>
      <c r="J148" s="2"/>
      <c r="K148" s="382"/>
      <c r="L148" s="115"/>
      <c r="M148" s="573"/>
      <c r="N148" s="114"/>
      <c r="O148" s="117"/>
      <c r="P148" s="117"/>
    </row>
    <row r="149" spans="1:16" x14ac:dyDescent="0.2">
      <c r="A149" s="1">
        <v>4</v>
      </c>
      <c r="B149" s="231" t="s">
        <v>14</v>
      </c>
      <c r="C149" s="231" t="s">
        <v>424</v>
      </c>
      <c r="D149" s="231" t="s">
        <v>14</v>
      </c>
      <c r="E149" s="231" t="s">
        <v>461</v>
      </c>
      <c r="F149" s="231" t="s">
        <v>329</v>
      </c>
      <c r="G149" s="3" t="s">
        <v>330</v>
      </c>
      <c r="H149" s="268"/>
      <c r="I149" s="2"/>
      <c r="J149" s="2"/>
      <c r="K149" s="382"/>
      <c r="L149" s="115"/>
      <c r="M149" s="573"/>
      <c r="N149" s="114"/>
      <c r="O149" s="117"/>
      <c r="P149" s="117"/>
    </row>
    <row r="150" spans="1:16" ht="12.75" customHeight="1" x14ac:dyDescent="0.2">
      <c r="A150" s="1">
        <v>4</v>
      </c>
      <c r="B150" s="231" t="s">
        <v>14</v>
      </c>
      <c r="C150" s="231" t="s">
        <v>424</v>
      </c>
      <c r="D150" s="231" t="s">
        <v>14</v>
      </c>
      <c r="E150" s="231" t="s">
        <v>461</v>
      </c>
      <c r="F150" s="231" t="s">
        <v>331</v>
      </c>
      <c r="G150" s="3" t="s">
        <v>85</v>
      </c>
      <c r="H150" s="268" t="s">
        <v>1855</v>
      </c>
      <c r="I150" s="2" t="s">
        <v>404</v>
      </c>
      <c r="J150" s="2" t="s">
        <v>530</v>
      </c>
      <c r="K150" s="382">
        <f>fn411421431[[#Totals],[Stĺpec15]]</f>
        <v>9109.5</v>
      </c>
      <c r="L150" s="115">
        <f>fn411421431[[#Totals],[Stĺpec17]]</f>
        <v>0</v>
      </c>
      <c r="M150" s="573">
        <f>fn411421431[[#Totals],[Stĺpec16]]</f>
        <v>0</v>
      </c>
      <c r="N150" s="114"/>
      <c r="O150" s="117"/>
      <c r="P150" s="117"/>
    </row>
    <row r="151" spans="1:16" x14ac:dyDescent="0.2">
      <c r="A151" s="1">
        <v>4</v>
      </c>
      <c r="B151" s="231" t="s">
        <v>14</v>
      </c>
      <c r="C151" s="231" t="s">
        <v>424</v>
      </c>
      <c r="D151" s="231" t="s">
        <v>14</v>
      </c>
      <c r="E151" s="231" t="s">
        <v>461</v>
      </c>
      <c r="F151" s="231" t="s">
        <v>333</v>
      </c>
      <c r="G151" s="3" t="s">
        <v>334</v>
      </c>
      <c r="H151" s="268" t="s">
        <v>1858</v>
      </c>
      <c r="I151" s="2" t="s">
        <v>528</v>
      </c>
      <c r="J151" s="2" t="s">
        <v>483</v>
      </c>
      <c r="K151" s="382">
        <f>fn411421431[[#Totals],[Stĺpec21]]</f>
        <v>1</v>
      </c>
      <c r="L151" s="115">
        <f>fn411421431[[#Totals],[Stĺpec23]]</f>
        <v>0</v>
      </c>
      <c r="M151" s="573">
        <f>fn411421431[[#Totals],[Stĺpec22]]</f>
        <v>0</v>
      </c>
      <c r="N151" s="114"/>
      <c r="O151" s="117"/>
      <c r="P151" s="117"/>
    </row>
    <row r="152" spans="1:16" x14ac:dyDescent="0.2">
      <c r="A152" s="1">
        <v>4</v>
      </c>
      <c r="B152" s="231" t="s">
        <v>14</v>
      </c>
      <c r="C152" s="231" t="s">
        <v>424</v>
      </c>
      <c r="D152" s="231" t="s">
        <v>14</v>
      </c>
      <c r="E152" s="231" t="s">
        <v>461</v>
      </c>
      <c r="F152" s="231" t="s">
        <v>335</v>
      </c>
      <c r="G152" s="3" t="s">
        <v>88</v>
      </c>
      <c r="H152" s="268" t="s">
        <v>411</v>
      </c>
      <c r="I152" s="2" t="s">
        <v>404</v>
      </c>
      <c r="J152" s="2" t="s">
        <v>483</v>
      </c>
      <c r="K152" s="382">
        <f>fn411421431[[#Totals],[Stĺpec27]]</f>
        <v>2</v>
      </c>
      <c r="L152" s="115">
        <f>fn411421431[[#Totals],[Stĺpec29]]</f>
        <v>0</v>
      </c>
      <c r="M152" s="116">
        <f>fn411421431[[#Totals],[Stĺpec28]]</f>
        <v>0</v>
      </c>
      <c r="N152" s="114"/>
      <c r="O152" s="117"/>
      <c r="P152" s="117"/>
    </row>
    <row r="153" spans="1:16" x14ac:dyDescent="0.2">
      <c r="A153" s="1">
        <v>4</v>
      </c>
      <c r="B153" s="231" t="s">
        <v>14</v>
      </c>
      <c r="C153" s="231" t="s">
        <v>424</v>
      </c>
      <c r="D153" s="231" t="s">
        <v>14</v>
      </c>
      <c r="E153" s="231" t="s">
        <v>461</v>
      </c>
      <c r="F153" s="231" t="s">
        <v>336</v>
      </c>
      <c r="G153" s="3" t="s">
        <v>83</v>
      </c>
      <c r="H153" s="268" t="s">
        <v>408</v>
      </c>
      <c r="I153" s="2" t="s">
        <v>404</v>
      </c>
      <c r="J153" s="2" t="s">
        <v>483</v>
      </c>
      <c r="K153" s="382">
        <f>fn411421431[[#Totals],[Stĺpec33]]</f>
        <v>20</v>
      </c>
      <c r="L153" s="115">
        <f>fn411421431[[#Totals],[Stĺpec35]]</f>
        <v>0</v>
      </c>
      <c r="M153" s="116">
        <f>fn411421431[[#Totals],[Stĺpec34]]</f>
        <v>0</v>
      </c>
      <c r="N153" s="114"/>
      <c r="O153" s="117"/>
      <c r="P153" s="117"/>
    </row>
    <row r="154" spans="1:16" x14ac:dyDescent="0.2">
      <c r="A154" s="1">
        <v>4</v>
      </c>
      <c r="B154" s="231" t="s">
        <v>14</v>
      </c>
      <c r="C154" s="231" t="s">
        <v>424</v>
      </c>
      <c r="D154" s="231" t="s">
        <v>14</v>
      </c>
      <c r="E154" s="231" t="s">
        <v>461</v>
      </c>
      <c r="F154" s="231" t="s">
        <v>337</v>
      </c>
      <c r="G154" s="3" t="s">
        <v>90</v>
      </c>
      <c r="H154" s="268" t="s">
        <v>412</v>
      </c>
      <c r="I154" s="2" t="s">
        <v>404</v>
      </c>
      <c r="J154" s="2" t="s">
        <v>483</v>
      </c>
      <c r="K154" s="382">
        <f>fn411421431[[#Totals],[Stĺpec39]]</f>
        <v>18</v>
      </c>
      <c r="L154" s="115">
        <f>fn411421431[[#Totals],[Stĺpec41]]</f>
        <v>0</v>
      </c>
      <c r="M154" s="116">
        <f>fn411421431[[#Totals],[Stĺpec40]]</f>
        <v>0</v>
      </c>
      <c r="N154" s="114"/>
      <c r="O154" s="117"/>
      <c r="P154" s="117"/>
    </row>
    <row r="155" spans="1:16" ht="10.5" customHeight="1" x14ac:dyDescent="0.2">
      <c r="A155" s="1">
        <v>4</v>
      </c>
      <c r="B155" s="231" t="s">
        <v>14</v>
      </c>
      <c r="C155" s="231" t="s">
        <v>424</v>
      </c>
      <c r="D155" s="231" t="s">
        <v>14</v>
      </c>
      <c r="E155" s="231" t="s">
        <v>462</v>
      </c>
      <c r="F155" s="231" t="s">
        <v>331</v>
      </c>
      <c r="G155" s="3" t="s">
        <v>85</v>
      </c>
      <c r="H155" s="268" t="s">
        <v>1855</v>
      </c>
      <c r="I155" s="2" t="s">
        <v>404</v>
      </c>
      <c r="J155" s="2" t="s">
        <v>530</v>
      </c>
      <c r="K155" s="382">
        <f>zelenadom[[#Totals],[Stĺpec12]]</f>
        <v>13590.02</v>
      </c>
      <c r="L155" s="115">
        <f>M155</f>
        <v>6612.0897000000004</v>
      </c>
      <c r="M155" s="116">
        <f>zelenadom[[#Totals],[Stĺpec13]]</f>
        <v>6612.0897000000004</v>
      </c>
      <c r="N155" s="114"/>
      <c r="O155" s="117"/>
      <c r="P155" s="117"/>
    </row>
    <row r="156" spans="1:16" x14ac:dyDescent="0.2">
      <c r="A156" s="1">
        <v>4</v>
      </c>
      <c r="B156" s="231" t="s">
        <v>14</v>
      </c>
      <c r="C156" s="231" t="s">
        <v>424</v>
      </c>
      <c r="D156" s="231" t="s">
        <v>14</v>
      </c>
      <c r="E156" s="231" t="s">
        <v>462</v>
      </c>
      <c r="F156" s="231" t="s">
        <v>332</v>
      </c>
      <c r="G156" s="3" t="s">
        <v>86</v>
      </c>
      <c r="H156" s="337" t="s">
        <v>399</v>
      </c>
      <c r="I156" s="2" t="s">
        <v>404</v>
      </c>
      <c r="J156" s="2" t="s">
        <v>483</v>
      </c>
      <c r="K156" s="382">
        <f>zelenadom[[#Totals],[Stĺpec18]]</f>
        <v>13500</v>
      </c>
      <c r="L156" s="115">
        <f t="shared" ref="L156:L164" si="0">M156</f>
        <v>3427</v>
      </c>
      <c r="M156" s="116">
        <f>zelenadom[[#Totals],[Stĺpec19]]</f>
        <v>3427</v>
      </c>
      <c r="N156" s="114"/>
      <c r="O156" s="117"/>
      <c r="P156" s="117"/>
    </row>
    <row r="157" spans="1:16" x14ac:dyDescent="0.2">
      <c r="A157" s="1">
        <v>4</v>
      </c>
      <c r="B157" s="231" t="s">
        <v>14</v>
      </c>
      <c r="C157" s="231" t="s">
        <v>424</v>
      </c>
      <c r="D157" s="231" t="s">
        <v>14</v>
      </c>
      <c r="E157" s="231" t="s">
        <v>462</v>
      </c>
      <c r="F157" s="231" t="s">
        <v>335</v>
      </c>
      <c r="G157" s="3" t="s">
        <v>88</v>
      </c>
      <c r="H157" s="268" t="s">
        <v>411</v>
      </c>
      <c r="I157" s="2" t="s">
        <v>404</v>
      </c>
      <c r="J157" s="2" t="s">
        <v>530</v>
      </c>
      <c r="K157" s="382">
        <f>zelenadom[[#Totals],[Stĺpec24]]</f>
        <v>17</v>
      </c>
      <c r="L157" s="115">
        <f t="shared" si="0"/>
        <v>2.7614000000000001</v>
      </c>
      <c r="M157" s="116">
        <f>zelenadom[[#Totals],[Stĺpec25]]</f>
        <v>2.7614000000000001</v>
      </c>
      <c r="N157" s="114"/>
      <c r="O157" s="117"/>
      <c r="P157" s="117"/>
    </row>
    <row r="158" spans="1:16" x14ac:dyDescent="0.2">
      <c r="A158" s="1">
        <v>4</v>
      </c>
      <c r="B158" s="231" t="s">
        <v>14</v>
      </c>
      <c r="C158" s="231" t="s">
        <v>424</v>
      </c>
      <c r="D158" s="231" t="s">
        <v>14</v>
      </c>
      <c r="E158" s="231" t="s">
        <v>462</v>
      </c>
      <c r="F158" s="231" t="s">
        <v>336</v>
      </c>
      <c r="G158" s="3" t="s">
        <v>83</v>
      </c>
      <c r="H158" s="268" t="s">
        <v>408</v>
      </c>
      <c r="I158" s="2" t="s">
        <v>404</v>
      </c>
      <c r="J158" s="2" t="s">
        <v>483</v>
      </c>
      <c r="K158" s="382">
        <f>zelenadom[[#Totals],[Stĺpec30]]</f>
        <v>50</v>
      </c>
      <c r="L158" s="115">
        <f t="shared" si="0"/>
        <v>21.409199999999998</v>
      </c>
      <c r="M158" s="116">
        <f>zelenadom[[#Totals],[Stĺpec31]]</f>
        <v>21.409199999999998</v>
      </c>
      <c r="N158" s="114"/>
      <c r="O158" s="117"/>
      <c r="P158" s="117"/>
    </row>
    <row r="159" spans="1:16" x14ac:dyDescent="0.2">
      <c r="A159" s="1">
        <v>4</v>
      </c>
      <c r="B159" s="231" t="s">
        <v>14</v>
      </c>
      <c r="C159" s="517" t="s">
        <v>424</v>
      </c>
      <c r="D159" s="517" t="s">
        <v>14</v>
      </c>
      <c r="E159" s="517" t="s">
        <v>462</v>
      </c>
      <c r="F159" s="517" t="s">
        <v>337</v>
      </c>
      <c r="G159" s="518" t="s">
        <v>90</v>
      </c>
      <c r="H159" s="519" t="s">
        <v>412</v>
      </c>
      <c r="I159" s="309" t="s">
        <v>404</v>
      </c>
      <c r="J159" s="309" t="s">
        <v>530</v>
      </c>
      <c r="K159" s="570">
        <f>zelenadom[[#Totals],[Stĺpec36]]</f>
        <v>33</v>
      </c>
      <c r="L159" s="115">
        <f t="shared" si="0"/>
        <v>18.6478</v>
      </c>
      <c r="M159" s="522">
        <f>zelenadom[[#Totals],[Stĺpec37]]</f>
        <v>18.6478</v>
      </c>
      <c r="N159" s="520"/>
      <c r="O159" s="523"/>
      <c r="P159" s="523"/>
    </row>
    <row r="160" spans="1:16" x14ac:dyDescent="0.2">
      <c r="A160" s="1">
        <v>4</v>
      </c>
      <c r="B160" s="231" t="s">
        <v>18</v>
      </c>
      <c r="C160" s="443" t="s">
        <v>424</v>
      </c>
      <c r="D160" s="443" t="s">
        <v>18</v>
      </c>
      <c r="E160" s="443" t="s">
        <v>463</v>
      </c>
      <c r="F160" s="443" t="s">
        <v>331</v>
      </c>
      <c r="G160" s="3" t="s">
        <v>85</v>
      </c>
      <c r="H160" s="444" t="s">
        <v>1855</v>
      </c>
      <c r="I160" s="2" t="s">
        <v>404</v>
      </c>
      <c r="J160" s="2" t="s">
        <v>530</v>
      </c>
      <c r="K160" s="382">
        <f>zelenadom[[#Totals],[Stĺpec15]]</f>
        <v>1448.3</v>
      </c>
      <c r="L160" s="115">
        <f t="shared" si="0"/>
        <v>358.63780000000003</v>
      </c>
      <c r="M160" s="116">
        <f>zelenadom[[#Totals],[Stĺpec16]]</f>
        <v>358.63780000000003</v>
      </c>
      <c r="N160" s="114"/>
      <c r="O160" s="117"/>
      <c r="P160" s="117"/>
    </row>
    <row r="161" spans="1:16" x14ac:dyDescent="0.2">
      <c r="A161" s="1">
        <v>4</v>
      </c>
      <c r="B161" s="231" t="s">
        <v>18</v>
      </c>
      <c r="C161" s="231" t="s">
        <v>424</v>
      </c>
      <c r="D161" s="231" t="s">
        <v>18</v>
      </c>
      <c r="E161" s="231" t="s">
        <v>463</v>
      </c>
      <c r="F161" s="231" t="s">
        <v>332</v>
      </c>
      <c r="G161" s="3" t="s">
        <v>86</v>
      </c>
      <c r="H161" s="338" t="s">
        <v>399</v>
      </c>
      <c r="I161" s="2" t="s">
        <v>404</v>
      </c>
      <c r="J161" s="2" t="s">
        <v>483</v>
      </c>
      <c r="K161" s="382">
        <f>zelenadom[[#Totals],[Stĺpec21]]</f>
        <v>800</v>
      </c>
      <c r="L161" s="115">
        <f t="shared" si="0"/>
        <v>251</v>
      </c>
      <c r="M161" s="116">
        <f>zelenadom[[#Totals],[Stĺpec22]]</f>
        <v>251</v>
      </c>
      <c r="N161" s="114"/>
      <c r="O161" s="117"/>
      <c r="P161" s="117"/>
    </row>
    <row r="162" spans="1:16" x14ac:dyDescent="0.2">
      <c r="A162" s="1">
        <v>4</v>
      </c>
      <c r="B162" s="231" t="s">
        <v>18</v>
      </c>
      <c r="C162" s="231" t="s">
        <v>424</v>
      </c>
      <c r="D162" s="231" t="s">
        <v>18</v>
      </c>
      <c r="E162" s="231" t="s">
        <v>463</v>
      </c>
      <c r="F162" s="231" t="s">
        <v>335</v>
      </c>
      <c r="G162" s="3" t="s">
        <v>88</v>
      </c>
      <c r="H162" s="268" t="s">
        <v>411</v>
      </c>
      <c r="I162" s="2" t="s">
        <v>404</v>
      </c>
      <c r="J162" s="2" t="s">
        <v>530</v>
      </c>
      <c r="K162" s="382">
        <f>zelenadom[[#Totals],[Stĺpec27]]</f>
        <v>2</v>
      </c>
      <c r="L162" s="115">
        <f t="shared" si="0"/>
        <v>0.1013</v>
      </c>
      <c r="M162" s="116">
        <f>zelenadom[[#Totals],[Stĺpec28]]</f>
        <v>0.1013</v>
      </c>
      <c r="N162" s="114"/>
      <c r="O162" s="117"/>
      <c r="P162" s="117"/>
    </row>
    <row r="163" spans="1:16" x14ac:dyDescent="0.2">
      <c r="A163" s="1">
        <v>4</v>
      </c>
      <c r="B163" s="231" t="s">
        <v>18</v>
      </c>
      <c r="C163" s="231" t="s">
        <v>424</v>
      </c>
      <c r="D163" s="231" t="s">
        <v>18</v>
      </c>
      <c r="E163" s="231" t="s">
        <v>463</v>
      </c>
      <c r="F163" s="231" t="s">
        <v>336</v>
      </c>
      <c r="G163" s="3" t="s">
        <v>83</v>
      </c>
      <c r="H163" s="268" t="s">
        <v>408</v>
      </c>
      <c r="I163" s="2" t="s">
        <v>404</v>
      </c>
      <c r="J163" s="2" t="s">
        <v>483</v>
      </c>
      <c r="K163" s="382">
        <f>zelenadom[[#Totals],[Stĺpec33]]</f>
        <v>5</v>
      </c>
      <c r="L163" s="115">
        <f t="shared" si="0"/>
        <v>1.34</v>
      </c>
      <c r="M163" s="116">
        <f>zelenadom[[#Totals],[Stĺpec34]]</f>
        <v>1.34</v>
      </c>
      <c r="N163" s="114"/>
      <c r="O163" s="117"/>
      <c r="P163" s="117"/>
    </row>
    <row r="164" spans="1:16" ht="13.5" thickBot="1" x14ac:dyDescent="0.25">
      <c r="A164" s="1">
        <v>4</v>
      </c>
      <c r="B164" s="231" t="s">
        <v>18</v>
      </c>
      <c r="C164" s="564" t="s">
        <v>424</v>
      </c>
      <c r="D164" s="564" t="s">
        <v>18</v>
      </c>
      <c r="E164" s="564" t="s">
        <v>463</v>
      </c>
      <c r="F164" s="564" t="s">
        <v>337</v>
      </c>
      <c r="G164" s="565" t="s">
        <v>90</v>
      </c>
      <c r="H164" s="566" t="s">
        <v>412</v>
      </c>
      <c r="I164" s="567" t="s">
        <v>404</v>
      </c>
      <c r="J164" s="567" t="s">
        <v>530</v>
      </c>
      <c r="K164" s="571">
        <f>zelenadom[[#Totals],[Stĺpec39]]</f>
        <v>3</v>
      </c>
      <c r="L164" s="1245">
        <f t="shared" si="0"/>
        <v>1.2386999999999999</v>
      </c>
      <c r="M164" s="568">
        <f>zelenadom[[#Totals],[Stĺpec40]]</f>
        <v>1.2386999999999999</v>
      </c>
      <c r="N164" s="577"/>
      <c r="O164" s="569"/>
      <c r="P164" s="569"/>
    </row>
    <row r="165" spans="1:16" x14ac:dyDescent="0.2">
      <c r="A165" s="1">
        <v>4</v>
      </c>
      <c r="B165" s="231" t="s">
        <v>19</v>
      </c>
      <c r="C165" s="403" t="s">
        <v>424</v>
      </c>
      <c r="D165" s="403" t="s">
        <v>19</v>
      </c>
      <c r="E165" s="403" t="s">
        <v>466</v>
      </c>
      <c r="F165" s="403" t="s">
        <v>338</v>
      </c>
      <c r="G165" s="404" t="s">
        <v>94</v>
      </c>
      <c r="H165" s="405" t="s">
        <v>399</v>
      </c>
      <c r="I165" s="406"/>
      <c r="J165" s="406"/>
      <c r="K165" s="407"/>
      <c r="L165" s="563"/>
      <c r="M165" s="575"/>
      <c r="N165" s="578"/>
      <c r="O165" s="410"/>
      <c r="P165" s="410"/>
    </row>
    <row r="166" spans="1:16" x14ac:dyDescent="0.2">
      <c r="A166" s="1">
        <v>4</v>
      </c>
      <c r="B166" s="231" t="s">
        <v>19</v>
      </c>
      <c r="C166" s="231" t="s">
        <v>424</v>
      </c>
      <c r="D166" s="231" t="s">
        <v>19</v>
      </c>
      <c r="E166" s="231" t="s">
        <v>460</v>
      </c>
      <c r="F166" s="231" t="s">
        <v>325</v>
      </c>
      <c r="G166" s="3" t="s">
        <v>326</v>
      </c>
      <c r="H166" s="268" t="s">
        <v>414</v>
      </c>
      <c r="I166" s="2" t="s">
        <v>404</v>
      </c>
      <c r="J166" s="2" t="s">
        <v>530</v>
      </c>
      <c r="K166" s="382"/>
      <c r="L166" s="115"/>
      <c r="M166" s="573"/>
      <c r="N166" s="114"/>
      <c r="O166" s="117"/>
      <c r="P166" s="117"/>
    </row>
    <row r="167" spans="1:16" x14ac:dyDescent="0.2">
      <c r="A167" s="1">
        <v>4</v>
      </c>
      <c r="B167" s="231" t="s">
        <v>19</v>
      </c>
      <c r="C167" s="231" t="s">
        <v>424</v>
      </c>
      <c r="D167" s="231" t="s">
        <v>19</v>
      </c>
      <c r="E167" s="231" t="s">
        <v>460</v>
      </c>
      <c r="F167" s="231" t="s">
        <v>327</v>
      </c>
      <c r="G167" s="3" t="s">
        <v>328</v>
      </c>
      <c r="H167" s="268" t="s">
        <v>414</v>
      </c>
      <c r="I167" s="2" t="s">
        <v>404</v>
      </c>
      <c r="J167" s="2" t="s">
        <v>530</v>
      </c>
      <c r="K167" s="382"/>
      <c r="L167" s="115"/>
      <c r="M167" s="573"/>
      <c r="N167" s="114"/>
      <c r="O167" s="117"/>
      <c r="P167" s="117"/>
    </row>
    <row r="168" spans="1:16" x14ac:dyDescent="0.2">
      <c r="A168" s="1">
        <v>4</v>
      </c>
      <c r="B168" s="231" t="s">
        <v>19</v>
      </c>
      <c r="C168" s="231" t="s">
        <v>424</v>
      </c>
      <c r="D168" s="231" t="s">
        <v>19</v>
      </c>
      <c r="E168" s="231" t="s">
        <v>460</v>
      </c>
      <c r="F168" s="231" t="s">
        <v>331</v>
      </c>
      <c r="G168" s="3" t="s">
        <v>85</v>
      </c>
      <c r="H168" s="268" t="s">
        <v>1855</v>
      </c>
      <c r="I168" s="2" t="s">
        <v>404</v>
      </c>
      <c r="J168" s="2" t="s">
        <v>530</v>
      </c>
      <c r="K168" s="382">
        <f>fn41142143125[[#Totals],[Stĺpec42]]</f>
        <v>18984</v>
      </c>
      <c r="L168" s="115">
        <f>fn411421431[[#Totals],[Stĺpec44]]</f>
        <v>0</v>
      </c>
      <c r="M168" s="573">
        <f>fn411421431[[#Totals],[Stĺpec43]]</f>
        <v>0</v>
      </c>
      <c r="N168" s="114"/>
      <c r="O168" s="117"/>
      <c r="P168" s="117"/>
    </row>
    <row r="169" spans="1:16" x14ac:dyDescent="0.2">
      <c r="A169" s="1">
        <v>4</v>
      </c>
      <c r="B169" s="231" t="s">
        <v>19</v>
      </c>
      <c r="C169" s="231" t="s">
        <v>424</v>
      </c>
      <c r="D169" s="231" t="s">
        <v>19</v>
      </c>
      <c r="E169" s="231" t="s">
        <v>460</v>
      </c>
      <c r="F169" s="231" t="s">
        <v>339</v>
      </c>
      <c r="G169" s="3" t="s">
        <v>92</v>
      </c>
      <c r="H169" s="268" t="s">
        <v>399</v>
      </c>
      <c r="I169" s="2" t="s">
        <v>404</v>
      </c>
      <c r="J169" s="2" t="s">
        <v>483</v>
      </c>
      <c r="K169" s="382">
        <f>fn41142143125[[#Totals],[Stĺpec45]]</f>
        <v>55</v>
      </c>
      <c r="L169" s="115">
        <f>fn411421431[[#Totals],[Stĺpec47]]</f>
        <v>0</v>
      </c>
      <c r="M169" s="573">
        <f>fn411421431[[#Totals],[Stĺpec46]]</f>
        <v>0</v>
      </c>
      <c r="N169" s="114"/>
      <c r="O169" s="117"/>
      <c r="P169" s="117"/>
    </row>
    <row r="170" spans="1:16" ht="25.5" x14ac:dyDescent="0.2">
      <c r="A170" s="1">
        <v>4</v>
      </c>
      <c r="B170" s="231" t="s">
        <v>19</v>
      </c>
      <c r="C170" s="231" t="s">
        <v>424</v>
      </c>
      <c r="D170" s="231" t="s">
        <v>19</v>
      </c>
      <c r="E170" s="231" t="s">
        <v>460</v>
      </c>
      <c r="F170" s="231" t="s">
        <v>340</v>
      </c>
      <c r="G170" s="3" t="s">
        <v>98</v>
      </c>
      <c r="H170" s="268" t="s">
        <v>399</v>
      </c>
      <c r="I170" s="2" t="s">
        <v>404</v>
      </c>
      <c r="J170" s="2" t="s">
        <v>483</v>
      </c>
      <c r="K170" s="382">
        <f>fn41142143125[[#Totals],[Stĺpec48]]</f>
        <v>8</v>
      </c>
      <c r="L170" s="115">
        <f>fn411421431[[#Totals],[Stĺpec50]]</f>
        <v>0</v>
      </c>
      <c r="M170" s="573">
        <f>fn411421431[[#Totals],[Stĺpec49]]</f>
        <v>0</v>
      </c>
      <c r="N170" s="114"/>
      <c r="O170" s="117"/>
      <c r="P170" s="117"/>
    </row>
    <row r="171" spans="1:16" x14ac:dyDescent="0.2">
      <c r="A171" s="1">
        <v>4</v>
      </c>
      <c r="B171" s="231" t="s">
        <v>19</v>
      </c>
      <c r="C171" s="231" t="s">
        <v>424</v>
      </c>
      <c r="D171" s="231" t="s">
        <v>19</v>
      </c>
      <c r="E171" s="231" t="s">
        <v>460</v>
      </c>
      <c r="F171" s="231" t="s">
        <v>333</v>
      </c>
      <c r="G171" s="3" t="s">
        <v>334</v>
      </c>
      <c r="H171" s="268" t="s">
        <v>1858</v>
      </c>
      <c r="I171" s="2" t="s">
        <v>404</v>
      </c>
      <c r="J171" s="2" t="s">
        <v>483</v>
      </c>
      <c r="K171" s="382">
        <f>fn41142143125[[#Totals],[Stĺpec51]]</f>
        <v>45</v>
      </c>
      <c r="L171" s="115">
        <f>fn411421431[[#Totals],[Stĺpec53]]</f>
        <v>0</v>
      </c>
      <c r="M171" s="573">
        <f>fn411421431[[#Totals],[Stĺpec52]]</f>
        <v>0</v>
      </c>
      <c r="N171" s="114"/>
      <c r="O171" s="117"/>
      <c r="P171" s="117"/>
    </row>
    <row r="172" spans="1:16" x14ac:dyDescent="0.2">
      <c r="A172" s="1">
        <v>4</v>
      </c>
      <c r="B172" s="231" t="s">
        <v>19</v>
      </c>
      <c r="C172" s="231" t="s">
        <v>424</v>
      </c>
      <c r="D172" s="231" t="s">
        <v>19</v>
      </c>
      <c r="E172" s="231" t="s">
        <v>460</v>
      </c>
      <c r="F172" s="231" t="s">
        <v>341</v>
      </c>
      <c r="G172" s="3" t="s">
        <v>342</v>
      </c>
      <c r="H172" s="268"/>
      <c r="I172" s="2"/>
      <c r="J172" s="2"/>
      <c r="K172" s="382"/>
      <c r="L172" s="115"/>
      <c r="M172" s="573"/>
      <c r="N172" s="114"/>
      <c r="O172" s="117"/>
      <c r="P172" s="117"/>
    </row>
    <row r="173" spans="1:16" x14ac:dyDescent="0.2">
      <c r="A173" s="1">
        <v>4</v>
      </c>
      <c r="B173" s="231" t="s">
        <v>19</v>
      </c>
      <c r="C173" s="231" t="s">
        <v>424</v>
      </c>
      <c r="D173" s="231" t="s">
        <v>19</v>
      </c>
      <c r="E173" s="231" t="s">
        <v>460</v>
      </c>
      <c r="F173" s="231" t="s">
        <v>343</v>
      </c>
      <c r="G173" s="3" t="s">
        <v>114</v>
      </c>
      <c r="H173" s="268"/>
      <c r="I173" s="2"/>
      <c r="J173" s="2"/>
      <c r="K173" s="382"/>
      <c r="L173" s="115"/>
      <c r="M173" s="573"/>
      <c r="N173" s="114"/>
      <c r="O173" s="117"/>
      <c r="P173" s="117"/>
    </row>
    <row r="174" spans="1:16" x14ac:dyDescent="0.2">
      <c r="A174" s="1">
        <v>4</v>
      </c>
      <c r="B174" s="231" t="s">
        <v>19</v>
      </c>
      <c r="C174" s="231" t="s">
        <v>424</v>
      </c>
      <c r="D174" s="231" t="s">
        <v>19</v>
      </c>
      <c r="E174" s="231" t="s">
        <v>460</v>
      </c>
      <c r="F174" s="231" t="s">
        <v>344</v>
      </c>
      <c r="G174" s="3" t="s">
        <v>96</v>
      </c>
      <c r="H174" s="268" t="s">
        <v>399</v>
      </c>
      <c r="I174" s="2" t="s">
        <v>404</v>
      </c>
      <c r="J174" s="2" t="s">
        <v>483</v>
      </c>
      <c r="K174" s="382">
        <f>fn41142143125[[#Totals],[Stĺpec54]]</f>
        <v>4</v>
      </c>
      <c r="L174" s="115">
        <f>fn411421431[[#Totals],[Stĺpec56]]</f>
        <v>0</v>
      </c>
      <c r="M174" s="573">
        <f>fn411421431[[#Totals],[Stĺpec55]]</f>
        <v>0</v>
      </c>
      <c r="N174" s="114"/>
      <c r="O174" s="117"/>
      <c r="P174" s="117"/>
    </row>
    <row r="175" spans="1:16" x14ac:dyDescent="0.2">
      <c r="A175" s="1">
        <v>4</v>
      </c>
      <c r="B175" s="231" t="s">
        <v>19</v>
      </c>
      <c r="C175" s="231" t="s">
        <v>424</v>
      </c>
      <c r="D175" s="231" t="s">
        <v>19</v>
      </c>
      <c r="E175" s="231" t="s">
        <v>460</v>
      </c>
      <c r="F175" s="231" t="s">
        <v>345</v>
      </c>
      <c r="G175" s="3" t="s">
        <v>346</v>
      </c>
      <c r="H175" s="268"/>
      <c r="I175" s="2"/>
      <c r="J175" s="2"/>
      <c r="K175" s="382"/>
      <c r="L175" s="115"/>
      <c r="M175" s="573"/>
      <c r="N175" s="114"/>
      <c r="O175" s="117"/>
      <c r="P175" s="117"/>
    </row>
    <row r="176" spans="1:16" x14ac:dyDescent="0.2">
      <c r="A176" s="1">
        <v>4</v>
      </c>
      <c r="B176" s="231" t="s">
        <v>19</v>
      </c>
      <c r="C176" s="231" t="s">
        <v>424</v>
      </c>
      <c r="D176" s="231" t="s">
        <v>19</v>
      </c>
      <c r="E176" s="231" t="s">
        <v>460</v>
      </c>
      <c r="F176" s="231" t="s">
        <v>347</v>
      </c>
      <c r="G176" s="3" t="s">
        <v>100</v>
      </c>
      <c r="H176" s="268" t="s">
        <v>414</v>
      </c>
      <c r="I176" s="2" t="s">
        <v>404</v>
      </c>
      <c r="J176" s="2" t="s">
        <v>483</v>
      </c>
      <c r="K176" s="382">
        <f>fn41142143125[[#Totals],[Stĺpec57]]</f>
        <v>51034</v>
      </c>
      <c r="L176" s="115">
        <f>fn411421431[[#Totals],[Stĺpec59]]</f>
        <v>0</v>
      </c>
      <c r="M176" s="573">
        <f>fn411421431[[#Totals],[Stĺpec58]]</f>
        <v>0</v>
      </c>
      <c r="N176" s="114"/>
      <c r="O176" s="117"/>
      <c r="P176" s="117"/>
    </row>
    <row r="177" spans="1:16" x14ac:dyDescent="0.2">
      <c r="A177" s="1">
        <v>4</v>
      </c>
      <c r="B177" s="231" t="s">
        <v>19</v>
      </c>
      <c r="C177" s="231" t="s">
        <v>424</v>
      </c>
      <c r="D177" s="231" t="s">
        <v>19</v>
      </c>
      <c r="E177" s="231" t="s">
        <v>460</v>
      </c>
      <c r="F177" s="231" t="s">
        <v>348</v>
      </c>
      <c r="G177" s="3" t="s">
        <v>349</v>
      </c>
      <c r="H177" s="268"/>
      <c r="I177" s="2"/>
      <c r="J177" s="2"/>
      <c r="K177" s="382"/>
      <c r="L177" s="115"/>
      <c r="M177" s="573"/>
      <c r="N177" s="114"/>
      <c r="O177" s="117"/>
      <c r="P177" s="117"/>
    </row>
    <row r="178" spans="1:16" x14ac:dyDescent="0.2">
      <c r="A178" s="1">
        <v>4</v>
      </c>
      <c r="B178" s="231" t="s">
        <v>19</v>
      </c>
      <c r="C178" s="231" t="s">
        <v>424</v>
      </c>
      <c r="D178" s="231" t="s">
        <v>19</v>
      </c>
      <c r="E178" s="231" t="s">
        <v>460</v>
      </c>
      <c r="F178" s="231" t="s">
        <v>350</v>
      </c>
      <c r="G178" s="3" t="s">
        <v>351</v>
      </c>
      <c r="H178" s="268"/>
      <c r="I178" s="2"/>
      <c r="J178" s="2"/>
      <c r="K178" s="382"/>
      <c r="L178" s="115"/>
      <c r="M178" s="573"/>
      <c r="N178" s="114"/>
      <c r="O178" s="117"/>
      <c r="P178" s="117"/>
    </row>
    <row r="179" spans="1:16" x14ac:dyDescent="0.2">
      <c r="A179" s="1">
        <v>4</v>
      </c>
      <c r="B179" s="231" t="s">
        <v>19</v>
      </c>
      <c r="C179" s="231" t="s">
        <v>424</v>
      </c>
      <c r="D179" s="231" t="s">
        <v>19</v>
      </c>
      <c r="E179" s="231" t="s">
        <v>460</v>
      </c>
      <c r="F179" s="231" t="s">
        <v>352</v>
      </c>
      <c r="G179" s="3" t="s">
        <v>102</v>
      </c>
      <c r="H179" s="268" t="s">
        <v>414</v>
      </c>
      <c r="I179" s="2" t="s">
        <v>404</v>
      </c>
      <c r="J179" s="2" t="s">
        <v>530</v>
      </c>
      <c r="K179" s="382">
        <f>fn41142143125[[#Totals],[Stĺpec60]]</f>
        <v>51034</v>
      </c>
      <c r="L179" s="115">
        <f>fn411421431[[#Totals],[Stĺpec62]]</f>
        <v>0</v>
      </c>
      <c r="M179" s="573">
        <f>fn411421431[[#Totals],[Stĺpec61]]</f>
        <v>0</v>
      </c>
      <c r="N179" s="114"/>
      <c r="O179" s="117"/>
      <c r="P179" s="117"/>
    </row>
    <row r="180" spans="1:16" x14ac:dyDescent="0.2">
      <c r="A180" s="1">
        <v>4</v>
      </c>
      <c r="B180" s="231" t="s">
        <v>19</v>
      </c>
      <c r="C180" s="231" t="s">
        <v>424</v>
      </c>
      <c r="D180" s="231" t="s">
        <v>19</v>
      </c>
      <c r="E180" s="231" t="s">
        <v>460</v>
      </c>
      <c r="F180" s="231" t="s">
        <v>335</v>
      </c>
      <c r="G180" s="3" t="s">
        <v>88</v>
      </c>
      <c r="H180" s="268" t="s">
        <v>411</v>
      </c>
      <c r="I180" s="2" t="s">
        <v>404</v>
      </c>
      <c r="J180" s="2" t="s">
        <v>483</v>
      </c>
      <c r="K180" s="382">
        <f>fn41142143125[[#Totals],[Stĺpec63]]</f>
        <v>4</v>
      </c>
      <c r="L180" s="115">
        <f>fn411421431[[#Totals],[Stĺpec65]]</f>
        <v>0</v>
      </c>
      <c r="M180" s="573">
        <f>fn411421431[[#Totals],[Stĺpec64]]</f>
        <v>0</v>
      </c>
      <c r="N180" s="114"/>
      <c r="O180" s="117"/>
      <c r="P180" s="117"/>
    </row>
    <row r="181" spans="1:16" x14ac:dyDescent="0.2">
      <c r="A181" s="1">
        <v>4</v>
      </c>
      <c r="B181" s="231" t="s">
        <v>19</v>
      </c>
      <c r="C181" s="231" t="s">
        <v>424</v>
      </c>
      <c r="D181" s="231" t="s">
        <v>19</v>
      </c>
      <c r="E181" s="231" t="s">
        <v>460</v>
      </c>
      <c r="F181" s="231" t="s">
        <v>336</v>
      </c>
      <c r="G181" s="3" t="s">
        <v>83</v>
      </c>
      <c r="H181" s="268" t="s">
        <v>408</v>
      </c>
      <c r="I181" s="2" t="s">
        <v>404</v>
      </c>
      <c r="J181" s="2" t="s">
        <v>483</v>
      </c>
      <c r="K181" s="382">
        <f>fn41142143125[[#Totals],[Stĺpec66]]</f>
        <v>10</v>
      </c>
      <c r="L181" s="115">
        <f>fn411421431[[#Totals],[Stĺpec68]]</f>
        <v>0</v>
      </c>
      <c r="M181" s="573">
        <f>fn411421431[[#Totals],[Stĺpec67]]</f>
        <v>0</v>
      </c>
      <c r="N181" s="114"/>
      <c r="O181" s="117"/>
      <c r="P181" s="117"/>
    </row>
    <row r="182" spans="1:16" ht="13.5" thickBot="1" x14ac:dyDescent="0.25">
      <c r="A182" s="1">
        <v>4</v>
      </c>
      <c r="B182" s="231" t="s">
        <v>19</v>
      </c>
      <c r="C182" s="517" t="s">
        <v>424</v>
      </c>
      <c r="D182" s="517" t="s">
        <v>19</v>
      </c>
      <c r="E182" s="517" t="s">
        <v>460</v>
      </c>
      <c r="F182" s="517" t="s">
        <v>337</v>
      </c>
      <c r="G182" s="518" t="s">
        <v>90</v>
      </c>
      <c r="H182" s="519" t="s">
        <v>412</v>
      </c>
      <c r="I182" s="309" t="s">
        <v>404</v>
      </c>
      <c r="J182" s="309" t="s">
        <v>483</v>
      </c>
      <c r="K182" s="570">
        <f>fn41142143125[[#Totals],[Stĺpec69]]</f>
        <v>6</v>
      </c>
      <c r="L182" s="521">
        <f>fn411421431[[#Totals],[Stĺpec71]]</f>
        <v>0</v>
      </c>
      <c r="M182" s="574">
        <f>fn411421431[[#Totals],[Stĺpec70]]</f>
        <v>0</v>
      </c>
      <c r="N182" s="520"/>
      <c r="O182" s="523"/>
      <c r="P182" s="523"/>
    </row>
    <row r="183" spans="1:16" x14ac:dyDescent="0.2">
      <c r="A183" s="1">
        <v>4</v>
      </c>
      <c r="B183" s="231" t="s">
        <v>20</v>
      </c>
      <c r="C183" s="524" t="s">
        <v>424</v>
      </c>
      <c r="D183" s="524" t="s">
        <v>20</v>
      </c>
      <c r="E183" s="524" t="s">
        <v>447</v>
      </c>
      <c r="F183" s="524" t="s">
        <v>325</v>
      </c>
      <c r="G183" s="525" t="s">
        <v>326</v>
      </c>
      <c r="H183" s="526" t="s">
        <v>414</v>
      </c>
      <c r="I183" s="527" t="s">
        <v>404</v>
      </c>
      <c r="J183" s="527" t="s">
        <v>530</v>
      </c>
      <c r="K183" s="572">
        <f>projekty[[#Totals],[Stĺpec12]]</f>
        <v>126.8476</v>
      </c>
      <c r="L183" s="529">
        <f>projekty[[#Totals],[Stĺpec14]]</f>
        <v>105.54379999999999</v>
      </c>
      <c r="M183" s="576">
        <f>projekty[[#Totals],[Stĺpec13]]</f>
        <v>0</v>
      </c>
      <c r="N183" s="528"/>
      <c r="O183" s="530">
        <f>zonfp[[#Totals],[Stĺpec12]]</f>
        <v>299.20629999999994</v>
      </c>
      <c r="P183" s="530"/>
    </row>
    <row r="184" spans="1:16" x14ac:dyDescent="0.2">
      <c r="A184" s="1">
        <v>4</v>
      </c>
      <c r="B184" s="231" t="s">
        <v>20</v>
      </c>
      <c r="C184" s="231" t="s">
        <v>424</v>
      </c>
      <c r="D184" s="231" t="s">
        <v>20</v>
      </c>
      <c r="E184" s="231" t="s">
        <v>447</v>
      </c>
      <c r="F184" s="231" t="s">
        <v>327</v>
      </c>
      <c r="G184" s="3" t="s">
        <v>328</v>
      </c>
      <c r="H184" s="268" t="s">
        <v>414</v>
      </c>
      <c r="I184" s="2" t="s">
        <v>404</v>
      </c>
      <c r="J184" s="2" t="s">
        <v>530</v>
      </c>
      <c r="K184" s="382">
        <f>projekty[[#Totals],[Stĺpec15]]</f>
        <v>27502.4791</v>
      </c>
      <c r="L184" s="115">
        <f>projekty[[#Totals],[Stĺpec17]]</f>
        <v>0</v>
      </c>
      <c r="M184" s="573">
        <f>projekty[[#Totals],[Stĺpec16]]</f>
        <v>0</v>
      </c>
      <c r="N184" s="114"/>
      <c r="O184" s="117">
        <f>zonfp[[#Totals],[Stĺpec14]]</f>
        <v>1359.9761999999994</v>
      </c>
      <c r="P184" s="117"/>
    </row>
    <row r="185" spans="1:16" x14ac:dyDescent="0.2">
      <c r="A185" s="1">
        <v>4</v>
      </c>
      <c r="B185" s="231" t="s">
        <v>20</v>
      </c>
      <c r="C185" s="231" t="s">
        <v>424</v>
      </c>
      <c r="D185" s="231" t="s">
        <v>20</v>
      </c>
      <c r="E185" s="231" t="s">
        <v>447</v>
      </c>
      <c r="F185" s="231" t="s">
        <v>331</v>
      </c>
      <c r="G185" s="3" t="s">
        <v>85</v>
      </c>
      <c r="H185" s="268" t="s">
        <v>1855</v>
      </c>
      <c r="I185" s="2" t="s">
        <v>404</v>
      </c>
      <c r="J185" s="2" t="s">
        <v>530</v>
      </c>
      <c r="K185" s="382">
        <f>projekty[[#Totals],[Stĺpec18]]+fn411421431[[#Totals],[Stĺpec72]]</f>
        <v>97941.867400000003</v>
      </c>
      <c r="L185" s="115">
        <f>projekty[[#Totals],[Stĺpec20]]+fn411421431[[#Totals],[Stĺpec74]]</f>
        <v>5272.7560999999996</v>
      </c>
      <c r="M185" s="573">
        <f>projekty[[#Totals],[Stĺpec19]]+fn411421431[[#Totals],[Stĺpec73]]</f>
        <v>0</v>
      </c>
      <c r="N185" s="114"/>
      <c r="O185" s="117">
        <f>zonfp[[#Totals],[Stĺpec16]]</f>
        <v>8572.2390999999989</v>
      </c>
      <c r="P185" s="117"/>
    </row>
    <row r="186" spans="1:16" x14ac:dyDescent="0.2">
      <c r="A186" s="1">
        <v>4</v>
      </c>
      <c r="B186" s="231" t="s">
        <v>20</v>
      </c>
      <c r="C186" s="231" t="s">
        <v>424</v>
      </c>
      <c r="D186" s="231" t="s">
        <v>20</v>
      </c>
      <c r="E186" s="231" t="s">
        <v>447</v>
      </c>
      <c r="F186" s="231" t="s">
        <v>353</v>
      </c>
      <c r="G186" s="3" t="s">
        <v>354</v>
      </c>
      <c r="H186" s="268" t="s">
        <v>399</v>
      </c>
      <c r="I186" s="2" t="s">
        <v>404</v>
      </c>
      <c r="J186" s="2" t="s">
        <v>483</v>
      </c>
      <c r="K186" s="382">
        <f>projekty[[#Totals],[Stĺpec21]]</f>
        <v>313</v>
      </c>
      <c r="L186" s="115">
        <f>projekty[[#Totals],[Stĺpec23]]</f>
        <v>289</v>
      </c>
      <c r="M186" s="573">
        <f>projekty[[#Totals],[Stĺpec22]]</f>
        <v>3</v>
      </c>
      <c r="N186" s="114"/>
      <c r="O186" s="117">
        <f>zonfp[[#Totals],[Stĺpec18]]</f>
        <v>952</v>
      </c>
      <c r="P186" s="117"/>
    </row>
    <row r="187" spans="1:16" ht="25.5" x14ac:dyDescent="0.2">
      <c r="A187" s="1">
        <v>4</v>
      </c>
      <c r="B187" s="231" t="s">
        <v>20</v>
      </c>
      <c r="C187" s="231" t="s">
        <v>424</v>
      </c>
      <c r="D187" s="231" t="s">
        <v>20</v>
      </c>
      <c r="E187" s="231" t="s">
        <v>447</v>
      </c>
      <c r="F187" s="231" t="s">
        <v>355</v>
      </c>
      <c r="G187" s="3" t="s">
        <v>106</v>
      </c>
      <c r="H187" s="268" t="s">
        <v>399</v>
      </c>
      <c r="I187" s="2" t="s">
        <v>404</v>
      </c>
      <c r="J187" s="2" t="s">
        <v>483</v>
      </c>
      <c r="K187" s="382">
        <f>projekty[[#Totals],[Stĺpec24]]</f>
        <v>97</v>
      </c>
      <c r="L187" s="115">
        <f>projekty[[#Totals],[Stĺpec26]]</f>
        <v>88</v>
      </c>
      <c r="M187" s="573">
        <f>projekty[[#Totals],[Stĺpec25]]</f>
        <v>0</v>
      </c>
      <c r="N187" s="114"/>
      <c r="O187" s="117">
        <f>zonfp[[#Totals],[Stĺpec20]]</f>
        <v>237</v>
      </c>
      <c r="P187" s="117"/>
    </row>
    <row r="188" spans="1:16" x14ac:dyDescent="0.2">
      <c r="A188" s="1">
        <v>4</v>
      </c>
      <c r="B188" s="231" t="s">
        <v>20</v>
      </c>
      <c r="C188" s="231" t="s">
        <v>424</v>
      </c>
      <c r="D188" s="231" t="s">
        <v>20</v>
      </c>
      <c r="E188" s="231" t="s">
        <v>447</v>
      </c>
      <c r="F188" s="231" t="s">
        <v>356</v>
      </c>
      <c r="G188" s="3" t="s">
        <v>108</v>
      </c>
      <c r="H188" s="268" t="s">
        <v>1856</v>
      </c>
      <c r="I188" s="2" t="s">
        <v>404</v>
      </c>
      <c r="J188" s="2" t="s">
        <v>483</v>
      </c>
      <c r="K188" s="382">
        <f>projekty[[#Totals],[Stĺpec27]]</f>
        <v>135430.45499999996</v>
      </c>
      <c r="L188" s="115">
        <f>projekty[[#Totals],[Stĺpec29]]</f>
        <v>130293.80499999995</v>
      </c>
      <c r="M188" s="573">
        <f>projekty[[#Totals],[Stĺpec28]]</f>
        <v>553.91</v>
      </c>
      <c r="N188" s="114"/>
      <c r="O188" s="117">
        <f>zonfp[[#Totals],[Stĺpec22]]</f>
        <v>389174.42140000034</v>
      </c>
      <c r="P188" s="117"/>
    </row>
    <row r="189" spans="1:16" x14ac:dyDescent="0.2">
      <c r="A189" s="1">
        <v>4</v>
      </c>
      <c r="B189" s="231" t="s">
        <v>20</v>
      </c>
      <c r="C189" s="231" t="s">
        <v>424</v>
      </c>
      <c r="D189" s="231" t="s">
        <v>20</v>
      </c>
      <c r="E189" s="231" t="s">
        <v>447</v>
      </c>
      <c r="F189" s="231" t="s">
        <v>357</v>
      </c>
      <c r="G189" s="3" t="s">
        <v>358</v>
      </c>
      <c r="H189" s="268" t="s">
        <v>414</v>
      </c>
      <c r="I189" s="2" t="s">
        <v>404</v>
      </c>
      <c r="J189" s="2" t="s">
        <v>530</v>
      </c>
      <c r="K189" s="382">
        <f>projekty[[#Totals],[Stĺpec30]]</f>
        <v>186522.46389999997</v>
      </c>
      <c r="L189" s="115">
        <f>projekty[[#Totals],[Stĺpec32]]</f>
        <v>186093.96969999996</v>
      </c>
      <c r="M189" s="573">
        <f>projekty[[#Totals],[Stĺpec31]]</f>
        <v>0</v>
      </c>
      <c r="N189" s="114"/>
      <c r="O189" s="117">
        <f>zonfp[[#Totals],[Stĺpec24]]</f>
        <v>81874.157100000011</v>
      </c>
      <c r="P189" s="117"/>
    </row>
    <row r="190" spans="1:16" x14ac:dyDescent="0.2">
      <c r="A190" s="1">
        <v>4</v>
      </c>
      <c r="B190" s="231" t="s">
        <v>20</v>
      </c>
      <c r="C190" s="231" t="s">
        <v>424</v>
      </c>
      <c r="D190" s="231" t="s">
        <v>20</v>
      </c>
      <c r="E190" s="231" t="s">
        <v>447</v>
      </c>
      <c r="F190" s="231" t="s">
        <v>359</v>
      </c>
      <c r="G190" s="3" t="s">
        <v>360</v>
      </c>
      <c r="H190" s="268" t="s">
        <v>414</v>
      </c>
      <c r="I190" s="2" t="s">
        <v>404</v>
      </c>
      <c r="J190" s="2" t="s">
        <v>530</v>
      </c>
      <c r="K190" s="382">
        <f>projekty[[#Totals],[Stĺpec33]]</f>
        <v>362872.37930000003</v>
      </c>
      <c r="L190" s="115">
        <f>projekty[[#Totals],[Stĺpec35]]</f>
        <v>361565.53830000007</v>
      </c>
      <c r="M190" s="573">
        <f>projekty[[#Totals],[Stĺpec34]]</f>
        <v>1698.1179999999999</v>
      </c>
      <c r="N190" s="114"/>
      <c r="O190" s="117">
        <f>zonfp[[#Totals],[Stĺpec26]]</f>
        <v>289079.4271000002</v>
      </c>
      <c r="P190" s="117"/>
    </row>
    <row r="191" spans="1:16" x14ac:dyDescent="0.2">
      <c r="A191" s="1">
        <v>4</v>
      </c>
      <c r="B191" s="231" t="s">
        <v>20</v>
      </c>
      <c r="C191" s="231" t="s">
        <v>424</v>
      </c>
      <c r="D191" s="231" t="s">
        <v>20</v>
      </c>
      <c r="E191" s="231" t="s">
        <v>447</v>
      </c>
      <c r="F191" s="231" t="s">
        <v>361</v>
      </c>
      <c r="G191" s="3" t="s">
        <v>110</v>
      </c>
      <c r="H191" s="268" t="s">
        <v>415</v>
      </c>
      <c r="I191" s="2" t="s">
        <v>404</v>
      </c>
      <c r="J191" s="2" t="s">
        <v>530</v>
      </c>
      <c r="K191" s="382">
        <f>projekty[[#Totals],[Stĺpec36]]+fn411421431[[#Totals],[Stĺpec75]]</f>
        <v>11008686.432799999</v>
      </c>
      <c r="L191" s="115">
        <f>projekty[[#Totals],[Stĺpec38]]+fn411421431[[#Totals],[Stĺpec77]]</f>
        <v>10130447.783199998</v>
      </c>
      <c r="M191" s="573">
        <f>projekty[[#Totals],[Stĺpec37]]+fn411421431[[#Totals],[Stĺpec76]]</f>
        <v>47.008099999999999</v>
      </c>
      <c r="N191" s="114"/>
      <c r="O191" s="117">
        <f>zonfp[[#Totals],[Stĺpec28]]</f>
        <v>39300115.495700009</v>
      </c>
      <c r="P191" s="117"/>
    </row>
    <row r="192" spans="1:16" x14ac:dyDescent="0.2">
      <c r="A192" s="1">
        <v>4</v>
      </c>
      <c r="B192" s="231" t="s">
        <v>20</v>
      </c>
      <c r="C192" s="231" t="s">
        <v>424</v>
      </c>
      <c r="D192" s="231" t="s">
        <v>20</v>
      </c>
      <c r="E192" s="231" t="s">
        <v>447</v>
      </c>
      <c r="F192" s="231" t="s">
        <v>362</v>
      </c>
      <c r="G192" s="3" t="s">
        <v>363</v>
      </c>
      <c r="H192" s="268" t="s">
        <v>415</v>
      </c>
      <c r="I192" s="2" t="s">
        <v>404</v>
      </c>
      <c r="J192" s="2" t="s">
        <v>530</v>
      </c>
      <c r="K192" s="382">
        <f>projekty[[#Totals],[Stĺpec39]]</f>
        <v>14791510.444699995</v>
      </c>
      <c r="L192" s="115">
        <f>projekty[[#Totals],[Stĺpec41]]</f>
        <v>13621989.274699995</v>
      </c>
      <c r="M192" s="573">
        <f>projekty[[#Totals],[Stĺpec40]]</f>
        <v>47.008099999999999</v>
      </c>
      <c r="N192" s="114"/>
      <c r="O192" s="117">
        <f>zonfp[[#Totals],[Stĺpec30]]</f>
        <v>41861128.859000005</v>
      </c>
      <c r="P192" s="117"/>
    </row>
    <row r="193" spans="1:16" x14ac:dyDescent="0.2">
      <c r="A193" s="1">
        <v>4</v>
      </c>
      <c r="B193" s="231" t="s">
        <v>20</v>
      </c>
      <c r="C193" s="231" t="s">
        <v>424</v>
      </c>
      <c r="D193" s="231" t="s">
        <v>20</v>
      </c>
      <c r="E193" s="231" t="s">
        <v>447</v>
      </c>
      <c r="F193" s="231" t="s">
        <v>238</v>
      </c>
      <c r="G193" s="3" t="s">
        <v>239</v>
      </c>
      <c r="H193" s="268" t="s">
        <v>1857</v>
      </c>
      <c r="I193" s="2" t="s">
        <v>404</v>
      </c>
      <c r="J193" s="2" t="s">
        <v>530</v>
      </c>
      <c r="K193" s="382">
        <f>projekty[[#Totals],[Stĺpec42]]</f>
        <v>60069.185500000007</v>
      </c>
      <c r="L193" s="115">
        <f>projekty[[#Totals],[Stĺpec44]]</f>
        <v>59759.086600000002</v>
      </c>
      <c r="M193" s="573">
        <f>projekty[[#Totals],[Stĺpec43]]</f>
        <v>0</v>
      </c>
      <c r="N193" s="114"/>
      <c r="O193" s="117">
        <f>zonfp[[#Totals],[Stĺpec32]]</f>
        <v>285587.84079999995</v>
      </c>
      <c r="P193" s="117"/>
    </row>
    <row r="194" spans="1:16" x14ac:dyDescent="0.2">
      <c r="A194" s="1">
        <v>4</v>
      </c>
      <c r="B194" s="231" t="s">
        <v>20</v>
      </c>
      <c r="C194" s="231" t="s">
        <v>424</v>
      </c>
      <c r="D194" s="231" t="s">
        <v>20</v>
      </c>
      <c r="E194" s="231" t="s">
        <v>447</v>
      </c>
      <c r="F194" s="231" t="s">
        <v>240</v>
      </c>
      <c r="G194" s="3" t="s">
        <v>241</v>
      </c>
      <c r="H194" s="268" t="s">
        <v>1857</v>
      </c>
      <c r="I194" s="2" t="s">
        <v>404</v>
      </c>
      <c r="J194" s="2" t="s">
        <v>530</v>
      </c>
      <c r="K194" s="382">
        <f>projekty[[#Totals],[Stĺpec45]]</f>
        <v>16940.403100000003</v>
      </c>
      <c r="L194" s="115">
        <f>projekty[[#Totals],[Stĺpec47]]</f>
        <v>16908.202700000002</v>
      </c>
      <c r="M194" s="573">
        <f>projekty[[#Totals],[Stĺpec46]]</f>
        <v>0</v>
      </c>
      <c r="N194" s="114"/>
      <c r="O194" s="117">
        <f>zonfp[[#Totals],[Stĺpec34]]</f>
        <v>120106.24269999999</v>
      </c>
      <c r="P194" s="117"/>
    </row>
    <row r="195" spans="1:16" x14ac:dyDescent="0.2">
      <c r="A195" s="1">
        <v>4</v>
      </c>
      <c r="B195" s="231" t="s">
        <v>20</v>
      </c>
      <c r="C195" s="231" t="s">
        <v>424</v>
      </c>
      <c r="D195" s="231" t="s">
        <v>20</v>
      </c>
      <c r="E195" s="231" t="s">
        <v>447</v>
      </c>
      <c r="F195" s="231" t="s">
        <v>244</v>
      </c>
      <c r="G195" s="3" t="s">
        <v>245</v>
      </c>
      <c r="H195" s="268" t="s">
        <v>1857</v>
      </c>
      <c r="I195" s="2" t="s">
        <v>404</v>
      </c>
      <c r="J195" s="2" t="s">
        <v>530</v>
      </c>
      <c r="K195" s="382">
        <f>projekty[[#Totals],[Stĺpec48]]</f>
        <v>4940.8222999999998</v>
      </c>
      <c r="L195" s="115">
        <f>projekty[[#Totals],[Stĺpec50]]</f>
        <v>4796.0446000000002</v>
      </c>
      <c r="M195" s="573">
        <f>projekty[[#Totals],[Stĺpec49]]</f>
        <v>0</v>
      </c>
      <c r="N195" s="114"/>
      <c r="O195" s="117">
        <f>zonfp[[#Totals],[Stĺpec36]]</f>
        <v>73105.249400000073</v>
      </c>
      <c r="P195" s="117"/>
    </row>
    <row r="196" spans="1:16" x14ac:dyDescent="0.2">
      <c r="A196" s="1">
        <v>4</v>
      </c>
      <c r="B196" s="231" t="s">
        <v>20</v>
      </c>
      <c r="C196" s="231" t="s">
        <v>424</v>
      </c>
      <c r="D196" s="231" t="s">
        <v>20</v>
      </c>
      <c r="E196" s="231" t="s">
        <v>447</v>
      </c>
      <c r="F196" s="231" t="s">
        <v>364</v>
      </c>
      <c r="G196" s="3" t="s">
        <v>104</v>
      </c>
      <c r="H196" s="268" t="s">
        <v>415</v>
      </c>
      <c r="I196" s="2" t="s">
        <v>404</v>
      </c>
      <c r="J196" s="2" t="s">
        <v>530</v>
      </c>
      <c r="K196" s="382">
        <f>projekty[[#Totals],[Stĺpec51]]+fn411421431[[#Totals],[Stĺpec78]]</f>
        <v>19938636.003400002</v>
      </c>
      <c r="L196" s="115">
        <f>projekty[[#Totals],[Stĺpec53]]+fn411421431[[#Totals],[Stĺpec80]]</f>
        <v>18545377.093399998</v>
      </c>
      <c r="M196" s="573">
        <f>projekty[[#Totals],[Stĺpec52]]+fn411421431[[#Totals],[Stĺpec79]]</f>
        <v>47.008099999999999</v>
      </c>
      <c r="N196" s="114"/>
      <c r="O196" s="117">
        <f>zonfp[[#Totals],[Stĺpec38]]</f>
        <v>49251108.136700004</v>
      </c>
      <c r="P196" s="117"/>
    </row>
    <row r="197" spans="1:16" x14ac:dyDescent="0.2">
      <c r="A197" s="1">
        <v>4</v>
      </c>
      <c r="B197" s="231" t="s">
        <v>20</v>
      </c>
      <c r="C197" s="231" t="s">
        <v>424</v>
      </c>
      <c r="D197" s="231" t="s">
        <v>20</v>
      </c>
      <c r="E197" s="231" t="s">
        <v>447</v>
      </c>
      <c r="F197" s="231" t="s">
        <v>335</v>
      </c>
      <c r="G197" s="3" t="s">
        <v>88</v>
      </c>
      <c r="H197" s="268" t="s">
        <v>411</v>
      </c>
      <c r="I197" s="2" t="s">
        <v>404</v>
      </c>
      <c r="J197" s="2" t="s">
        <v>483</v>
      </c>
      <c r="K197" s="382">
        <f>projekty[[#Totals],[Stĺpec54]]</f>
        <v>27.739799999999995</v>
      </c>
      <c r="L197" s="115">
        <f>projekty[[#Totals],[Stĺpec56]]</f>
        <v>13.037899999999999</v>
      </c>
      <c r="M197" s="573">
        <f>projekty[[#Totals],[Stĺpec55]]</f>
        <v>0</v>
      </c>
      <c r="N197" s="114"/>
      <c r="O197" s="117">
        <f>zonfp[[#Totals],[Stĺpec40]]</f>
        <v>73.105400000000003</v>
      </c>
      <c r="P197" s="117"/>
    </row>
    <row r="198" spans="1:16" x14ac:dyDescent="0.2">
      <c r="A198" s="1">
        <v>4</v>
      </c>
      <c r="B198" s="231" t="s">
        <v>20</v>
      </c>
      <c r="C198" s="231" t="s">
        <v>424</v>
      </c>
      <c r="D198" s="231" t="s">
        <v>20</v>
      </c>
      <c r="E198" s="231" t="s">
        <v>447</v>
      </c>
      <c r="F198" s="231" t="s">
        <v>336</v>
      </c>
      <c r="G198" s="3" t="s">
        <v>83</v>
      </c>
      <c r="H198" s="268" t="s">
        <v>408</v>
      </c>
      <c r="I198" s="2" t="s">
        <v>404</v>
      </c>
      <c r="J198" s="2" t="s">
        <v>483</v>
      </c>
      <c r="K198" s="382">
        <f>projekty[[#Totals],[Stĺpec57]]</f>
        <v>243.68139999999994</v>
      </c>
      <c r="L198" s="115">
        <f>projekty[[#Totals],[Stĺpec59]]</f>
        <v>213.15629999999993</v>
      </c>
      <c r="M198" s="573">
        <f>projekty[[#Totals],[Stĺpec58]]</f>
        <v>0</v>
      </c>
      <c r="N198" s="114"/>
      <c r="O198" s="117">
        <f>zonfp[[#Totals],[Stĺpec42]]</f>
        <v>295.03139999999996</v>
      </c>
      <c r="P198" s="117"/>
    </row>
    <row r="199" spans="1:16" ht="13.5" thickBot="1" x14ac:dyDescent="0.25">
      <c r="A199" s="1">
        <v>4</v>
      </c>
      <c r="B199" s="231" t="s">
        <v>20</v>
      </c>
      <c r="C199" s="517" t="s">
        <v>424</v>
      </c>
      <c r="D199" s="517" t="s">
        <v>20</v>
      </c>
      <c r="E199" s="517" t="s">
        <v>447</v>
      </c>
      <c r="F199" s="517" t="s">
        <v>337</v>
      </c>
      <c r="G199" s="518" t="s">
        <v>90</v>
      </c>
      <c r="H199" s="519" t="s">
        <v>412</v>
      </c>
      <c r="I199" s="309" t="s">
        <v>404</v>
      </c>
      <c r="J199" s="309" t="s">
        <v>483</v>
      </c>
      <c r="K199" s="570">
        <f>projekty[[#Totals],[Stĺpec60]]</f>
        <v>175.09350000000001</v>
      </c>
      <c r="L199" s="521">
        <f>projekty[[#Totals],[Stĺpec62]]</f>
        <v>170.18350000000001</v>
      </c>
      <c r="M199" s="574">
        <f>projekty[[#Totals],[Stĺpec61]]</f>
        <v>0</v>
      </c>
      <c r="N199" s="520"/>
      <c r="O199" s="523">
        <f>zonfp[[#Totals],[Stĺpec44]]</f>
        <v>219.08639999999991</v>
      </c>
      <c r="P199" s="523"/>
    </row>
    <row r="200" spans="1:16" x14ac:dyDescent="0.2">
      <c r="A200" s="1">
        <v>4</v>
      </c>
      <c r="B200" s="231" t="s">
        <v>21</v>
      </c>
      <c r="C200" s="524" t="s">
        <v>424</v>
      </c>
      <c r="D200" s="524" t="s">
        <v>21</v>
      </c>
      <c r="E200" s="524" t="s">
        <v>468</v>
      </c>
      <c r="F200" s="524" t="s">
        <v>365</v>
      </c>
      <c r="G200" s="525" t="s">
        <v>366</v>
      </c>
      <c r="H200" s="526"/>
      <c r="I200" s="527"/>
      <c r="J200" s="527"/>
      <c r="K200" s="572"/>
      <c r="L200" s="529"/>
      <c r="M200" s="576"/>
      <c r="N200" s="528"/>
      <c r="O200" s="530"/>
      <c r="P200" s="530"/>
    </row>
    <row r="201" spans="1:16" ht="18" customHeight="1" x14ac:dyDescent="0.2">
      <c r="A201" s="1">
        <v>4</v>
      </c>
      <c r="B201" s="231" t="s">
        <v>21</v>
      </c>
      <c r="C201" s="443" t="s">
        <v>424</v>
      </c>
      <c r="D201" s="443" t="s">
        <v>21</v>
      </c>
      <c r="E201" s="443" t="s">
        <v>468</v>
      </c>
      <c r="F201" s="443" t="s">
        <v>367</v>
      </c>
      <c r="G201" s="3" t="s">
        <v>368</v>
      </c>
      <c r="H201" s="444"/>
      <c r="I201" s="2"/>
      <c r="J201" s="2"/>
      <c r="K201" s="382"/>
      <c r="L201" s="115"/>
      <c r="M201" s="573"/>
      <c r="N201" s="114"/>
      <c r="O201" s="117"/>
      <c r="P201" s="117"/>
    </row>
    <row r="202" spans="1:16" x14ac:dyDescent="0.2">
      <c r="A202" s="1">
        <v>4</v>
      </c>
      <c r="B202" s="231" t="s">
        <v>21</v>
      </c>
      <c r="C202" s="443" t="s">
        <v>424</v>
      </c>
      <c r="D202" s="443" t="s">
        <v>21</v>
      </c>
      <c r="E202" s="443" t="s">
        <v>468</v>
      </c>
      <c r="F202" s="443" t="s">
        <v>373</v>
      </c>
      <c r="G202" s="3" t="s">
        <v>374</v>
      </c>
      <c r="H202" s="444"/>
      <c r="I202" s="2"/>
      <c r="J202" s="2"/>
      <c r="K202" s="382"/>
      <c r="L202" s="115"/>
      <c r="M202" s="573"/>
      <c r="N202" s="114"/>
      <c r="O202" s="117"/>
      <c r="P202" s="117"/>
    </row>
    <row r="203" spans="1:16" x14ac:dyDescent="0.2">
      <c r="A203" s="1">
        <v>4</v>
      </c>
      <c r="B203" s="231" t="s">
        <v>21</v>
      </c>
      <c r="C203" s="443" t="s">
        <v>424</v>
      </c>
      <c r="D203" s="443" t="s">
        <v>21</v>
      </c>
      <c r="E203" s="443" t="s">
        <v>468</v>
      </c>
      <c r="F203" s="443" t="s">
        <v>377</v>
      </c>
      <c r="G203" s="3" t="s">
        <v>118</v>
      </c>
      <c r="H203" s="444"/>
      <c r="I203" s="2"/>
      <c r="J203" s="2"/>
      <c r="K203" s="382"/>
      <c r="L203" s="115"/>
      <c r="M203" s="573"/>
      <c r="N203" s="114"/>
      <c r="O203" s="117"/>
      <c r="P203" s="117"/>
    </row>
    <row r="204" spans="1:16" x14ac:dyDescent="0.2">
      <c r="A204" s="1">
        <v>4</v>
      </c>
      <c r="B204" s="231" t="s">
        <v>21</v>
      </c>
      <c r="C204" s="443" t="s">
        <v>424</v>
      </c>
      <c r="D204" s="443" t="s">
        <v>21</v>
      </c>
      <c r="E204" s="443" t="s">
        <v>470</v>
      </c>
      <c r="F204" s="443" t="s">
        <v>341</v>
      </c>
      <c r="G204" s="3" t="s">
        <v>342</v>
      </c>
      <c r="H204" s="444"/>
      <c r="I204" s="2"/>
      <c r="J204" s="2"/>
      <c r="K204" s="382"/>
      <c r="L204" s="115"/>
      <c r="M204" s="573"/>
      <c r="N204" s="114"/>
      <c r="O204" s="117"/>
      <c r="P204" s="117"/>
    </row>
    <row r="205" spans="1:16" x14ac:dyDescent="0.2">
      <c r="A205" s="1">
        <v>4</v>
      </c>
      <c r="B205" s="231" t="s">
        <v>21</v>
      </c>
      <c r="C205" s="443" t="s">
        <v>424</v>
      </c>
      <c r="D205" s="443" t="s">
        <v>21</v>
      </c>
      <c r="E205" s="443" t="s">
        <v>470</v>
      </c>
      <c r="F205" s="443" t="s">
        <v>343</v>
      </c>
      <c r="G205" s="3" t="s">
        <v>114</v>
      </c>
      <c r="H205" s="444"/>
      <c r="I205" s="2"/>
      <c r="J205" s="2"/>
      <c r="K205" s="382"/>
      <c r="L205" s="115"/>
      <c r="M205" s="573"/>
      <c r="N205" s="114"/>
      <c r="O205" s="117"/>
      <c r="P205" s="117"/>
    </row>
    <row r="206" spans="1:16" x14ac:dyDescent="0.2">
      <c r="A206" s="1">
        <v>4</v>
      </c>
      <c r="B206" s="231" t="s">
        <v>21</v>
      </c>
      <c r="C206" s="443" t="s">
        <v>424</v>
      </c>
      <c r="D206" s="443" t="s">
        <v>21</v>
      </c>
      <c r="E206" s="443" t="s">
        <v>470</v>
      </c>
      <c r="F206" s="443" t="s">
        <v>378</v>
      </c>
      <c r="G206" s="3" t="s">
        <v>379</v>
      </c>
      <c r="H206" s="444"/>
      <c r="I206" s="2"/>
      <c r="J206" s="2"/>
      <c r="K206" s="382"/>
      <c r="L206" s="115"/>
      <c r="M206" s="573"/>
      <c r="N206" s="114"/>
      <c r="O206" s="117"/>
      <c r="P206" s="117"/>
    </row>
    <row r="207" spans="1:16" x14ac:dyDescent="0.2">
      <c r="A207" s="1">
        <v>4</v>
      </c>
      <c r="B207" s="231" t="s">
        <v>21</v>
      </c>
      <c r="C207" s="443" t="s">
        <v>424</v>
      </c>
      <c r="D207" s="443" t="s">
        <v>21</v>
      </c>
      <c r="E207" s="443" t="s">
        <v>467</v>
      </c>
      <c r="F207" s="443" t="s">
        <v>338</v>
      </c>
      <c r="G207" s="3" t="s">
        <v>94</v>
      </c>
      <c r="H207" s="444"/>
      <c r="I207" s="2"/>
      <c r="J207" s="2"/>
      <c r="K207" s="382"/>
      <c r="L207" s="115"/>
      <c r="M207" s="573"/>
      <c r="N207" s="114"/>
      <c r="O207" s="117"/>
      <c r="P207" s="117"/>
    </row>
    <row r="208" spans="1:16" ht="16.5" customHeight="1" x14ac:dyDescent="0.2">
      <c r="A208" s="1">
        <v>4</v>
      </c>
      <c r="B208" s="231" t="s">
        <v>21</v>
      </c>
      <c r="C208" s="231" t="s">
        <v>424</v>
      </c>
      <c r="D208" s="231" t="s">
        <v>21</v>
      </c>
      <c r="E208" s="231" t="s">
        <v>467</v>
      </c>
      <c r="F208" s="231" t="s">
        <v>375</v>
      </c>
      <c r="G208" s="3" t="s">
        <v>376</v>
      </c>
      <c r="H208" s="268"/>
      <c r="I208" s="2"/>
      <c r="J208" s="2"/>
      <c r="K208" s="382"/>
      <c r="L208" s="115"/>
      <c r="M208" s="573"/>
      <c r="N208" s="114"/>
      <c r="O208" s="117"/>
      <c r="P208" s="117"/>
    </row>
    <row r="209" spans="1:16" x14ac:dyDescent="0.2">
      <c r="A209" s="1">
        <v>4</v>
      </c>
      <c r="B209" s="231" t="s">
        <v>21</v>
      </c>
      <c r="C209" s="231" t="s">
        <v>424</v>
      </c>
      <c r="D209" s="231" t="s">
        <v>21</v>
      </c>
      <c r="E209" s="231" t="s">
        <v>429</v>
      </c>
      <c r="F209" s="231" t="s">
        <v>145</v>
      </c>
      <c r="G209" s="3" t="s">
        <v>146</v>
      </c>
      <c r="H209" s="268"/>
      <c r="I209" s="2"/>
      <c r="J209" s="2"/>
      <c r="K209" s="382"/>
      <c r="L209" s="115"/>
      <c r="M209" s="573"/>
      <c r="N209" s="114"/>
      <c r="O209" s="117"/>
      <c r="P209" s="117"/>
    </row>
    <row r="210" spans="1:16" x14ac:dyDescent="0.2">
      <c r="A210" s="1">
        <v>4</v>
      </c>
      <c r="B210" s="231" t="s">
        <v>21</v>
      </c>
      <c r="C210" s="231" t="s">
        <v>424</v>
      </c>
      <c r="D210" s="231" t="s">
        <v>21</v>
      </c>
      <c r="E210" s="231" t="s">
        <v>429</v>
      </c>
      <c r="F210" s="231" t="s">
        <v>151</v>
      </c>
      <c r="G210" s="3" t="s">
        <v>152</v>
      </c>
      <c r="H210" s="268"/>
      <c r="I210" s="2"/>
      <c r="J210" s="2"/>
      <c r="K210" s="382"/>
      <c r="L210" s="115"/>
      <c r="M210" s="573"/>
      <c r="N210" s="114"/>
      <c r="O210" s="117"/>
      <c r="P210" s="117"/>
    </row>
    <row r="211" spans="1:16" x14ac:dyDescent="0.2">
      <c r="A211" s="1">
        <v>4</v>
      </c>
      <c r="B211" s="231" t="s">
        <v>21</v>
      </c>
      <c r="C211" s="231" t="s">
        <v>424</v>
      </c>
      <c r="D211" s="231" t="s">
        <v>21</v>
      </c>
      <c r="E211" s="231" t="s">
        <v>469</v>
      </c>
      <c r="F211" s="231" t="s">
        <v>338</v>
      </c>
      <c r="G211" s="3" t="s">
        <v>94</v>
      </c>
      <c r="H211" s="268"/>
      <c r="I211" s="2"/>
      <c r="J211" s="2"/>
      <c r="K211" s="382"/>
      <c r="L211" s="115"/>
      <c r="M211" s="573"/>
      <c r="N211" s="114"/>
      <c r="O211" s="117"/>
      <c r="P211" s="117"/>
    </row>
    <row r="212" spans="1:16" x14ac:dyDescent="0.2">
      <c r="A212" s="1">
        <v>4</v>
      </c>
      <c r="B212" s="231" t="s">
        <v>21</v>
      </c>
      <c r="C212" s="231" t="s">
        <v>424</v>
      </c>
      <c r="D212" s="231" t="s">
        <v>21</v>
      </c>
      <c r="E212" s="231" t="s">
        <v>469</v>
      </c>
      <c r="F212" s="231" t="s">
        <v>369</v>
      </c>
      <c r="G212" s="3" t="s">
        <v>370</v>
      </c>
      <c r="H212" s="268"/>
      <c r="I212" s="2"/>
      <c r="J212" s="2"/>
      <c r="K212" s="382"/>
      <c r="L212" s="115"/>
      <c r="M212" s="573"/>
      <c r="N212" s="114"/>
      <c r="O212" s="117"/>
      <c r="P212" s="117"/>
    </row>
    <row r="213" spans="1:16" x14ac:dyDescent="0.2">
      <c r="A213" s="1">
        <v>4</v>
      </c>
      <c r="B213" s="231" t="s">
        <v>21</v>
      </c>
      <c r="C213" s="231" t="s">
        <v>424</v>
      </c>
      <c r="D213" s="231" t="s">
        <v>21</v>
      </c>
      <c r="E213" s="231" t="s">
        <v>469</v>
      </c>
      <c r="F213" s="231" t="s">
        <v>380</v>
      </c>
      <c r="G213" s="3" t="s">
        <v>112</v>
      </c>
      <c r="H213" s="268"/>
      <c r="I213" s="2"/>
      <c r="J213" s="2"/>
      <c r="K213" s="382"/>
      <c r="L213" s="115"/>
      <c r="M213" s="573"/>
      <c r="N213" s="114"/>
      <c r="O213" s="117"/>
      <c r="P213" s="117"/>
    </row>
    <row r="214" spans="1:16" x14ac:dyDescent="0.2">
      <c r="A214" s="1">
        <v>4</v>
      </c>
      <c r="B214" s="231" t="s">
        <v>21</v>
      </c>
      <c r="C214" s="231" t="s">
        <v>424</v>
      </c>
      <c r="D214" s="231" t="s">
        <v>21</v>
      </c>
      <c r="E214" s="231" t="s">
        <v>472</v>
      </c>
      <c r="F214" s="231" t="s">
        <v>371</v>
      </c>
      <c r="G214" s="3" t="s">
        <v>372</v>
      </c>
      <c r="H214" s="268"/>
      <c r="I214" s="2"/>
      <c r="J214" s="2"/>
      <c r="K214" s="382"/>
      <c r="L214" s="115"/>
      <c r="M214" s="573"/>
      <c r="N214" s="114"/>
      <c r="O214" s="117"/>
      <c r="P214" s="117"/>
    </row>
    <row r="215" spans="1:16" ht="13.5" thickBot="1" x14ac:dyDescent="0.25">
      <c r="A215" s="1">
        <v>4</v>
      </c>
      <c r="B215" s="231" t="s">
        <v>21</v>
      </c>
      <c r="C215" s="517" t="s">
        <v>424</v>
      </c>
      <c r="D215" s="517" t="s">
        <v>21</v>
      </c>
      <c r="E215" s="517" t="s">
        <v>472</v>
      </c>
      <c r="F215" s="517" t="s">
        <v>381</v>
      </c>
      <c r="G215" s="518" t="s">
        <v>382</v>
      </c>
      <c r="H215" s="519"/>
      <c r="I215" s="309"/>
      <c r="J215" s="309"/>
      <c r="K215" s="570"/>
      <c r="L215" s="521"/>
      <c r="M215" s="574"/>
      <c r="N215" s="520"/>
      <c r="O215" s="523"/>
      <c r="P215" s="523"/>
    </row>
    <row r="216" spans="1:16" ht="12.75" customHeight="1" x14ac:dyDescent="0.2">
      <c r="A216" s="1">
        <v>4</v>
      </c>
      <c r="B216" s="231" t="s">
        <v>22</v>
      </c>
      <c r="C216" s="524" t="s">
        <v>424</v>
      </c>
      <c r="D216" s="524" t="s">
        <v>22</v>
      </c>
      <c r="E216" s="524" t="s">
        <v>464</v>
      </c>
      <c r="F216" s="524" t="s">
        <v>331</v>
      </c>
      <c r="G216" s="525" t="s">
        <v>85</v>
      </c>
      <c r="H216" s="526"/>
      <c r="I216" s="527"/>
      <c r="J216" s="527"/>
      <c r="K216" s="572"/>
      <c r="L216" s="529"/>
      <c r="M216" s="576"/>
      <c r="N216" s="528"/>
      <c r="O216" s="530"/>
      <c r="P216" s="530"/>
    </row>
    <row r="217" spans="1:16" ht="12.75" customHeight="1" x14ac:dyDescent="0.2">
      <c r="A217" s="1">
        <v>4</v>
      </c>
      <c r="B217" s="231" t="s">
        <v>22</v>
      </c>
      <c r="C217" s="231" t="s">
        <v>424</v>
      </c>
      <c r="D217" s="231" t="s">
        <v>22</v>
      </c>
      <c r="E217" s="231" t="s">
        <v>464</v>
      </c>
      <c r="F217" s="231" t="s">
        <v>384</v>
      </c>
      <c r="G217" s="3" t="s">
        <v>120</v>
      </c>
      <c r="H217" s="268"/>
      <c r="I217" s="2"/>
      <c r="J217" s="2"/>
      <c r="K217" s="382"/>
      <c r="L217" s="115"/>
      <c r="M217" s="573"/>
      <c r="N217" s="114"/>
      <c r="O217" s="117"/>
      <c r="P217" s="117"/>
    </row>
    <row r="218" spans="1:16" ht="12.75" customHeight="1" x14ac:dyDescent="0.2">
      <c r="A218" s="1">
        <v>4</v>
      </c>
      <c r="B218" s="231" t="s">
        <v>22</v>
      </c>
      <c r="C218" s="231" t="s">
        <v>424</v>
      </c>
      <c r="D218" s="231" t="s">
        <v>22</v>
      </c>
      <c r="E218" s="231" t="s">
        <v>464</v>
      </c>
      <c r="F218" s="231" t="s">
        <v>385</v>
      </c>
      <c r="G218" s="3" t="s">
        <v>122</v>
      </c>
      <c r="H218" s="268"/>
      <c r="I218" s="2"/>
      <c r="J218" s="2"/>
      <c r="K218" s="382"/>
      <c r="L218" s="115"/>
      <c r="M218" s="573"/>
      <c r="N218" s="114"/>
      <c r="O218" s="117"/>
      <c r="P218" s="117"/>
    </row>
    <row r="219" spans="1:16" ht="25.5" customHeight="1" x14ac:dyDescent="0.2">
      <c r="A219" s="1">
        <v>4</v>
      </c>
      <c r="B219" s="231" t="s">
        <v>22</v>
      </c>
      <c r="C219" s="231" t="s">
        <v>424</v>
      </c>
      <c r="D219" s="231" t="s">
        <v>22</v>
      </c>
      <c r="E219" s="231" t="s">
        <v>465</v>
      </c>
      <c r="F219" s="231" t="s">
        <v>383</v>
      </c>
      <c r="G219" s="3" t="s">
        <v>124</v>
      </c>
      <c r="H219" s="268"/>
      <c r="I219" s="2"/>
      <c r="J219" s="2"/>
      <c r="K219" s="382"/>
      <c r="L219" s="115"/>
      <c r="M219" s="573"/>
      <c r="N219" s="114"/>
      <c r="O219" s="117"/>
      <c r="P219" s="117"/>
    </row>
    <row r="220" spans="1:16" ht="12.75" customHeight="1" x14ac:dyDescent="0.2">
      <c r="A220" s="1">
        <v>4</v>
      </c>
      <c r="B220" s="231" t="s">
        <v>22</v>
      </c>
      <c r="C220" s="231" t="s">
        <v>424</v>
      </c>
      <c r="D220" s="231" t="s">
        <v>22</v>
      </c>
      <c r="E220" s="231" t="s">
        <v>465</v>
      </c>
      <c r="F220" s="231" t="s">
        <v>331</v>
      </c>
      <c r="G220" s="3" t="s">
        <v>85</v>
      </c>
      <c r="H220" s="268"/>
      <c r="I220" s="2"/>
      <c r="J220" s="2"/>
      <c r="K220" s="382"/>
      <c r="L220" s="115"/>
      <c r="M220" s="573"/>
      <c r="N220" s="114"/>
      <c r="O220" s="117"/>
      <c r="P220" s="117"/>
    </row>
    <row r="221" spans="1:16" ht="25.5" customHeight="1" x14ac:dyDescent="0.2">
      <c r="A221" s="1">
        <v>4</v>
      </c>
      <c r="B221" s="231" t="s">
        <v>22</v>
      </c>
      <c r="C221" s="231" t="s">
        <v>424</v>
      </c>
      <c r="D221" s="231" t="s">
        <v>22</v>
      </c>
      <c r="E221" s="231" t="s">
        <v>465</v>
      </c>
      <c r="F221" s="231" t="s">
        <v>386</v>
      </c>
      <c r="G221" s="3" t="s">
        <v>387</v>
      </c>
      <c r="H221" s="268"/>
      <c r="I221" s="2"/>
      <c r="J221" s="2"/>
      <c r="K221" s="382"/>
      <c r="L221" s="115"/>
      <c r="M221" s="573"/>
      <c r="N221" s="114"/>
      <c r="O221" s="117"/>
      <c r="P221" s="117"/>
    </row>
    <row r="222" spans="1:16" ht="25.5" customHeight="1" thickBot="1" x14ac:dyDescent="0.25">
      <c r="A222" s="1">
        <v>4</v>
      </c>
      <c r="B222" s="231" t="s">
        <v>22</v>
      </c>
      <c r="C222" s="517" t="s">
        <v>424</v>
      </c>
      <c r="D222" s="517" t="s">
        <v>22</v>
      </c>
      <c r="E222" s="517" t="s">
        <v>465</v>
      </c>
      <c r="F222" s="517" t="s">
        <v>388</v>
      </c>
      <c r="G222" s="518" t="s">
        <v>126</v>
      </c>
      <c r="H222" s="519"/>
      <c r="I222" s="309"/>
      <c r="J222" s="309"/>
      <c r="K222" s="570"/>
      <c r="L222" s="521"/>
      <c r="M222" s="574"/>
      <c r="N222" s="520"/>
      <c r="O222" s="523"/>
      <c r="P222" s="523"/>
    </row>
    <row r="223" spans="1:16" ht="13.5" thickTop="1" x14ac:dyDescent="0.2">
      <c r="A223" s="1">
        <v>5</v>
      </c>
      <c r="B223" s="231" t="s">
        <v>15</v>
      </c>
      <c r="C223" s="472" t="s">
        <v>438</v>
      </c>
      <c r="D223" s="472" t="s">
        <v>15</v>
      </c>
      <c r="E223" s="472" t="s">
        <v>471</v>
      </c>
      <c r="F223" s="472" t="s">
        <v>396</v>
      </c>
      <c r="G223" s="473" t="s">
        <v>130</v>
      </c>
      <c r="H223" s="474" t="s">
        <v>399</v>
      </c>
      <c r="I223" s="475"/>
      <c r="J223" s="475"/>
      <c r="K223" s="476">
        <f>'5.1.1 TP Proj.real.'!K10</f>
        <v>0</v>
      </c>
      <c r="L223" s="1246">
        <f>'5.1.1 TP Proj.real.'!M10</f>
        <v>0</v>
      </c>
      <c r="M223" s="580">
        <f>'5.1.1 TP Proj.real.'!L10</f>
        <v>0</v>
      </c>
      <c r="N223" s="581"/>
      <c r="O223" s="479">
        <v>0</v>
      </c>
      <c r="P223" s="479"/>
    </row>
    <row r="224" spans="1:16" x14ac:dyDescent="0.2">
      <c r="A224" s="1">
        <v>5</v>
      </c>
      <c r="B224" s="231" t="s">
        <v>15</v>
      </c>
      <c r="C224" s="443" t="s">
        <v>438</v>
      </c>
      <c r="D224" s="443" t="s">
        <v>15</v>
      </c>
      <c r="E224" s="443" t="s">
        <v>475</v>
      </c>
      <c r="F224" s="443" t="s">
        <v>389</v>
      </c>
      <c r="G224" s="3" t="s">
        <v>390</v>
      </c>
      <c r="H224" s="444" t="s">
        <v>416</v>
      </c>
      <c r="I224" s="2" t="s">
        <v>618</v>
      </c>
      <c r="J224" s="2" t="s">
        <v>483</v>
      </c>
      <c r="K224" s="382">
        <f>'5.1.1 TP Proj.real.'!N10</f>
        <v>350</v>
      </c>
      <c r="L224" s="115">
        <f>'5.1.1 TP Proj.real.'!O10</f>
        <v>313.2099</v>
      </c>
      <c r="M224" s="573">
        <f>'5.1.1 TP Proj.real.'!O10</f>
        <v>313.2099</v>
      </c>
      <c r="N224" s="114"/>
      <c r="O224" s="117">
        <f>'5.1.1 TP ZoNFP'!N6</f>
        <v>83</v>
      </c>
      <c r="P224" s="117"/>
    </row>
    <row r="225" spans="1:16" ht="25.5" x14ac:dyDescent="0.2">
      <c r="A225" s="1">
        <v>5</v>
      </c>
      <c r="B225" s="231" t="s">
        <v>15</v>
      </c>
      <c r="C225" s="231" t="s">
        <v>438</v>
      </c>
      <c r="D225" s="231" t="s">
        <v>15</v>
      </c>
      <c r="E225" s="231" t="s">
        <v>473</v>
      </c>
      <c r="F225" s="231" t="s">
        <v>391</v>
      </c>
      <c r="G225" s="3" t="s">
        <v>392</v>
      </c>
      <c r="H225" s="268" t="s">
        <v>399</v>
      </c>
      <c r="I225" s="2" t="s">
        <v>1881</v>
      </c>
      <c r="J225" s="2" t="s">
        <v>483</v>
      </c>
      <c r="K225" s="382">
        <f>'5.1.1 TP Proj.real.'!R10</f>
        <v>120</v>
      </c>
      <c r="L225" s="115">
        <f>'5.1.1 TP Proj.real.'!S10</f>
        <v>115.7</v>
      </c>
      <c r="M225" s="573">
        <f>'5.1.1 TP Proj.real.'!S10</f>
        <v>115.7</v>
      </c>
      <c r="N225" s="114"/>
      <c r="O225" s="117">
        <v>0</v>
      </c>
      <c r="P225" s="117"/>
    </row>
    <row r="226" spans="1:16" x14ac:dyDescent="0.2">
      <c r="A226" s="1">
        <v>5</v>
      </c>
      <c r="B226" s="231" t="s">
        <v>15</v>
      </c>
      <c r="C226" s="231" t="s">
        <v>438</v>
      </c>
      <c r="D226" s="231" t="s">
        <v>15</v>
      </c>
      <c r="E226" s="231" t="s">
        <v>473</v>
      </c>
      <c r="F226" s="231" t="s">
        <v>394</v>
      </c>
      <c r="G226" s="3" t="s">
        <v>395</v>
      </c>
      <c r="H226" s="268" t="s">
        <v>399</v>
      </c>
      <c r="I226" s="2" t="s">
        <v>1881</v>
      </c>
      <c r="J226" s="2" t="s">
        <v>483</v>
      </c>
      <c r="K226" s="382">
        <f>'5.1.1 TP Proj.real.'!V10</f>
        <v>0</v>
      </c>
      <c r="L226" s="115">
        <f>'5.1.1 TP Proj.real.'!W10</f>
        <v>0</v>
      </c>
      <c r="M226" s="573">
        <f>'5.1.1 TP Proj.real.'!W10</f>
        <v>0</v>
      </c>
      <c r="N226" s="114"/>
      <c r="O226" s="117">
        <v>0</v>
      </c>
      <c r="P226" s="117"/>
    </row>
    <row r="227" spans="1:16" x14ac:dyDescent="0.2">
      <c r="A227" s="1">
        <v>5</v>
      </c>
      <c r="B227" s="231" t="s">
        <v>15</v>
      </c>
      <c r="C227" s="231" t="s">
        <v>438</v>
      </c>
      <c r="D227" s="231" t="s">
        <v>15</v>
      </c>
      <c r="E227" s="231" t="s">
        <v>473</v>
      </c>
      <c r="F227" s="231" t="s">
        <v>1862</v>
      </c>
      <c r="G227" s="3" t="s">
        <v>1860</v>
      </c>
      <c r="H227" s="110" t="s">
        <v>399</v>
      </c>
      <c r="I227" s="110"/>
      <c r="J227" s="110"/>
      <c r="K227" s="382">
        <f>'5.1.1 TP Proj.real.'!Y10</f>
        <v>0</v>
      </c>
      <c r="L227" s="115">
        <f>'5.1.1 TP Proj.real.'!Z10</f>
        <v>0</v>
      </c>
      <c r="M227" s="573">
        <f>'5.1.1 TP Proj.real.'!Z10</f>
        <v>0</v>
      </c>
      <c r="N227" s="114"/>
      <c r="O227" s="118">
        <v>0</v>
      </c>
      <c r="P227" s="118"/>
    </row>
    <row r="228" spans="1:16" x14ac:dyDescent="0.2">
      <c r="A228" s="1">
        <v>5</v>
      </c>
      <c r="B228" s="231" t="s">
        <v>15</v>
      </c>
      <c r="C228" s="231" t="s">
        <v>438</v>
      </c>
      <c r="D228" s="231" t="s">
        <v>15</v>
      </c>
      <c r="E228" s="231" t="s">
        <v>474</v>
      </c>
      <c r="F228" s="231" t="s">
        <v>393</v>
      </c>
      <c r="G228" s="3" t="s">
        <v>133</v>
      </c>
      <c r="H228" s="268" t="s">
        <v>399</v>
      </c>
      <c r="I228" s="2" t="s">
        <v>1881</v>
      </c>
      <c r="J228" s="2" t="s">
        <v>483</v>
      </c>
      <c r="K228" s="382">
        <f>'5.1.1 TP Proj.real.'!AA10</f>
        <v>1</v>
      </c>
      <c r="L228" s="115">
        <f>'5.1.1 TP Proj.real.'!AB10</f>
        <v>1</v>
      </c>
      <c r="M228" s="573">
        <f>'5.1.1 TP Proj.real.'!AB10</f>
        <v>1</v>
      </c>
      <c r="N228" s="114"/>
      <c r="O228" s="117">
        <v>0</v>
      </c>
      <c r="P228" s="117"/>
    </row>
    <row r="229" spans="1:16" x14ac:dyDescent="0.2">
      <c r="A229" s="1">
        <v>5</v>
      </c>
      <c r="B229" s="231" t="s">
        <v>23</v>
      </c>
      <c r="C229" s="231" t="s">
        <v>438</v>
      </c>
      <c r="D229" s="231" t="s">
        <v>23</v>
      </c>
      <c r="E229" s="231" t="s">
        <v>436</v>
      </c>
      <c r="F229" s="231" t="s">
        <v>151</v>
      </c>
      <c r="G229" s="3" t="s">
        <v>152</v>
      </c>
      <c r="H229" s="268" t="s">
        <v>399</v>
      </c>
      <c r="I229" s="2"/>
      <c r="J229" s="2"/>
      <c r="K229" s="382">
        <f>'5.1.1 TP Proj.real.'!AC10</f>
        <v>0</v>
      </c>
      <c r="L229" s="115">
        <f>'5.1.1 TP Proj.real.'!AD10</f>
        <v>0</v>
      </c>
      <c r="M229" s="573">
        <f>'5.1.1 TP Proj.real.'!AD10</f>
        <v>0</v>
      </c>
      <c r="N229" s="114"/>
      <c r="O229" s="117">
        <v>0</v>
      </c>
      <c r="P229" s="117"/>
    </row>
    <row r="230" spans="1:16" x14ac:dyDescent="0.2">
      <c r="A230" s="1">
        <v>5</v>
      </c>
      <c r="B230" s="231" t="s">
        <v>23</v>
      </c>
      <c r="C230" s="231" t="s">
        <v>438</v>
      </c>
      <c r="D230" s="231" t="s">
        <v>23</v>
      </c>
      <c r="E230" s="231" t="s">
        <v>437</v>
      </c>
      <c r="F230" s="231" t="s">
        <v>151</v>
      </c>
      <c r="G230" s="3" t="s">
        <v>152</v>
      </c>
      <c r="H230" s="268" t="s">
        <v>399</v>
      </c>
      <c r="I230" s="2"/>
      <c r="J230" s="2"/>
      <c r="K230" s="382">
        <f>'5.1.1 TP Proj.real.'!AE10</f>
        <v>0</v>
      </c>
      <c r="L230" s="115">
        <f>'5.1.1 TP Proj.real.'!AF10</f>
        <v>0</v>
      </c>
      <c r="M230" s="573">
        <f>'5.1.1 TP Proj.real.'!AF10</f>
        <v>0</v>
      </c>
      <c r="N230" s="114"/>
      <c r="O230" s="117">
        <v>0</v>
      </c>
      <c r="P230" s="117"/>
    </row>
    <row r="234" spans="1:16" x14ac:dyDescent="0.2">
      <c r="M234" s="360"/>
    </row>
    <row r="237" spans="1:16" ht="51" x14ac:dyDescent="0.2">
      <c r="C237" s="229" t="s">
        <v>0</v>
      </c>
      <c r="D237" s="229" t="s">
        <v>1</v>
      </c>
      <c r="E237" s="229" t="s">
        <v>418</v>
      </c>
      <c r="F237" s="229" t="s">
        <v>4</v>
      </c>
      <c r="G237" s="229" t="s">
        <v>401</v>
      </c>
      <c r="H237" s="267" t="s">
        <v>397</v>
      </c>
      <c r="I237" s="229" t="s">
        <v>403</v>
      </c>
      <c r="J237" s="229" t="s">
        <v>482</v>
      </c>
      <c r="K237" s="381" t="s">
        <v>531</v>
      </c>
      <c r="L237" s="315" t="s">
        <v>2413</v>
      </c>
      <c r="M237" s="316" t="s">
        <v>2402</v>
      </c>
      <c r="N237" s="229" t="s">
        <v>2037</v>
      </c>
      <c r="O237" s="229" t="s">
        <v>1852</v>
      </c>
      <c r="P237" s="229" t="s">
        <v>1853</v>
      </c>
    </row>
    <row r="238" spans="1:16" x14ac:dyDescent="0.2">
      <c r="C238" s="1">
        <v>1</v>
      </c>
      <c r="D238" s="231" t="s">
        <v>3</v>
      </c>
      <c r="E238" s="14"/>
      <c r="F238" s="14" t="s">
        <v>409</v>
      </c>
      <c r="G238" s="14" t="s">
        <v>2029</v>
      </c>
      <c r="H238" s="313"/>
      <c r="I238" s="313"/>
      <c r="J238" s="313"/>
      <c r="K238" s="384">
        <f>'1.1.1 Proj.real.'!I144</f>
        <v>142714827.06999999</v>
      </c>
      <c r="L238" s="386">
        <f>'1.1.1 Proj.real.'!K144</f>
        <v>74811756.559999987</v>
      </c>
      <c r="M238" s="300">
        <f>'1.1.1 Proj.real.'!J144</f>
        <v>0</v>
      </c>
      <c r="N238" s="300"/>
      <c r="O238" s="300">
        <f>'1.1.1 (10.V) Schv.ZoNFP'!I7+'1.1.1 (11.V) Schv.ZoNFP'!I33</f>
        <v>18630029.909999996</v>
      </c>
      <c r="P238" s="300">
        <f>'1.1.1 (12.V) Dor.ZoNFP'!H7+'1.1.1 (15.V) Dor.ZoNFP'!I8+'1.1.1 (16.V) Dor.ZoNFP'!I31</f>
        <v>79706771.569999993</v>
      </c>
    </row>
    <row r="239" spans="1:16" x14ac:dyDescent="0.2">
      <c r="C239" s="231" t="s">
        <v>417</v>
      </c>
      <c r="D239" s="231" t="s">
        <v>2038</v>
      </c>
      <c r="E239" s="14"/>
      <c r="F239" s="14"/>
      <c r="G239" s="14"/>
      <c r="H239" s="313"/>
      <c r="I239" s="313"/>
      <c r="J239" s="313"/>
      <c r="K239" s="384">
        <f>'1.2.1+1.2.2 Proj.real.'!I47</f>
        <v>523957521.48000008</v>
      </c>
      <c r="L239" s="386">
        <f>'1.2.1+1.2.2 Proj.real.'!K47</f>
        <v>235419210.59999996</v>
      </c>
      <c r="M239" s="300">
        <f>'1.2.1+1.2.2 Proj.real.'!J47</f>
        <v>0</v>
      </c>
      <c r="N239" s="300">
        <f>'1.2.1+1.2.2 (1.V) Zasob'!I23</f>
        <v>158037636.66000003</v>
      </c>
      <c r="O239" s="300"/>
      <c r="P239" s="300"/>
    </row>
    <row r="240" spans="1:16" x14ac:dyDescent="0.2">
      <c r="C240" s="231" t="s">
        <v>417</v>
      </c>
      <c r="D240" s="231" t="s">
        <v>6</v>
      </c>
      <c r="E240" s="14"/>
      <c r="F240" s="14"/>
      <c r="G240" s="14"/>
      <c r="H240" s="313"/>
      <c r="I240" s="313"/>
      <c r="J240" s="313"/>
      <c r="K240" s="384">
        <f>'1.2.3 Proj.real'!I9</f>
        <v>30845033.509999998</v>
      </c>
      <c r="L240" s="386">
        <f>'1.2.3 Proj.real'!K9</f>
        <v>681181.97</v>
      </c>
      <c r="M240" s="300">
        <f>'1.2.3 Proj.real'!J9</f>
        <v>681181.97</v>
      </c>
      <c r="N240" s="300"/>
      <c r="O240" s="300"/>
      <c r="P240" s="300"/>
    </row>
    <row r="241" spans="3:16" x14ac:dyDescent="0.2">
      <c r="C241" s="231" t="s">
        <v>417</v>
      </c>
      <c r="D241" s="231" t="s">
        <v>7</v>
      </c>
      <c r="E241" s="14"/>
      <c r="F241" s="14"/>
      <c r="G241" s="14"/>
      <c r="H241" s="313"/>
      <c r="I241" s="313"/>
      <c r="J241" s="313"/>
      <c r="K241" s="384"/>
      <c r="L241" s="386"/>
      <c r="M241" s="300"/>
      <c r="N241" s="300"/>
      <c r="O241" s="300"/>
      <c r="P241" s="300"/>
    </row>
    <row r="242" spans="3:16" x14ac:dyDescent="0.2">
      <c r="C242" s="231" t="s">
        <v>417</v>
      </c>
      <c r="D242" s="231" t="s">
        <v>8</v>
      </c>
      <c r="E242" s="14"/>
      <c r="F242" s="14"/>
      <c r="G242" s="14"/>
      <c r="H242" s="313"/>
      <c r="I242" s="313"/>
      <c r="J242" s="313"/>
      <c r="K242" s="384">
        <f>'1.4.1 Proj.real'!H23</f>
        <v>131270756.19000001</v>
      </c>
      <c r="L242" s="386">
        <f>'1.4.1 Proj.real'!J23</f>
        <v>5433970</v>
      </c>
      <c r="M242" s="300">
        <f>'1.4.1 Proj.real'!I23</f>
        <v>0</v>
      </c>
      <c r="N242" s="300"/>
      <c r="O242" s="300"/>
      <c r="P242" s="300"/>
    </row>
    <row r="243" spans="3:16" x14ac:dyDescent="0.2">
      <c r="C243" s="231" t="s">
        <v>417</v>
      </c>
      <c r="D243" s="231" t="s">
        <v>9</v>
      </c>
      <c r="E243" s="14"/>
      <c r="F243" s="14"/>
      <c r="G243" s="14"/>
      <c r="H243" s="313"/>
      <c r="I243" s="313"/>
      <c r="J243" s="313"/>
      <c r="K243" s="384">
        <f>'1.4.2 Proj.real'!I7</f>
        <v>13098319.889999999</v>
      </c>
      <c r="L243" s="386">
        <f>'1.4.2 Proj.real'!K7</f>
        <v>0</v>
      </c>
      <c r="M243" s="300">
        <f>'1.4.2 Proj.real'!J7</f>
        <v>0</v>
      </c>
      <c r="N243" s="300"/>
      <c r="O243" s="300"/>
      <c r="P243" s="300"/>
    </row>
    <row r="244" spans="3:16" x14ac:dyDescent="0.2">
      <c r="C244" s="1529" t="s">
        <v>2044</v>
      </c>
      <c r="D244" s="1530"/>
      <c r="E244" s="326"/>
      <c r="F244" s="326"/>
      <c r="G244" s="326"/>
      <c r="H244" s="327"/>
      <c r="I244" s="327"/>
      <c r="J244" s="327"/>
      <c r="K244" s="385">
        <f>SUM(K238:K243)</f>
        <v>841886458.1400001</v>
      </c>
      <c r="L244" s="387">
        <f>SUM(L238:L243)</f>
        <v>316346119.13</v>
      </c>
      <c r="M244" s="328">
        <f t="shared" ref="M244:P244" si="1">SUM(M238:M243)</f>
        <v>681181.97</v>
      </c>
      <c r="N244" s="328">
        <f t="shared" si="1"/>
        <v>158037636.66000003</v>
      </c>
      <c r="O244" s="328">
        <f t="shared" si="1"/>
        <v>18630029.909999996</v>
      </c>
      <c r="P244" s="328">
        <f t="shared" si="1"/>
        <v>79706771.569999993</v>
      </c>
    </row>
    <row r="245" spans="3:16" x14ac:dyDescent="0.2">
      <c r="C245" s="231" t="s">
        <v>423</v>
      </c>
      <c r="D245" s="231" t="s">
        <v>10</v>
      </c>
      <c r="E245" s="14"/>
      <c r="F245" s="14"/>
      <c r="G245" s="14"/>
      <c r="H245" s="313"/>
      <c r="I245" s="313"/>
      <c r="J245" s="313"/>
      <c r="K245" s="384"/>
      <c r="L245" s="386"/>
      <c r="M245" s="300"/>
      <c r="N245" s="300"/>
      <c r="O245" s="300"/>
      <c r="P245" s="300"/>
    </row>
    <row r="246" spans="3:16" x14ac:dyDescent="0.2">
      <c r="C246" s="231" t="s">
        <v>423</v>
      </c>
      <c r="D246" s="231" t="s">
        <v>11</v>
      </c>
      <c r="E246" s="14"/>
      <c r="F246" s="14"/>
      <c r="G246" s="14"/>
      <c r="H246" s="313"/>
      <c r="I246" s="313"/>
      <c r="J246" s="313"/>
      <c r="K246" s="384"/>
      <c r="L246" s="386"/>
      <c r="M246" s="300"/>
      <c r="N246" s="300"/>
      <c r="O246" s="300"/>
      <c r="P246" s="300"/>
    </row>
    <row r="247" spans="3:16" x14ac:dyDescent="0.2">
      <c r="C247" s="1529" t="s">
        <v>2045</v>
      </c>
      <c r="D247" s="1530"/>
      <c r="E247" s="326"/>
      <c r="F247" s="326"/>
      <c r="G247" s="326"/>
      <c r="H247" s="327"/>
      <c r="I247" s="327"/>
      <c r="J247" s="327"/>
      <c r="K247" s="385">
        <f>SUM(K245:K246)</f>
        <v>0</v>
      </c>
      <c r="L247" s="387">
        <f>SUM(L245:L246)</f>
        <v>0</v>
      </c>
      <c r="M247" s="328">
        <f t="shared" ref="M247:P247" si="2">SUM(M245:M246)</f>
        <v>0</v>
      </c>
      <c r="N247" s="328">
        <f t="shared" si="2"/>
        <v>0</v>
      </c>
      <c r="O247" s="328">
        <f t="shared" si="2"/>
        <v>0</v>
      </c>
      <c r="P247" s="328">
        <f t="shared" si="2"/>
        <v>0</v>
      </c>
    </row>
    <row r="248" spans="3:16" x14ac:dyDescent="0.2">
      <c r="C248" s="231" t="s">
        <v>443</v>
      </c>
      <c r="D248" s="231" t="s">
        <v>13</v>
      </c>
      <c r="E248" s="14"/>
      <c r="F248" s="14"/>
      <c r="G248" s="14"/>
      <c r="H248" s="313"/>
      <c r="I248" s="313"/>
      <c r="J248" s="313"/>
      <c r="K248" s="384"/>
      <c r="L248" s="386"/>
      <c r="M248" s="300"/>
      <c r="N248" s="300"/>
      <c r="O248" s="300"/>
      <c r="P248" s="300"/>
    </row>
    <row r="249" spans="3:16" x14ac:dyDescent="0.2">
      <c r="C249" s="231" t="s">
        <v>443</v>
      </c>
      <c r="D249" s="231" t="s">
        <v>16</v>
      </c>
      <c r="E249" s="14"/>
      <c r="F249" s="14"/>
      <c r="G249" s="14"/>
      <c r="H249" s="313"/>
      <c r="I249" s="313"/>
      <c r="J249" s="313"/>
      <c r="K249" s="384"/>
      <c r="L249" s="386"/>
      <c r="M249" s="300"/>
      <c r="N249" s="300"/>
      <c r="O249" s="300"/>
      <c r="P249" s="300"/>
    </row>
    <row r="250" spans="3:16" x14ac:dyDescent="0.2">
      <c r="C250" s="231" t="s">
        <v>443</v>
      </c>
      <c r="D250" s="231" t="s">
        <v>17</v>
      </c>
      <c r="E250" s="14"/>
      <c r="F250" s="14"/>
      <c r="G250" s="14"/>
      <c r="H250" s="313"/>
      <c r="I250" s="313"/>
      <c r="J250" s="313"/>
      <c r="K250" s="384">
        <f>'3.1.3 Proj.real'!H7</f>
        <v>49674703.509999998</v>
      </c>
      <c r="L250" s="386">
        <f>'3.1.3 Proj.real'!J7</f>
        <v>46728795.359999999</v>
      </c>
      <c r="M250" s="300">
        <f>'3.1.3 Proj.real'!I7</f>
        <v>0</v>
      </c>
      <c r="N250" s="300"/>
      <c r="O250" s="300"/>
      <c r="P250" s="300"/>
    </row>
    <row r="251" spans="3:16" x14ac:dyDescent="0.2">
      <c r="C251" s="1529" t="s">
        <v>2046</v>
      </c>
      <c r="D251" s="1530"/>
      <c r="E251" s="329"/>
      <c r="F251" s="329"/>
      <c r="G251" s="329"/>
      <c r="H251" s="330"/>
      <c r="I251" s="330"/>
      <c r="J251" s="330"/>
      <c r="K251" s="385">
        <f>SUM(K248:K250)</f>
        <v>49674703.509999998</v>
      </c>
      <c r="L251" s="387">
        <f>SUM(L248:L250)</f>
        <v>46728795.359999999</v>
      </c>
      <c r="M251" s="328">
        <f t="shared" ref="M251:P251" si="3">SUM(M248:M250)</f>
        <v>0</v>
      </c>
      <c r="N251" s="328">
        <f t="shared" si="3"/>
        <v>0</v>
      </c>
      <c r="O251" s="328">
        <f t="shared" si="3"/>
        <v>0</v>
      </c>
      <c r="P251" s="328">
        <f t="shared" si="3"/>
        <v>0</v>
      </c>
    </row>
    <row r="252" spans="3:16" x14ac:dyDescent="0.2">
      <c r="C252" s="231" t="s">
        <v>424</v>
      </c>
      <c r="D252" s="231" t="s">
        <v>14</v>
      </c>
      <c r="E252" s="14"/>
      <c r="F252" s="14"/>
      <c r="G252" s="14"/>
      <c r="H252" s="313"/>
      <c r="I252" s="313"/>
      <c r="J252" s="313"/>
      <c r="K252" s="661">
        <f>fn411421431[[#Totals],[Stĺpec9]]+zelenadom[[#Totals],[Stĺpec9]]</f>
        <v>50882353</v>
      </c>
      <c r="L252" s="511">
        <f>fn411421431[[#Totals],[Stĺpec11]]+zelenadom[[#Totals],[Stĺpec11]]</f>
        <v>45000000</v>
      </c>
      <c r="M252" s="300"/>
      <c r="N252" s="300"/>
      <c r="O252" s="300"/>
      <c r="P252" s="300"/>
    </row>
    <row r="253" spans="3:16" x14ac:dyDescent="0.2">
      <c r="C253" s="231" t="s">
        <v>424</v>
      </c>
      <c r="D253" s="231" t="s">
        <v>2399</v>
      </c>
      <c r="E253" s="14"/>
      <c r="F253" s="14"/>
      <c r="G253" s="14"/>
      <c r="H253" s="313"/>
      <c r="I253" s="313"/>
      <c r="J253" s="313"/>
      <c r="K253" s="662"/>
      <c r="L253" s="512"/>
      <c r="M253" s="300"/>
      <c r="N253" s="300"/>
      <c r="O253" s="300"/>
      <c r="P253" s="300"/>
    </row>
    <row r="254" spans="3:16" x14ac:dyDescent="0.2">
      <c r="C254" s="231" t="s">
        <v>424</v>
      </c>
      <c r="D254" s="231" t="s">
        <v>19</v>
      </c>
      <c r="E254" s="14"/>
      <c r="F254" s="14"/>
      <c r="G254" s="14"/>
      <c r="H254" s="313"/>
      <c r="I254" s="313"/>
      <c r="J254" s="313"/>
      <c r="K254" s="384"/>
      <c r="L254" s="386"/>
      <c r="M254" s="300"/>
      <c r="N254" s="300"/>
      <c r="O254" s="300"/>
      <c r="P254" s="300"/>
    </row>
    <row r="255" spans="3:16" x14ac:dyDescent="0.2">
      <c r="C255" s="231" t="s">
        <v>424</v>
      </c>
      <c r="D255" s="231" t="s">
        <v>20</v>
      </c>
      <c r="E255" s="14"/>
      <c r="F255" s="14"/>
      <c r="G255" s="14"/>
      <c r="H255" s="313"/>
      <c r="I255" s="313"/>
      <c r="J255" s="313"/>
      <c r="K255" s="384">
        <f>projekty[[#Totals],[Stĺpec9]]</f>
        <v>37736007.679999992</v>
      </c>
      <c r="L255" s="386">
        <f>projekty[[#Totals],[Stĺpec11]]</f>
        <v>34837466.879999995</v>
      </c>
      <c r="M255" s="300"/>
      <c r="N255" s="300"/>
      <c r="O255" s="300">
        <f>zonfp[[#Totals],[Stĺpec8]]</f>
        <v>73678288.830000013</v>
      </c>
      <c r="P255" s="300"/>
    </row>
    <row r="256" spans="3:16" x14ac:dyDescent="0.2">
      <c r="C256" s="231" t="s">
        <v>424</v>
      </c>
      <c r="D256" s="231" t="s">
        <v>21</v>
      </c>
      <c r="E256" s="14"/>
      <c r="F256" s="14"/>
      <c r="G256" s="14"/>
      <c r="H256" s="313"/>
      <c r="I256" s="313"/>
      <c r="J256" s="313"/>
      <c r="K256" s="384"/>
      <c r="L256" s="386"/>
      <c r="M256" s="300"/>
      <c r="N256" s="300"/>
      <c r="O256" s="300"/>
      <c r="P256" s="300"/>
    </row>
    <row r="257" spans="3:16" x14ac:dyDescent="0.2">
      <c r="C257" s="231" t="s">
        <v>424</v>
      </c>
      <c r="D257" s="231" t="s">
        <v>22</v>
      </c>
      <c r="E257" s="14"/>
      <c r="F257" s="14"/>
      <c r="G257" s="14"/>
      <c r="H257" s="313"/>
      <c r="I257" s="313"/>
      <c r="J257" s="313"/>
      <c r="K257" s="384"/>
      <c r="L257" s="386"/>
      <c r="M257" s="300"/>
      <c r="N257" s="300"/>
      <c r="O257" s="300"/>
      <c r="P257" s="300"/>
    </row>
    <row r="258" spans="3:16" x14ac:dyDescent="0.2">
      <c r="C258" s="1529" t="s">
        <v>2047</v>
      </c>
      <c r="D258" s="1530"/>
      <c r="E258" s="329"/>
      <c r="F258" s="329"/>
      <c r="G258" s="329"/>
      <c r="H258" s="330"/>
      <c r="I258" s="330"/>
      <c r="J258" s="330"/>
      <c r="K258" s="385">
        <f>SUM(K252:K257)</f>
        <v>88618360.679999992</v>
      </c>
      <c r="L258" s="387">
        <f>SUM(L252:L257)</f>
        <v>79837466.879999995</v>
      </c>
      <c r="M258" s="328"/>
      <c r="N258" s="328">
        <f t="shared" ref="N258:P258" si="4">SUM(N252:N257)</f>
        <v>0</v>
      </c>
      <c r="O258" s="328">
        <f t="shared" si="4"/>
        <v>73678288.830000013</v>
      </c>
      <c r="P258" s="328">
        <f t="shared" si="4"/>
        <v>0</v>
      </c>
    </row>
    <row r="259" spans="3:16" x14ac:dyDescent="0.2">
      <c r="C259" s="231" t="s">
        <v>438</v>
      </c>
      <c r="D259" s="231" t="s">
        <v>15</v>
      </c>
      <c r="E259" s="14"/>
      <c r="F259" s="14"/>
      <c r="G259" s="14"/>
      <c r="H259" s="313"/>
      <c r="I259" s="313"/>
      <c r="J259" s="313"/>
      <c r="K259" s="384">
        <f>'5.1.1 TP Proj.real.'!H10</f>
        <v>13686584.089999998</v>
      </c>
      <c r="L259" s="386">
        <f>'5.1.1 TP Proj.real.'!J10</f>
        <v>13686584.089999998</v>
      </c>
      <c r="M259" s="300">
        <f>'5.1.1 TP Proj.real.'!I10</f>
        <v>13686584.089999998</v>
      </c>
      <c r="N259" s="300"/>
      <c r="O259" s="300">
        <f>'5.1.1 TP ZoNFP'!H6</f>
        <v>3404304.82</v>
      </c>
      <c r="P259" s="300"/>
    </row>
    <row r="260" spans="3:16" x14ac:dyDescent="0.2">
      <c r="C260" s="231" t="s">
        <v>438</v>
      </c>
      <c r="D260" s="231" t="s">
        <v>23</v>
      </c>
      <c r="E260" s="14"/>
      <c r="F260" s="14"/>
      <c r="G260" s="14"/>
      <c r="H260" s="313"/>
      <c r="I260" s="313"/>
      <c r="J260" s="313"/>
      <c r="K260" s="384"/>
      <c r="L260" s="386"/>
      <c r="M260" s="300"/>
      <c r="N260" s="300"/>
      <c r="O260" s="300"/>
      <c r="P260" s="300"/>
    </row>
    <row r="261" spans="3:16" x14ac:dyDescent="0.2">
      <c r="C261" s="1531" t="s">
        <v>2048</v>
      </c>
      <c r="D261" s="1531"/>
      <c r="E261" s="329"/>
      <c r="F261" s="329"/>
      <c r="G261" s="329"/>
      <c r="H261" s="330"/>
      <c r="I261" s="330"/>
      <c r="J261" s="330"/>
      <c r="K261" s="385">
        <f>SUM(K259:K260)</f>
        <v>13686584.089999998</v>
      </c>
      <c r="L261" s="387">
        <f>SUM(L259:L260)</f>
        <v>13686584.089999998</v>
      </c>
      <c r="M261" s="328">
        <f t="shared" ref="M261:P261" si="5">SUM(M259:M260)</f>
        <v>13686584.089999998</v>
      </c>
      <c r="N261" s="328">
        <f t="shared" si="5"/>
        <v>0</v>
      </c>
      <c r="O261" s="328">
        <f t="shared" si="5"/>
        <v>3404304.82</v>
      </c>
      <c r="P261" s="328">
        <f t="shared" si="5"/>
        <v>0</v>
      </c>
    </row>
    <row r="264" spans="3:16" x14ac:dyDescent="0.2">
      <c r="L264" s="16"/>
    </row>
    <row r="265" spans="3:16" x14ac:dyDescent="0.2">
      <c r="L265" s="16"/>
    </row>
    <row r="266" spans="3:16" x14ac:dyDescent="0.2">
      <c r="L266" s="16"/>
    </row>
  </sheetData>
  <sheetProtection algorithmName="SHA-512" hashValue="amYmldAI2heQ4ZV6Nyk6R0j56e0RuVfhl81JMU8yd9ECnG0gPUxwrEYtHQfyS+dEPQKQlO4R1sSUrM1Tzs1gZw==" saltValue="O1+LrohC6AHWQ9tQK7jIdw==" spinCount="100000" sheet="1" objects="1" scenarios="1" autoFilter="0"/>
  <autoFilter ref="A1:M230"/>
  <sortState ref="C2:P236">
    <sortCondition ref="E2:E236"/>
  </sortState>
  <mergeCells count="5">
    <mergeCell ref="C258:D258"/>
    <mergeCell ref="C261:D261"/>
    <mergeCell ref="C244:D244"/>
    <mergeCell ref="C247:D247"/>
    <mergeCell ref="C251:D25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L144"/>
  <sheetViews>
    <sheetView zoomScale="60" zoomScaleNormal="60" workbookViewId="0">
      <pane xSplit="2" ySplit="4" topLeftCell="G120" activePane="bottomRight" state="frozen"/>
      <selection pane="topRight" activeCell="B1" sqref="B1"/>
      <selection pane="bottomLeft" activeCell="A5" sqref="A5"/>
      <selection pane="bottomRight" activeCell="AM135" sqref="AM135"/>
    </sheetView>
  </sheetViews>
  <sheetFormatPr defaultRowHeight="15" x14ac:dyDescent="0.25"/>
  <cols>
    <col min="2" max="2" width="10.85546875" bestFit="1" customWidth="1"/>
    <col min="3" max="3" width="22.140625" bestFit="1" customWidth="1"/>
    <col min="4" max="4" width="22" bestFit="1" customWidth="1"/>
    <col min="5" max="5" width="36.42578125" bestFit="1" customWidth="1"/>
    <col min="6" max="6" width="16.42578125" customWidth="1"/>
    <col min="7" max="7" width="12.85546875" bestFit="1" customWidth="1"/>
    <col min="8" max="8" width="17.140625" customWidth="1"/>
    <col min="9" max="11" width="16" customWidth="1"/>
    <col min="12" max="12" width="11.42578125" hidden="1" customWidth="1"/>
    <col min="13" max="19" width="11.42578125" style="6" hidden="1" customWidth="1"/>
    <col min="20" max="25" width="11.42578125" style="6" customWidth="1"/>
    <col min="26" max="27" width="11.42578125" style="6" hidden="1" customWidth="1"/>
    <col min="28" max="30" width="11.42578125" style="6" customWidth="1"/>
    <col min="31" max="38" width="11.42578125" style="6" hidden="1" customWidth="1"/>
    <col min="39" max="41" width="11.42578125" style="6" customWidth="1"/>
    <col min="42" max="45" width="11.42578125" style="6" hidden="1" customWidth="1"/>
    <col min="46" max="62" width="11.42578125" style="6" customWidth="1"/>
  </cols>
  <sheetData>
    <row r="1" spans="1:64" ht="57" customHeight="1" x14ac:dyDescent="0.25">
      <c r="A1" s="1551" t="s">
        <v>2412</v>
      </c>
      <c r="B1" s="1548" t="s">
        <v>476</v>
      </c>
      <c r="C1" s="1548" t="s">
        <v>477</v>
      </c>
      <c r="D1" s="1548" t="s">
        <v>478</v>
      </c>
      <c r="E1" s="1548" t="s">
        <v>479</v>
      </c>
      <c r="F1" s="1548" t="s">
        <v>481</v>
      </c>
      <c r="G1" s="1550" t="s">
        <v>684</v>
      </c>
      <c r="H1" s="1548" t="s">
        <v>2020</v>
      </c>
      <c r="I1" s="1548" t="s">
        <v>2021</v>
      </c>
      <c r="J1" s="1550" t="s">
        <v>2032</v>
      </c>
      <c r="K1" s="1548" t="s">
        <v>2022</v>
      </c>
      <c r="L1" s="1541" t="s">
        <v>136</v>
      </c>
      <c r="M1" s="1539"/>
      <c r="N1" s="1541" t="s">
        <v>136</v>
      </c>
      <c r="O1" s="1539"/>
      <c r="P1" s="1541" t="s">
        <v>138</v>
      </c>
      <c r="Q1" s="1539"/>
      <c r="R1" s="1541" t="s">
        <v>140</v>
      </c>
      <c r="S1" s="1533"/>
      <c r="T1" s="1544" t="s">
        <v>142</v>
      </c>
      <c r="U1" s="1533"/>
      <c r="V1" s="1545"/>
      <c r="W1" s="1544" t="s">
        <v>144</v>
      </c>
      <c r="X1" s="1533"/>
      <c r="Y1" s="1545"/>
      <c r="Z1" s="1533" t="s">
        <v>146</v>
      </c>
      <c r="AA1" s="1533"/>
      <c r="AB1" s="1544" t="s">
        <v>146</v>
      </c>
      <c r="AC1" s="1533"/>
      <c r="AD1" s="1545"/>
      <c r="AE1" s="1533" t="s">
        <v>146</v>
      </c>
      <c r="AF1" s="1539"/>
      <c r="AG1" s="1541" t="s">
        <v>148</v>
      </c>
      <c r="AH1" s="1539"/>
      <c r="AI1" s="1541" t="s">
        <v>150</v>
      </c>
      <c r="AJ1" s="1539"/>
      <c r="AK1" s="1541" t="s">
        <v>152</v>
      </c>
      <c r="AL1" s="1533"/>
      <c r="AM1" s="1544" t="s">
        <v>152</v>
      </c>
      <c r="AN1" s="1533"/>
      <c r="AO1" s="1545"/>
      <c r="AP1" s="1533" t="s">
        <v>152</v>
      </c>
      <c r="AQ1" s="1539"/>
      <c r="AR1" s="1541" t="s">
        <v>31</v>
      </c>
      <c r="AS1" s="1533"/>
      <c r="AT1" s="1532" t="s">
        <v>27</v>
      </c>
      <c r="AU1" s="1533"/>
      <c r="AV1" s="1533"/>
      <c r="AW1" s="1532" t="s">
        <v>29</v>
      </c>
      <c r="AX1" s="1533"/>
      <c r="AY1" s="1533"/>
      <c r="AZ1" s="1532" t="s">
        <v>29</v>
      </c>
      <c r="BA1" s="1533"/>
      <c r="BB1" s="1534"/>
      <c r="BC1" s="1532" t="s">
        <v>25</v>
      </c>
      <c r="BD1" s="1533"/>
      <c r="BE1" s="1534"/>
      <c r="BF1" s="1532" t="s">
        <v>25</v>
      </c>
      <c r="BG1" s="1533"/>
      <c r="BH1" s="1534"/>
      <c r="BI1" s="1533" t="s">
        <v>158</v>
      </c>
      <c r="BJ1" s="1539"/>
    </row>
    <row r="2" spans="1:64" x14ac:dyDescent="0.25">
      <c r="A2" s="1552"/>
      <c r="B2" s="1549"/>
      <c r="C2" s="1549"/>
      <c r="D2" s="1549"/>
      <c r="E2" s="1549"/>
      <c r="F2" s="1549"/>
      <c r="G2" s="1550"/>
      <c r="H2" s="1549"/>
      <c r="I2" s="1549"/>
      <c r="J2" s="1550"/>
      <c r="K2" s="1549"/>
      <c r="L2" s="1546" t="s">
        <v>135</v>
      </c>
      <c r="M2" s="1547"/>
      <c r="N2" s="1546" t="s">
        <v>135</v>
      </c>
      <c r="O2" s="1547"/>
      <c r="P2" s="1540" t="s">
        <v>137</v>
      </c>
      <c r="Q2" s="1538"/>
      <c r="R2" s="1540" t="s">
        <v>139</v>
      </c>
      <c r="S2" s="1536"/>
      <c r="T2" s="1542" t="s">
        <v>141</v>
      </c>
      <c r="U2" s="1536"/>
      <c r="V2" s="1543"/>
      <c r="W2" s="1542" t="s">
        <v>143</v>
      </c>
      <c r="X2" s="1536"/>
      <c r="Y2" s="1543"/>
      <c r="Z2" s="1536" t="s">
        <v>145</v>
      </c>
      <c r="AA2" s="1536"/>
      <c r="AB2" s="1542" t="s">
        <v>145</v>
      </c>
      <c r="AC2" s="1536"/>
      <c r="AD2" s="1543"/>
      <c r="AE2" s="1536" t="s">
        <v>145</v>
      </c>
      <c r="AF2" s="1538"/>
      <c r="AG2" s="1540" t="s">
        <v>147</v>
      </c>
      <c r="AH2" s="1538"/>
      <c r="AI2" s="1540" t="s">
        <v>149</v>
      </c>
      <c r="AJ2" s="1538"/>
      <c r="AK2" s="1540" t="s">
        <v>151</v>
      </c>
      <c r="AL2" s="1536"/>
      <c r="AM2" s="1542" t="s">
        <v>151</v>
      </c>
      <c r="AN2" s="1536"/>
      <c r="AO2" s="1543"/>
      <c r="AP2" s="1536" t="s">
        <v>151</v>
      </c>
      <c r="AQ2" s="1538"/>
      <c r="AR2" s="1540" t="s">
        <v>153</v>
      </c>
      <c r="AS2" s="1536"/>
      <c r="AT2" s="1535" t="s">
        <v>154</v>
      </c>
      <c r="AU2" s="1536"/>
      <c r="AV2" s="1536"/>
      <c r="AW2" s="1535" t="s">
        <v>155</v>
      </c>
      <c r="AX2" s="1536"/>
      <c r="AY2" s="1536"/>
      <c r="AZ2" s="1535" t="s">
        <v>155</v>
      </c>
      <c r="BA2" s="1536"/>
      <c r="BB2" s="1537"/>
      <c r="BC2" s="1535" t="s">
        <v>156</v>
      </c>
      <c r="BD2" s="1536"/>
      <c r="BE2" s="1537"/>
      <c r="BF2" s="1535" t="s">
        <v>156</v>
      </c>
      <c r="BG2" s="1536"/>
      <c r="BH2" s="1537"/>
      <c r="BI2" s="1536" t="s">
        <v>157</v>
      </c>
      <c r="BJ2" s="1538"/>
      <c r="BL2" s="233"/>
    </row>
    <row r="3" spans="1:64" x14ac:dyDescent="0.25">
      <c r="A3" s="1552"/>
      <c r="B3" s="1549"/>
      <c r="C3" s="1549"/>
      <c r="D3" s="1549"/>
      <c r="E3" s="1549"/>
      <c r="F3" s="1549"/>
      <c r="G3" s="1550"/>
      <c r="H3" s="1549"/>
      <c r="I3" s="1549"/>
      <c r="J3" s="1550"/>
      <c r="K3" s="1549"/>
      <c r="L3" s="1540" t="s">
        <v>422</v>
      </c>
      <c r="M3" s="1538"/>
      <c r="N3" s="1540" t="s">
        <v>420</v>
      </c>
      <c r="O3" s="1538"/>
      <c r="P3" s="1540" t="s">
        <v>420</v>
      </c>
      <c r="Q3" s="1538"/>
      <c r="R3" s="1540" t="s">
        <v>422</v>
      </c>
      <c r="S3" s="1536"/>
      <c r="T3" s="1542" t="s">
        <v>422</v>
      </c>
      <c r="U3" s="1536"/>
      <c r="V3" s="1543"/>
      <c r="W3" s="1542" t="s">
        <v>422</v>
      </c>
      <c r="X3" s="1536"/>
      <c r="Y3" s="1543"/>
      <c r="Z3" s="1536" t="s">
        <v>419</v>
      </c>
      <c r="AA3" s="1536"/>
      <c r="AB3" s="1542" t="s">
        <v>422</v>
      </c>
      <c r="AC3" s="1536"/>
      <c r="AD3" s="1543"/>
      <c r="AE3" s="1536" t="s">
        <v>420</v>
      </c>
      <c r="AF3" s="1538"/>
      <c r="AG3" s="1540" t="s">
        <v>419</v>
      </c>
      <c r="AH3" s="1538"/>
      <c r="AI3" s="1540" t="s">
        <v>422</v>
      </c>
      <c r="AJ3" s="1538"/>
      <c r="AK3" s="1540" t="s">
        <v>419</v>
      </c>
      <c r="AL3" s="1536"/>
      <c r="AM3" s="1542" t="s">
        <v>422</v>
      </c>
      <c r="AN3" s="1536"/>
      <c r="AO3" s="1543"/>
      <c r="AP3" s="1536" t="s">
        <v>420</v>
      </c>
      <c r="AQ3" s="1538"/>
      <c r="AR3" s="1540" t="s">
        <v>439</v>
      </c>
      <c r="AS3" s="1536"/>
      <c r="AT3" s="1535" t="s">
        <v>422</v>
      </c>
      <c r="AU3" s="1536"/>
      <c r="AV3" s="1536"/>
      <c r="AW3" s="1535" t="s">
        <v>422</v>
      </c>
      <c r="AX3" s="1536"/>
      <c r="AY3" s="1536"/>
      <c r="AZ3" s="1535" t="s">
        <v>420</v>
      </c>
      <c r="BA3" s="1536"/>
      <c r="BB3" s="1537"/>
      <c r="BC3" s="1535" t="s">
        <v>422</v>
      </c>
      <c r="BD3" s="1536"/>
      <c r="BE3" s="1537"/>
      <c r="BF3" s="1535" t="s">
        <v>420</v>
      </c>
      <c r="BG3" s="1536"/>
      <c r="BH3" s="1537"/>
      <c r="BI3" s="1536" t="s">
        <v>422</v>
      </c>
      <c r="BJ3" s="1538"/>
    </row>
    <row r="4" spans="1:64" ht="64.5" customHeight="1" x14ac:dyDescent="0.25">
      <c r="A4" s="1553"/>
      <c r="B4" s="1554"/>
      <c r="C4" s="1554"/>
      <c r="D4" s="1554"/>
      <c r="E4" s="1554"/>
      <c r="F4" s="1554"/>
      <c r="G4" s="1550"/>
      <c r="H4" s="230" t="s">
        <v>410</v>
      </c>
      <c r="I4" s="230" t="s">
        <v>410</v>
      </c>
      <c r="J4" s="229" t="s">
        <v>410</v>
      </c>
      <c r="K4" s="230" t="s">
        <v>410</v>
      </c>
      <c r="L4" s="5" t="s">
        <v>484</v>
      </c>
      <c r="M4" s="5" t="s">
        <v>485</v>
      </c>
      <c r="N4" s="5" t="s">
        <v>484</v>
      </c>
      <c r="O4" s="5" t="s">
        <v>485</v>
      </c>
      <c r="P4" s="5" t="s">
        <v>484</v>
      </c>
      <c r="Q4" s="5" t="s">
        <v>485</v>
      </c>
      <c r="R4" s="5" t="s">
        <v>484</v>
      </c>
      <c r="S4" s="235" t="s">
        <v>485</v>
      </c>
      <c r="T4" s="388" t="s">
        <v>484</v>
      </c>
      <c r="U4" s="5" t="s">
        <v>2414</v>
      </c>
      <c r="V4" s="389" t="s">
        <v>485</v>
      </c>
      <c r="W4" s="388" t="s">
        <v>484</v>
      </c>
      <c r="X4" s="5" t="s">
        <v>2414</v>
      </c>
      <c r="Y4" s="389" t="s">
        <v>485</v>
      </c>
      <c r="Z4" s="238" t="s">
        <v>484</v>
      </c>
      <c r="AA4" s="235" t="s">
        <v>485</v>
      </c>
      <c r="AB4" s="388" t="s">
        <v>484</v>
      </c>
      <c r="AC4" s="5" t="s">
        <v>2414</v>
      </c>
      <c r="AD4" s="389" t="s">
        <v>485</v>
      </c>
      <c r="AE4" s="238" t="s">
        <v>484</v>
      </c>
      <c r="AF4" s="5" t="s">
        <v>485</v>
      </c>
      <c r="AG4" s="5" t="s">
        <v>484</v>
      </c>
      <c r="AH4" s="5" t="s">
        <v>485</v>
      </c>
      <c r="AI4" s="5" t="s">
        <v>484</v>
      </c>
      <c r="AJ4" s="5" t="s">
        <v>485</v>
      </c>
      <c r="AK4" s="5" t="s">
        <v>484</v>
      </c>
      <c r="AL4" s="235" t="s">
        <v>485</v>
      </c>
      <c r="AM4" s="388" t="s">
        <v>484</v>
      </c>
      <c r="AN4" s="5" t="s">
        <v>2414</v>
      </c>
      <c r="AO4" s="389" t="s">
        <v>485</v>
      </c>
      <c r="AP4" s="238" t="s">
        <v>484</v>
      </c>
      <c r="AQ4" s="5" t="s">
        <v>485</v>
      </c>
      <c r="AR4" s="5" t="s">
        <v>484</v>
      </c>
      <c r="AS4" s="235" t="s">
        <v>485</v>
      </c>
      <c r="AT4" s="240" t="s">
        <v>484</v>
      </c>
      <c r="AU4" s="5" t="s">
        <v>2414</v>
      </c>
      <c r="AV4" s="5" t="s">
        <v>485</v>
      </c>
      <c r="AW4" s="240" t="s">
        <v>484</v>
      </c>
      <c r="AX4" s="5" t="s">
        <v>2414</v>
      </c>
      <c r="AY4" s="5" t="s">
        <v>485</v>
      </c>
      <c r="AZ4" s="240" t="s">
        <v>484</v>
      </c>
      <c r="BA4" s="5" t="s">
        <v>2414</v>
      </c>
      <c r="BB4" s="241" t="s">
        <v>485</v>
      </c>
      <c r="BC4" s="240" t="s">
        <v>484</v>
      </c>
      <c r="BD4" s="5" t="s">
        <v>2414</v>
      </c>
      <c r="BE4" s="241" t="s">
        <v>485</v>
      </c>
      <c r="BF4" s="240" t="s">
        <v>484</v>
      </c>
      <c r="BG4" s="5" t="s">
        <v>2414</v>
      </c>
      <c r="BH4" s="241" t="s">
        <v>485</v>
      </c>
      <c r="BI4" s="238" t="s">
        <v>484</v>
      </c>
      <c r="BJ4" s="5" t="s">
        <v>485</v>
      </c>
    </row>
    <row r="5" spans="1:64" ht="25.5" x14ac:dyDescent="0.25">
      <c r="A5" s="71">
        <v>1</v>
      </c>
      <c r="B5" s="1" t="s">
        <v>690</v>
      </c>
      <c r="C5" s="1" t="s">
        <v>1792</v>
      </c>
      <c r="D5" s="1" t="s">
        <v>2049</v>
      </c>
      <c r="E5" s="1" t="s">
        <v>2050</v>
      </c>
      <c r="F5" s="1" t="s">
        <v>2051</v>
      </c>
      <c r="G5" s="12">
        <v>42794</v>
      </c>
      <c r="H5" s="270">
        <f>I5*0.85</f>
        <v>271422.94349999999</v>
      </c>
      <c r="I5" s="270">
        <v>319321.11</v>
      </c>
      <c r="J5" s="270"/>
      <c r="K5" s="270">
        <f>I5</f>
        <v>319321.11</v>
      </c>
      <c r="L5" s="11"/>
      <c r="M5" s="7"/>
      <c r="N5" s="7"/>
      <c r="O5" s="7"/>
      <c r="P5" s="7"/>
      <c r="Q5" s="7"/>
      <c r="R5" s="7"/>
      <c r="S5" s="236"/>
      <c r="T5" s="390">
        <v>89.647999999999996</v>
      </c>
      <c r="U5" s="7">
        <f>T5</f>
        <v>89.647999999999996</v>
      </c>
      <c r="V5" s="391"/>
      <c r="W5" s="390"/>
      <c r="X5" s="11"/>
      <c r="Y5" s="391"/>
      <c r="Z5" s="11"/>
      <c r="AA5" s="236"/>
      <c r="AB5" s="390"/>
      <c r="AC5" s="7"/>
      <c r="AD5" s="391"/>
      <c r="AE5" s="11"/>
      <c r="AF5" s="7"/>
      <c r="AG5" s="7"/>
      <c r="AH5" s="7"/>
      <c r="AI5" s="7"/>
      <c r="AJ5" s="7"/>
      <c r="AK5" s="7"/>
      <c r="AL5" s="236"/>
      <c r="AM5" s="390"/>
      <c r="AN5" s="7"/>
      <c r="AO5" s="391"/>
      <c r="AP5" s="11"/>
      <c r="AQ5" s="7"/>
      <c r="AR5" s="7"/>
      <c r="AS5" s="236"/>
      <c r="AT5" s="242">
        <v>89.647999999999996</v>
      </c>
      <c r="AU5" s="7">
        <f>AT5</f>
        <v>89.647999999999996</v>
      </c>
      <c r="AV5" s="11"/>
      <c r="AW5" s="242"/>
      <c r="AX5" s="7"/>
      <c r="AY5" s="11"/>
      <c r="AZ5" s="242"/>
      <c r="BA5" s="11"/>
      <c r="BB5" s="243"/>
      <c r="BC5" s="242"/>
      <c r="BD5" s="11"/>
      <c r="BE5" s="243"/>
      <c r="BF5" s="242"/>
      <c r="BG5" s="11"/>
      <c r="BH5" s="243"/>
      <c r="BI5" s="11"/>
      <c r="BJ5" s="7"/>
    </row>
    <row r="6" spans="1:64" ht="25.5" x14ac:dyDescent="0.25">
      <c r="A6" s="71">
        <f>A5+1</f>
        <v>2</v>
      </c>
      <c r="B6" s="1" t="s">
        <v>550</v>
      </c>
      <c r="C6" s="1" t="s">
        <v>1707</v>
      </c>
      <c r="D6" s="1" t="s">
        <v>841</v>
      </c>
      <c r="E6" s="1" t="s">
        <v>2052</v>
      </c>
      <c r="F6" s="1" t="s">
        <v>2051</v>
      </c>
      <c r="G6" s="12">
        <v>42794</v>
      </c>
      <c r="H6" s="271">
        <f>I6*0.85</f>
        <v>92841.42</v>
      </c>
      <c r="I6" s="271">
        <v>109225.2</v>
      </c>
      <c r="J6" s="270"/>
      <c r="K6" s="270">
        <f t="shared" ref="K6:K69" si="0">I6</f>
        <v>109225.2</v>
      </c>
      <c r="L6" s="7"/>
      <c r="M6" s="7"/>
      <c r="N6" s="7"/>
      <c r="O6" s="7"/>
      <c r="P6" s="7"/>
      <c r="Q6" s="7"/>
      <c r="R6" s="7"/>
      <c r="S6" s="236"/>
      <c r="T6" s="390"/>
      <c r="U6" s="7">
        <f t="shared" ref="U6:U69" si="1">T6</f>
        <v>0</v>
      </c>
      <c r="V6" s="391"/>
      <c r="W6" s="390">
        <v>139.5</v>
      </c>
      <c r="X6" s="11">
        <f>W6</f>
        <v>139.5</v>
      </c>
      <c r="Y6" s="391"/>
      <c r="Z6" s="11"/>
      <c r="AA6" s="236"/>
      <c r="AB6" s="390"/>
      <c r="AC6" s="7"/>
      <c r="AD6" s="391"/>
      <c r="AE6" s="11"/>
      <c r="AF6" s="7"/>
      <c r="AG6" s="7"/>
      <c r="AH6" s="7"/>
      <c r="AI6" s="7"/>
      <c r="AJ6" s="7"/>
      <c r="AK6" s="7"/>
      <c r="AL6" s="236"/>
      <c r="AM6" s="390"/>
      <c r="AN6" s="7"/>
      <c r="AO6" s="391"/>
      <c r="AP6" s="11"/>
      <c r="AQ6" s="7"/>
      <c r="AR6" s="7"/>
      <c r="AS6" s="236"/>
      <c r="AT6" s="242"/>
      <c r="AU6" s="7"/>
      <c r="AV6" s="11"/>
      <c r="AW6" s="242">
        <v>120</v>
      </c>
      <c r="AX6" s="7">
        <f>AW6</f>
        <v>120</v>
      </c>
      <c r="AY6" s="11"/>
      <c r="AZ6" s="242"/>
      <c r="BA6" s="11"/>
      <c r="BB6" s="243"/>
      <c r="BC6" s="242"/>
      <c r="BD6" s="11"/>
      <c r="BE6" s="243"/>
      <c r="BF6" s="242"/>
      <c r="BG6" s="11"/>
      <c r="BH6" s="243"/>
      <c r="BI6" s="11"/>
      <c r="BJ6" s="7"/>
    </row>
    <row r="7" spans="1:64" x14ac:dyDescent="0.25">
      <c r="A7" s="71">
        <f t="shared" ref="A7:A70" si="2">A6+1</f>
        <v>3</v>
      </c>
      <c r="B7" s="1" t="s">
        <v>641</v>
      </c>
      <c r="C7" s="1" t="s">
        <v>1792</v>
      </c>
      <c r="D7" s="1" t="s">
        <v>2053</v>
      </c>
      <c r="E7" s="1" t="s">
        <v>2054</v>
      </c>
      <c r="F7" s="1" t="s">
        <v>2051</v>
      </c>
      <c r="G7" s="12">
        <v>42825</v>
      </c>
      <c r="H7" s="271">
        <f>I7*0.85</f>
        <v>451203.88499999995</v>
      </c>
      <c r="I7" s="271">
        <v>530828.1</v>
      </c>
      <c r="J7" s="270"/>
      <c r="K7" s="270">
        <f t="shared" si="0"/>
        <v>530828.1</v>
      </c>
      <c r="L7" s="7"/>
      <c r="M7" s="7"/>
      <c r="N7" s="7"/>
      <c r="O7" s="7"/>
      <c r="P7" s="7"/>
      <c r="Q7" s="7"/>
      <c r="R7" s="7"/>
      <c r="S7" s="236"/>
      <c r="T7" s="390">
        <v>500</v>
      </c>
      <c r="U7" s="7">
        <f t="shared" si="1"/>
        <v>500</v>
      </c>
      <c r="V7" s="391"/>
      <c r="W7" s="390"/>
      <c r="X7" s="11"/>
      <c r="Y7" s="391"/>
      <c r="Z7" s="11"/>
      <c r="AA7" s="236"/>
      <c r="AB7" s="390"/>
      <c r="AC7" s="7"/>
      <c r="AD7" s="391"/>
      <c r="AE7" s="11"/>
      <c r="AF7" s="7"/>
      <c r="AG7" s="7"/>
      <c r="AH7" s="7"/>
      <c r="AI7" s="7"/>
      <c r="AJ7" s="7"/>
      <c r="AK7" s="7"/>
      <c r="AL7" s="236"/>
      <c r="AM7" s="390"/>
      <c r="AN7" s="7"/>
      <c r="AO7" s="391"/>
      <c r="AP7" s="11"/>
      <c r="AQ7" s="7"/>
      <c r="AR7" s="7"/>
      <c r="AS7" s="236"/>
      <c r="AT7" s="242">
        <v>500</v>
      </c>
      <c r="AU7" s="7">
        <f t="shared" ref="AU7:AU39" si="3">AT7</f>
        <v>500</v>
      </c>
      <c r="AV7" s="11"/>
      <c r="AW7" s="242"/>
      <c r="AX7" s="7"/>
      <c r="AY7" s="11"/>
      <c r="AZ7" s="242"/>
      <c r="BA7" s="11"/>
      <c r="BB7" s="243"/>
      <c r="BC7" s="242"/>
      <c r="BD7" s="11"/>
      <c r="BE7" s="243"/>
      <c r="BF7" s="242"/>
      <c r="BG7" s="11"/>
      <c r="BH7" s="243"/>
      <c r="BI7" s="11"/>
      <c r="BJ7" s="7"/>
    </row>
    <row r="8" spans="1:64" x14ac:dyDescent="0.25">
      <c r="A8" s="71">
        <f t="shared" si="2"/>
        <v>4</v>
      </c>
      <c r="B8" s="1" t="s">
        <v>566</v>
      </c>
      <c r="C8" s="1" t="s">
        <v>1792</v>
      </c>
      <c r="D8" s="1" t="s">
        <v>2055</v>
      </c>
      <c r="E8" s="1" t="s">
        <v>2056</v>
      </c>
      <c r="F8" s="1" t="s">
        <v>2051</v>
      </c>
      <c r="G8" s="273">
        <v>42855</v>
      </c>
      <c r="H8" s="274">
        <v>246095.77</v>
      </c>
      <c r="I8" s="274">
        <v>289524.43</v>
      </c>
      <c r="J8" s="304"/>
      <c r="K8" s="270">
        <f t="shared" si="0"/>
        <v>289524.43</v>
      </c>
      <c r="L8" s="7"/>
      <c r="M8" s="7"/>
      <c r="N8" s="7"/>
      <c r="O8" s="7"/>
      <c r="P8" s="7"/>
      <c r="Q8" s="7"/>
      <c r="R8" s="7"/>
      <c r="S8" s="236"/>
      <c r="T8" s="390">
        <v>152.79</v>
      </c>
      <c r="U8" s="7">
        <f t="shared" si="1"/>
        <v>152.79</v>
      </c>
      <c r="V8" s="391"/>
      <c r="W8" s="390"/>
      <c r="X8" s="11"/>
      <c r="Y8" s="391"/>
      <c r="Z8" s="11"/>
      <c r="AA8" s="236"/>
      <c r="AB8" s="390"/>
      <c r="AC8" s="7"/>
      <c r="AD8" s="391"/>
      <c r="AE8" s="11"/>
      <c r="AF8" s="7"/>
      <c r="AG8" s="7"/>
      <c r="AH8" s="7"/>
      <c r="AI8" s="7"/>
      <c r="AJ8" s="7"/>
      <c r="AK8" s="7"/>
      <c r="AL8" s="236"/>
      <c r="AM8" s="390"/>
      <c r="AN8" s="7"/>
      <c r="AO8" s="391"/>
      <c r="AP8" s="11"/>
      <c r="AQ8" s="7"/>
      <c r="AR8" s="7"/>
      <c r="AS8" s="236"/>
      <c r="AT8" s="242">
        <v>152.79</v>
      </c>
      <c r="AU8" s="7">
        <f t="shared" si="3"/>
        <v>152.79</v>
      </c>
      <c r="AV8" s="11"/>
      <c r="AW8" s="242"/>
      <c r="AX8" s="7"/>
      <c r="AY8" s="11"/>
      <c r="AZ8" s="242"/>
      <c r="BA8" s="11"/>
      <c r="BB8" s="243"/>
      <c r="BC8" s="242"/>
      <c r="BD8" s="11"/>
      <c r="BE8" s="243"/>
      <c r="BF8" s="242"/>
      <c r="BG8" s="11"/>
      <c r="BH8" s="243"/>
      <c r="BI8" s="11"/>
      <c r="BJ8" s="7"/>
    </row>
    <row r="9" spans="1:64" x14ac:dyDescent="0.25">
      <c r="A9" s="71">
        <f t="shared" si="2"/>
        <v>5</v>
      </c>
      <c r="B9" s="1" t="s">
        <v>578</v>
      </c>
      <c r="C9" s="1" t="s">
        <v>1792</v>
      </c>
      <c r="D9" s="1" t="s">
        <v>1827</v>
      </c>
      <c r="E9" s="1" t="s">
        <v>2057</v>
      </c>
      <c r="F9" s="1" t="s">
        <v>2051</v>
      </c>
      <c r="G9" s="12">
        <v>42886</v>
      </c>
      <c r="H9" s="271">
        <f t="shared" ref="H9:H30" si="4">I9*0.85</f>
        <v>374140.74300000002</v>
      </c>
      <c r="I9" s="271">
        <v>440165.58</v>
      </c>
      <c r="J9" s="270"/>
      <c r="K9" s="270">
        <f t="shared" si="0"/>
        <v>440165.58</v>
      </c>
      <c r="L9" s="7"/>
      <c r="M9" s="7"/>
      <c r="N9" s="7"/>
      <c r="O9" s="7"/>
      <c r="P9" s="7"/>
      <c r="Q9" s="7"/>
      <c r="R9" s="7"/>
      <c r="S9" s="236"/>
      <c r="T9" s="390">
        <v>362.92</v>
      </c>
      <c r="U9" s="7">
        <f t="shared" si="1"/>
        <v>362.92</v>
      </c>
      <c r="V9" s="391"/>
      <c r="W9" s="390"/>
      <c r="X9" s="11"/>
      <c r="Y9" s="391"/>
      <c r="Z9" s="11"/>
      <c r="AA9" s="236"/>
      <c r="AB9" s="390">
        <v>2500</v>
      </c>
      <c r="AC9" s="7">
        <f t="shared" ref="AC9:AC65" si="5">AB9</f>
        <v>2500</v>
      </c>
      <c r="AD9" s="391"/>
      <c r="AE9" s="11"/>
      <c r="AF9" s="7"/>
      <c r="AG9" s="7"/>
      <c r="AH9" s="7"/>
      <c r="AI9" s="7"/>
      <c r="AJ9" s="7"/>
      <c r="AK9" s="7"/>
      <c r="AL9" s="236"/>
      <c r="AM9" s="390">
        <v>5</v>
      </c>
      <c r="AN9" s="7">
        <f>AM9</f>
        <v>5</v>
      </c>
      <c r="AO9" s="391"/>
      <c r="AP9" s="11"/>
      <c r="AQ9" s="7"/>
      <c r="AR9" s="7"/>
      <c r="AS9" s="236"/>
      <c r="AT9" s="242">
        <v>362.92</v>
      </c>
      <c r="AU9" s="7">
        <f t="shared" si="3"/>
        <v>362.92</v>
      </c>
      <c r="AV9" s="11"/>
      <c r="AW9" s="242"/>
      <c r="AX9" s="7"/>
      <c r="AY9" s="11"/>
      <c r="AZ9" s="242"/>
      <c r="BA9" s="11"/>
      <c r="BB9" s="243"/>
      <c r="BC9" s="242"/>
      <c r="BD9" s="11"/>
      <c r="BE9" s="243"/>
      <c r="BF9" s="242"/>
      <c r="BG9" s="11"/>
      <c r="BH9" s="243"/>
      <c r="BI9" s="11"/>
      <c r="BJ9" s="7"/>
    </row>
    <row r="10" spans="1:64" x14ac:dyDescent="0.25">
      <c r="A10" s="71">
        <f t="shared" si="2"/>
        <v>6</v>
      </c>
      <c r="B10" s="1" t="s">
        <v>581</v>
      </c>
      <c r="C10" s="1" t="s">
        <v>1792</v>
      </c>
      <c r="D10" s="1" t="s">
        <v>2058</v>
      </c>
      <c r="E10" s="1" t="s">
        <v>2059</v>
      </c>
      <c r="F10" s="1" t="s">
        <v>2051</v>
      </c>
      <c r="G10" s="12">
        <v>42886</v>
      </c>
      <c r="H10" s="271">
        <f t="shared" si="4"/>
        <v>257857.35150000002</v>
      </c>
      <c r="I10" s="271">
        <v>303361.59000000003</v>
      </c>
      <c r="J10" s="270"/>
      <c r="K10" s="270">
        <f t="shared" si="0"/>
        <v>303361.59000000003</v>
      </c>
      <c r="L10" s="7"/>
      <c r="M10" s="7"/>
      <c r="N10" s="7"/>
      <c r="O10" s="7"/>
      <c r="P10" s="7"/>
      <c r="Q10" s="7"/>
      <c r="R10" s="7"/>
      <c r="S10" s="236"/>
      <c r="T10" s="390">
        <v>84.2</v>
      </c>
      <c r="U10" s="7">
        <f t="shared" si="1"/>
        <v>84.2</v>
      </c>
      <c r="V10" s="391"/>
      <c r="W10" s="390"/>
      <c r="X10" s="11"/>
      <c r="Y10" s="391"/>
      <c r="Z10" s="11"/>
      <c r="AA10" s="236"/>
      <c r="AB10" s="390"/>
      <c r="AC10" s="7"/>
      <c r="AD10" s="391"/>
      <c r="AE10" s="11"/>
      <c r="AF10" s="7"/>
      <c r="AG10" s="7"/>
      <c r="AH10" s="7"/>
      <c r="AI10" s="7"/>
      <c r="AJ10" s="7"/>
      <c r="AK10" s="7"/>
      <c r="AL10" s="236"/>
      <c r="AM10" s="390"/>
      <c r="AN10" s="7"/>
      <c r="AO10" s="391"/>
      <c r="AP10" s="11"/>
      <c r="AQ10" s="7"/>
      <c r="AR10" s="7"/>
      <c r="AS10" s="236"/>
      <c r="AT10" s="242">
        <v>84.2</v>
      </c>
      <c r="AU10" s="7">
        <f t="shared" si="3"/>
        <v>84.2</v>
      </c>
      <c r="AV10" s="11"/>
      <c r="AW10" s="242"/>
      <c r="AX10" s="7"/>
      <c r="AY10" s="11"/>
      <c r="AZ10" s="242"/>
      <c r="BA10" s="11"/>
      <c r="BB10" s="243"/>
      <c r="BC10" s="242"/>
      <c r="BD10" s="11"/>
      <c r="BE10" s="243"/>
      <c r="BF10" s="242"/>
      <c r="BG10" s="11"/>
      <c r="BH10" s="243"/>
      <c r="BI10" s="11"/>
      <c r="BJ10" s="7"/>
    </row>
    <row r="11" spans="1:64" ht="30" customHeight="1" x14ac:dyDescent="0.25">
      <c r="A11" s="71">
        <f t="shared" si="2"/>
        <v>7</v>
      </c>
      <c r="B11" s="1" t="s">
        <v>666</v>
      </c>
      <c r="C11" s="1" t="s">
        <v>1792</v>
      </c>
      <c r="D11" s="1" t="s">
        <v>2060</v>
      </c>
      <c r="E11" s="1" t="s">
        <v>2061</v>
      </c>
      <c r="F11" s="1" t="s">
        <v>2051</v>
      </c>
      <c r="G11" s="12">
        <v>42886</v>
      </c>
      <c r="H11" s="271">
        <f t="shared" si="4"/>
        <v>452280.223</v>
      </c>
      <c r="I11" s="271">
        <v>532094.38</v>
      </c>
      <c r="J11" s="270"/>
      <c r="K11" s="270">
        <f t="shared" si="0"/>
        <v>532094.38</v>
      </c>
      <c r="L11" s="7"/>
      <c r="M11" s="7"/>
      <c r="N11" s="7"/>
      <c r="O11" s="7"/>
      <c r="P11" s="7"/>
      <c r="Q11" s="7"/>
      <c r="R11" s="7"/>
      <c r="S11" s="236"/>
      <c r="T11" s="390">
        <v>202.5</v>
      </c>
      <c r="U11" s="7">
        <f t="shared" si="1"/>
        <v>202.5</v>
      </c>
      <c r="V11" s="391"/>
      <c r="W11" s="390"/>
      <c r="X11" s="11"/>
      <c r="Y11" s="391"/>
      <c r="Z11" s="11"/>
      <c r="AA11" s="236"/>
      <c r="AB11" s="390">
        <v>1000</v>
      </c>
      <c r="AC11" s="7">
        <f t="shared" si="5"/>
        <v>1000</v>
      </c>
      <c r="AD11" s="391"/>
      <c r="AE11" s="11"/>
      <c r="AF11" s="7"/>
      <c r="AG11" s="7"/>
      <c r="AH11" s="7"/>
      <c r="AI11" s="7"/>
      <c r="AJ11" s="7"/>
      <c r="AK11" s="7"/>
      <c r="AL11" s="236"/>
      <c r="AM11" s="390">
        <v>4</v>
      </c>
      <c r="AN11" s="7">
        <f t="shared" ref="AN11:AN72" si="6">AM11</f>
        <v>4</v>
      </c>
      <c r="AO11" s="391"/>
      <c r="AP11" s="11"/>
      <c r="AQ11" s="7"/>
      <c r="AR11" s="7"/>
      <c r="AS11" s="236"/>
      <c r="AT11" s="242">
        <v>202.5</v>
      </c>
      <c r="AU11" s="7">
        <f t="shared" si="3"/>
        <v>202.5</v>
      </c>
      <c r="AV11" s="11"/>
      <c r="AW11" s="242"/>
      <c r="AX11" s="7"/>
      <c r="AY11" s="11"/>
      <c r="AZ11" s="242"/>
      <c r="BA11" s="11"/>
      <c r="BB11" s="243"/>
      <c r="BC11" s="242"/>
      <c r="BD11" s="11"/>
      <c r="BE11" s="243"/>
      <c r="BF11" s="242"/>
      <c r="BG11" s="11"/>
      <c r="BH11" s="243"/>
      <c r="BI11" s="11"/>
      <c r="BJ11" s="7"/>
    </row>
    <row r="12" spans="1:64" x14ac:dyDescent="0.25">
      <c r="A12" s="71">
        <f t="shared" si="2"/>
        <v>8</v>
      </c>
      <c r="B12" s="1" t="s">
        <v>623</v>
      </c>
      <c r="C12" s="1" t="s">
        <v>1792</v>
      </c>
      <c r="D12" s="1" t="s">
        <v>2062</v>
      </c>
      <c r="E12" s="1" t="s">
        <v>2063</v>
      </c>
      <c r="F12" s="1" t="s">
        <v>2051</v>
      </c>
      <c r="G12" s="12">
        <v>42916</v>
      </c>
      <c r="H12" s="271">
        <f t="shared" si="4"/>
        <v>695728.79949999996</v>
      </c>
      <c r="I12" s="271">
        <v>818504.47</v>
      </c>
      <c r="J12" s="270"/>
      <c r="K12" s="270">
        <f t="shared" si="0"/>
        <v>818504.47</v>
      </c>
      <c r="L12" s="7"/>
      <c r="M12" s="7"/>
      <c r="N12" s="7"/>
      <c r="O12" s="7"/>
      <c r="P12" s="7"/>
      <c r="Q12" s="7"/>
      <c r="R12" s="7"/>
      <c r="S12" s="236"/>
      <c r="T12" s="390">
        <v>713.6</v>
      </c>
      <c r="U12" s="7">
        <f t="shared" si="1"/>
        <v>713.6</v>
      </c>
      <c r="V12" s="391"/>
      <c r="W12" s="390"/>
      <c r="X12" s="11"/>
      <c r="Y12" s="391"/>
      <c r="Z12" s="11"/>
      <c r="AA12" s="236"/>
      <c r="AB12" s="390">
        <v>3883</v>
      </c>
      <c r="AC12" s="7">
        <f t="shared" si="5"/>
        <v>3883</v>
      </c>
      <c r="AD12" s="391"/>
      <c r="AE12" s="11"/>
      <c r="AF12" s="7"/>
      <c r="AG12" s="7"/>
      <c r="AH12" s="7"/>
      <c r="AI12" s="7"/>
      <c r="AJ12" s="7"/>
      <c r="AK12" s="7"/>
      <c r="AL12" s="236"/>
      <c r="AM12" s="390">
        <v>30</v>
      </c>
      <c r="AN12" s="7">
        <f t="shared" si="6"/>
        <v>30</v>
      </c>
      <c r="AO12" s="391"/>
      <c r="AP12" s="11"/>
      <c r="AQ12" s="7"/>
      <c r="AR12" s="7"/>
      <c r="AS12" s="236"/>
      <c r="AT12" s="242">
        <v>713.6</v>
      </c>
      <c r="AU12" s="7">
        <f t="shared" si="3"/>
        <v>713.6</v>
      </c>
      <c r="AV12" s="11"/>
      <c r="AW12" s="242"/>
      <c r="AX12" s="7"/>
      <c r="AY12" s="11"/>
      <c r="AZ12" s="242"/>
      <c r="BA12" s="11"/>
      <c r="BB12" s="243"/>
      <c r="BC12" s="242"/>
      <c r="BD12" s="11"/>
      <c r="BE12" s="243"/>
      <c r="BF12" s="242"/>
      <c r="BG12" s="11"/>
      <c r="BH12" s="243"/>
      <c r="BI12" s="11"/>
      <c r="BJ12" s="7"/>
    </row>
    <row r="13" spans="1:64" x14ac:dyDescent="0.25">
      <c r="A13" s="71">
        <f t="shared" si="2"/>
        <v>9</v>
      </c>
      <c r="B13" s="1" t="s">
        <v>625</v>
      </c>
      <c r="C13" s="1" t="s">
        <v>1792</v>
      </c>
      <c r="D13" s="1" t="s">
        <v>2064</v>
      </c>
      <c r="E13" s="1" t="s">
        <v>2065</v>
      </c>
      <c r="F13" s="1" t="s">
        <v>2051</v>
      </c>
      <c r="G13" s="12">
        <v>42916</v>
      </c>
      <c r="H13" s="271">
        <f t="shared" si="4"/>
        <v>653861.65</v>
      </c>
      <c r="I13" s="271">
        <v>769249</v>
      </c>
      <c r="J13" s="270"/>
      <c r="K13" s="270">
        <f t="shared" si="0"/>
        <v>769249</v>
      </c>
      <c r="L13" s="7"/>
      <c r="M13" s="7"/>
      <c r="N13" s="7"/>
      <c r="O13" s="7"/>
      <c r="P13" s="7"/>
      <c r="Q13" s="7"/>
      <c r="R13" s="7"/>
      <c r="S13" s="236"/>
      <c r="T13" s="390">
        <v>229</v>
      </c>
      <c r="U13" s="7">
        <f t="shared" si="1"/>
        <v>229</v>
      </c>
      <c r="V13" s="391"/>
      <c r="W13" s="390"/>
      <c r="X13" s="11"/>
      <c r="Y13" s="391"/>
      <c r="Z13" s="11"/>
      <c r="AA13" s="236"/>
      <c r="AB13" s="390">
        <v>2306</v>
      </c>
      <c r="AC13" s="7">
        <f t="shared" si="5"/>
        <v>2306</v>
      </c>
      <c r="AD13" s="391"/>
      <c r="AE13" s="11"/>
      <c r="AF13" s="7"/>
      <c r="AG13" s="7"/>
      <c r="AH13" s="7"/>
      <c r="AI13" s="7"/>
      <c r="AJ13" s="7"/>
      <c r="AK13" s="7"/>
      <c r="AL13" s="236"/>
      <c r="AM13" s="390">
        <v>16</v>
      </c>
      <c r="AN13" s="7">
        <f t="shared" si="6"/>
        <v>16</v>
      </c>
      <c r="AO13" s="391"/>
      <c r="AP13" s="11"/>
      <c r="AQ13" s="7"/>
      <c r="AR13" s="7"/>
      <c r="AS13" s="236"/>
      <c r="AT13" s="242">
        <v>229</v>
      </c>
      <c r="AU13" s="7">
        <f t="shared" si="3"/>
        <v>229</v>
      </c>
      <c r="AV13" s="11"/>
      <c r="AW13" s="242"/>
      <c r="AX13" s="7"/>
      <c r="AY13" s="11"/>
      <c r="AZ13" s="242"/>
      <c r="BA13" s="11"/>
      <c r="BB13" s="243"/>
      <c r="BC13" s="242"/>
      <c r="BD13" s="11"/>
      <c r="BE13" s="243"/>
      <c r="BF13" s="242"/>
      <c r="BG13" s="11"/>
      <c r="BH13" s="243"/>
      <c r="BI13" s="11"/>
      <c r="BJ13" s="7"/>
    </row>
    <row r="14" spans="1:64" ht="25.5" x14ac:dyDescent="0.25">
      <c r="A14" s="71">
        <f t="shared" si="2"/>
        <v>10</v>
      </c>
      <c r="B14" s="1" t="s">
        <v>593</v>
      </c>
      <c r="C14" s="1" t="s">
        <v>1792</v>
      </c>
      <c r="D14" s="1" t="s">
        <v>2066</v>
      </c>
      <c r="E14" s="1" t="s">
        <v>2067</v>
      </c>
      <c r="F14" s="1" t="s">
        <v>2051</v>
      </c>
      <c r="G14" s="12">
        <v>42916</v>
      </c>
      <c r="H14" s="271">
        <f t="shared" si="4"/>
        <v>101145.46949999999</v>
      </c>
      <c r="I14" s="271">
        <v>118994.67</v>
      </c>
      <c r="J14" s="270"/>
      <c r="K14" s="270">
        <f t="shared" si="0"/>
        <v>118994.67</v>
      </c>
      <c r="L14" s="7"/>
      <c r="M14" s="7"/>
      <c r="N14" s="7"/>
      <c r="O14" s="7"/>
      <c r="P14" s="7"/>
      <c r="Q14" s="7"/>
      <c r="R14" s="7"/>
      <c r="S14" s="236"/>
      <c r="T14" s="390">
        <v>145</v>
      </c>
      <c r="U14" s="7">
        <f t="shared" si="1"/>
        <v>145</v>
      </c>
      <c r="V14" s="391"/>
      <c r="W14" s="390"/>
      <c r="X14" s="11"/>
      <c r="Y14" s="391"/>
      <c r="Z14" s="11"/>
      <c r="AA14" s="236"/>
      <c r="AB14" s="390">
        <v>2574</v>
      </c>
      <c r="AC14" s="7">
        <f t="shared" si="5"/>
        <v>2574</v>
      </c>
      <c r="AD14" s="391"/>
      <c r="AE14" s="11"/>
      <c r="AF14" s="7"/>
      <c r="AG14" s="7"/>
      <c r="AH14" s="7"/>
      <c r="AI14" s="7"/>
      <c r="AJ14" s="7"/>
      <c r="AK14" s="7"/>
      <c r="AL14" s="236"/>
      <c r="AM14" s="390">
        <v>5</v>
      </c>
      <c r="AN14" s="7">
        <f t="shared" si="6"/>
        <v>5</v>
      </c>
      <c r="AO14" s="391"/>
      <c r="AP14" s="11"/>
      <c r="AQ14" s="7"/>
      <c r="AR14" s="7"/>
      <c r="AS14" s="236"/>
      <c r="AT14" s="242">
        <v>145</v>
      </c>
      <c r="AU14" s="7">
        <f t="shared" si="3"/>
        <v>145</v>
      </c>
      <c r="AV14" s="11"/>
      <c r="AW14" s="242"/>
      <c r="AX14" s="7"/>
      <c r="AY14" s="11"/>
      <c r="AZ14" s="242"/>
      <c r="BA14" s="11"/>
      <c r="BB14" s="243"/>
      <c r="BC14" s="242"/>
      <c r="BD14" s="11"/>
      <c r="BE14" s="243"/>
      <c r="BF14" s="242"/>
      <c r="BG14" s="11"/>
      <c r="BH14" s="243"/>
      <c r="BI14" s="11"/>
      <c r="BJ14" s="7"/>
    </row>
    <row r="15" spans="1:64" ht="25.5" x14ac:dyDescent="0.25">
      <c r="A15" s="71">
        <f t="shared" si="2"/>
        <v>11</v>
      </c>
      <c r="B15" s="1" t="s">
        <v>602</v>
      </c>
      <c r="C15" s="1" t="s">
        <v>1707</v>
      </c>
      <c r="D15" s="1" t="s">
        <v>2068</v>
      </c>
      <c r="E15" s="1" t="s">
        <v>2069</v>
      </c>
      <c r="F15" s="1" t="s">
        <v>2051</v>
      </c>
      <c r="G15" s="12">
        <v>42916</v>
      </c>
      <c r="H15" s="271">
        <f t="shared" si="4"/>
        <v>1243618</v>
      </c>
      <c r="I15" s="271">
        <v>1463080</v>
      </c>
      <c r="J15" s="270"/>
      <c r="K15" s="270">
        <f t="shared" si="0"/>
        <v>1463080</v>
      </c>
      <c r="L15" s="7"/>
      <c r="M15" s="7"/>
      <c r="N15" s="7"/>
      <c r="O15" s="7"/>
      <c r="P15" s="7"/>
      <c r="Q15" s="7"/>
      <c r="R15" s="7"/>
      <c r="S15" s="236"/>
      <c r="T15" s="390">
        <v>550.54</v>
      </c>
      <c r="U15" s="7">
        <f t="shared" si="1"/>
        <v>550.54</v>
      </c>
      <c r="V15" s="391"/>
      <c r="W15" s="390"/>
      <c r="X15" s="11"/>
      <c r="Y15" s="391"/>
      <c r="Z15" s="11"/>
      <c r="AA15" s="236"/>
      <c r="AB15" s="390"/>
      <c r="AC15" s="7"/>
      <c r="AD15" s="391"/>
      <c r="AE15" s="11"/>
      <c r="AF15" s="7"/>
      <c r="AG15" s="7"/>
      <c r="AH15" s="7"/>
      <c r="AI15" s="7"/>
      <c r="AJ15" s="7"/>
      <c r="AK15" s="7"/>
      <c r="AL15" s="236"/>
      <c r="AM15" s="390"/>
      <c r="AN15" s="7"/>
      <c r="AO15" s="391"/>
      <c r="AP15" s="11"/>
      <c r="AQ15" s="7"/>
      <c r="AR15" s="7"/>
      <c r="AS15" s="236"/>
      <c r="AT15" s="242">
        <v>550.54</v>
      </c>
      <c r="AU15" s="7">
        <f t="shared" si="3"/>
        <v>550.54</v>
      </c>
      <c r="AV15" s="11"/>
      <c r="AW15" s="242"/>
      <c r="AX15" s="7"/>
      <c r="AY15" s="11"/>
      <c r="AZ15" s="242"/>
      <c r="BA15" s="11"/>
      <c r="BB15" s="243"/>
      <c r="BC15" s="242"/>
      <c r="BD15" s="11"/>
      <c r="BE15" s="243"/>
      <c r="BF15" s="242"/>
      <c r="BG15" s="11"/>
      <c r="BH15" s="243"/>
      <c r="BI15" s="11"/>
      <c r="BJ15" s="7"/>
    </row>
    <row r="16" spans="1:64" x14ac:dyDescent="0.25">
      <c r="A16" s="71">
        <f t="shared" si="2"/>
        <v>12</v>
      </c>
      <c r="B16" s="1" t="s">
        <v>637</v>
      </c>
      <c r="C16" s="1" t="s">
        <v>1792</v>
      </c>
      <c r="D16" s="1" t="s">
        <v>2070</v>
      </c>
      <c r="E16" s="1" t="s">
        <v>2071</v>
      </c>
      <c r="F16" s="1" t="s">
        <v>2051</v>
      </c>
      <c r="G16" s="12">
        <v>42916</v>
      </c>
      <c r="H16" s="276">
        <f t="shared" si="4"/>
        <v>88598.500499999995</v>
      </c>
      <c r="I16" s="271">
        <v>104233.53</v>
      </c>
      <c r="J16" s="270"/>
      <c r="K16" s="270">
        <f t="shared" si="0"/>
        <v>104233.53</v>
      </c>
      <c r="L16" s="7"/>
      <c r="M16" s="7"/>
      <c r="N16" s="7"/>
      <c r="O16" s="7"/>
      <c r="P16" s="7"/>
      <c r="Q16" s="7"/>
      <c r="R16" s="7"/>
      <c r="S16" s="236"/>
      <c r="T16" s="390">
        <v>120</v>
      </c>
      <c r="U16" s="7">
        <f t="shared" si="1"/>
        <v>120</v>
      </c>
      <c r="V16" s="391"/>
      <c r="W16" s="390"/>
      <c r="X16" s="11"/>
      <c r="Y16" s="391"/>
      <c r="Z16" s="11"/>
      <c r="AA16" s="236"/>
      <c r="AB16" s="390">
        <v>647</v>
      </c>
      <c r="AC16" s="7">
        <f t="shared" si="5"/>
        <v>647</v>
      </c>
      <c r="AD16" s="391"/>
      <c r="AE16" s="11"/>
      <c r="AF16" s="7"/>
      <c r="AG16" s="7"/>
      <c r="AH16" s="7"/>
      <c r="AI16" s="7"/>
      <c r="AJ16" s="7"/>
      <c r="AK16" s="7"/>
      <c r="AL16" s="236"/>
      <c r="AM16" s="390">
        <v>4</v>
      </c>
      <c r="AN16" s="7">
        <f t="shared" si="6"/>
        <v>4</v>
      </c>
      <c r="AO16" s="391"/>
      <c r="AP16" s="11"/>
      <c r="AQ16" s="7"/>
      <c r="AR16" s="7"/>
      <c r="AS16" s="236"/>
      <c r="AT16" s="242">
        <v>120</v>
      </c>
      <c r="AU16" s="7">
        <f t="shared" si="3"/>
        <v>120</v>
      </c>
      <c r="AV16" s="11"/>
      <c r="AW16" s="242"/>
      <c r="AX16" s="7"/>
      <c r="AY16" s="11"/>
      <c r="AZ16" s="242"/>
      <c r="BA16" s="11"/>
      <c r="BB16" s="243"/>
      <c r="BC16" s="242"/>
      <c r="BD16" s="11"/>
      <c r="BE16" s="243"/>
      <c r="BF16" s="242"/>
      <c r="BG16" s="11"/>
      <c r="BH16" s="243"/>
      <c r="BI16" s="11"/>
      <c r="BJ16" s="7"/>
    </row>
    <row r="17" spans="1:62" ht="25.5" x14ac:dyDescent="0.25">
      <c r="A17" s="71">
        <f t="shared" si="2"/>
        <v>13</v>
      </c>
      <c r="B17" s="1" t="s">
        <v>680</v>
      </c>
      <c r="C17" s="1" t="s">
        <v>1792</v>
      </c>
      <c r="D17" s="1" t="s">
        <v>2072</v>
      </c>
      <c r="E17" s="1" t="s">
        <v>2073</v>
      </c>
      <c r="F17" s="1" t="s">
        <v>2051</v>
      </c>
      <c r="G17" s="12">
        <v>42916</v>
      </c>
      <c r="H17" s="271">
        <f t="shared" si="4"/>
        <v>270301.7</v>
      </c>
      <c r="I17" s="271">
        <v>318002</v>
      </c>
      <c r="J17" s="270"/>
      <c r="K17" s="270">
        <f t="shared" si="0"/>
        <v>318002</v>
      </c>
      <c r="L17" s="7"/>
      <c r="M17" s="7"/>
      <c r="N17" s="7"/>
      <c r="O17" s="7"/>
      <c r="P17" s="7"/>
      <c r="Q17" s="7"/>
      <c r="R17" s="7"/>
      <c r="S17" s="236"/>
      <c r="T17" s="392">
        <v>100.6</v>
      </c>
      <c r="U17" s="7">
        <f t="shared" si="1"/>
        <v>100.6</v>
      </c>
      <c r="V17" s="391"/>
      <c r="W17" s="390"/>
      <c r="X17" s="11"/>
      <c r="Y17" s="391"/>
      <c r="Z17" s="11"/>
      <c r="AA17" s="236"/>
      <c r="AB17" s="390">
        <v>500</v>
      </c>
      <c r="AC17" s="7">
        <f t="shared" si="5"/>
        <v>500</v>
      </c>
      <c r="AD17" s="391"/>
      <c r="AE17" s="11"/>
      <c r="AF17" s="7"/>
      <c r="AG17" s="7"/>
      <c r="AH17" s="7"/>
      <c r="AI17" s="7"/>
      <c r="AJ17" s="7"/>
      <c r="AK17" s="7"/>
      <c r="AL17" s="236"/>
      <c r="AM17" s="390">
        <v>4</v>
      </c>
      <c r="AN17" s="7">
        <f t="shared" si="6"/>
        <v>4</v>
      </c>
      <c r="AO17" s="391"/>
      <c r="AP17" s="11"/>
      <c r="AQ17" s="7"/>
      <c r="AR17" s="7"/>
      <c r="AS17" s="236"/>
      <c r="AT17" s="244">
        <v>100.6</v>
      </c>
      <c r="AU17" s="7">
        <f t="shared" si="3"/>
        <v>100.6</v>
      </c>
      <c r="AV17" s="11"/>
      <c r="AW17" s="242"/>
      <c r="AX17" s="7"/>
      <c r="AY17" s="11"/>
      <c r="AZ17" s="242"/>
      <c r="BA17" s="11"/>
      <c r="BB17" s="243"/>
      <c r="BC17" s="242"/>
      <c r="BD17" s="11"/>
      <c r="BE17" s="243"/>
      <c r="BF17" s="242"/>
      <c r="BG17" s="11"/>
      <c r="BH17" s="243"/>
      <c r="BI17" s="11"/>
      <c r="BJ17" s="7"/>
    </row>
    <row r="18" spans="1:62" x14ac:dyDescent="0.25">
      <c r="A18" s="71">
        <f t="shared" si="2"/>
        <v>14</v>
      </c>
      <c r="B18" s="1" t="s">
        <v>694</v>
      </c>
      <c r="C18" s="1" t="s">
        <v>1792</v>
      </c>
      <c r="D18" s="1" t="s">
        <v>2074</v>
      </c>
      <c r="E18" s="1" t="s">
        <v>2075</v>
      </c>
      <c r="F18" s="1" t="s">
        <v>2051</v>
      </c>
      <c r="G18" s="12">
        <v>42916</v>
      </c>
      <c r="H18" s="271">
        <f t="shared" si="4"/>
        <v>234238.52049999998</v>
      </c>
      <c r="I18" s="271">
        <v>275574.73</v>
      </c>
      <c r="J18" s="270"/>
      <c r="K18" s="270">
        <f t="shared" si="0"/>
        <v>275574.73</v>
      </c>
      <c r="L18" s="7"/>
      <c r="M18" s="7"/>
      <c r="N18" s="7"/>
      <c r="O18" s="7"/>
      <c r="P18" s="7"/>
      <c r="Q18" s="7"/>
      <c r="R18" s="7"/>
      <c r="S18" s="236"/>
      <c r="T18" s="390">
        <v>90</v>
      </c>
      <c r="U18" s="7">
        <f t="shared" si="1"/>
        <v>90</v>
      </c>
      <c r="V18" s="391"/>
      <c r="W18" s="390"/>
      <c r="X18" s="11"/>
      <c r="Y18" s="391"/>
      <c r="Z18" s="11"/>
      <c r="AA18" s="236"/>
      <c r="AB18" s="390"/>
      <c r="AC18" s="7"/>
      <c r="AD18" s="391"/>
      <c r="AE18" s="11"/>
      <c r="AF18" s="7"/>
      <c r="AG18" s="7"/>
      <c r="AH18" s="7"/>
      <c r="AI18" s="7"/>
      <c r="AJ18" s="7"/>
      <c r="AK18" s="7"/>
      <c r="AL18" s="236"/>
      <c r="AM18" s="390"/>
      <c r="AN18" s="7"/>
      <c r="AO18" s="391"/>
      <c r="AP18" s="11"/>
      <c r="AQ18" s="7"/>
      <c r="AR18" s="7"/>
      <c r="AS18" s="236"/>
      <c r="AT18" s="242">
        <v>90</v>
      </c>
      <c r="AU18" s="7">
        <f t="shared" si="3"/>
        <v>90</v>
      </c>
      <c r="AV18" s="11"/>
      <c r="AW18" s="242"/>
      <c r="AX18" s="7"/>
      <c r="AY18" s="11"/>
      <c r="AZ18" s="242"/>
      <c r="BA18" s="11"/>
      <c r="BB18" s="243"/>
      <c r="BC18" s="242"/>
      <c r="BD18" s="11"/>
      <c r="BE18" s="243"/>
      <c r="BF18" s="242"/>
      <c r="BG18" s="11"/>
      <c r="BH18" s="243"/>
      <c r="BI18" s="11"/>
      <c r="BJ18" s="7"/>
    </row>
    <row r="19" spans="1:62" ht="25.5" x14ac:dyDescent="0.25">
      <c r="A19" s="71">
        <f t="shared" si="2"/>
        <v>15</v>
      </c>
      <c r="B19" s="1" t="s">
        <v>675</v>
      </c>
      <c r="C19" s="1" t="s">
        <v>1792</v>
      </c>
      <c r="D19" s="1" t="s">
        <v>2076</v>
      </c>
      <c r="E19" s="1" t="s">
        <v>2077</v>
      </c>
      <c r="F19" s="1" t="s">
        <v>2051</v>
      </c>
      <c r="G19" s="12">
        <v>42947</v>
      </c>
      <c r="H19" s="271">
        <f t="shared" si="4"/>
        <v>168186.78</v>
      </c>
      <c r="I19" s="271">
        <v>197866.8</v>
      </c>
      <c r="J19" s="270"/>
      <c r="K19" s="270">
        <f t="shared" si="0"/>
        <v>197866.8</v>
      </c>
      <c r="L19" s="7"/>
      <c r="M19" s="7"/>
      <c r="N19" s="7"/>
      <c r="O19" s="7"/>
      <c r="P19" s="7"/>
      <c r="Q19" s="7"/>
      <c r="R19" s="7"/>
      <c r="S19" s="236"/>
      <c r="T19" s="390">
        <v>400</v>
      </c>
      <c r="U19" s="7">
        <f t="shared" si="1"/>
        <v>400</v>
      </c>
      <c r="V19" s="391"/>
      <c r="W19" s="390"/>
      <c r="X19" s="11"/>
      <c r="Y19" s="391"/>
      <c r="Z19" s="11"/>
      <c r="AA19" s="236"/>
      <c r="AB19" s="390"/>
      <c r="AC19" s="7"/>
      <c r="AD19" s="391"/>
      <c r="AE19" s="11"/>
      <c r="AF19" s="7"/>
      <c r="AG19" s="7"/>
      <c r="AH19" s="7"/>
      <c r="AI19" s="7"/>
      <c r="AJ19" s="7"/>
      <c r="AK19" s="7"/>
      <c r="AL19" s="236"/>
      <c r="AM19" s="390"/>
      <c r="AN19" s="7"/>
      <c r="AO19" s="391"/>
      <c r="AP19" s="11"/>
      <c r="AQ19" s="7"/>
      <c r="AR19" s="7"/>
      <c r="AS19" s="236"/>
      <c r="AT19" s="242">
        <v>400</v>
      </c>
      <c r="AU19" s="7">
        <f t="shared" si="3"/>
        <v>400</v>
      </c>
      <c r="AV19" s="11"/>
      <c r="AW19" s="242"/>
      <c r="AX19" s="7"/>
      <c r="AY19" s="11"/>
      <c r="AZ19" s="242"/>
      <c r="BA19" s="11"/>
      <c r="BB19" s="243"/>
      <c r="BC19" s="242"/>
      <c r="BD19" s="11"/>
      <c r="BE19" s="243"/>
      <c r="BF19" s="242"/>
      <c r="BG19" s="11"/>
      <c r="BH19" s="243"/>
      <c r="BI19" s="11"/>
      <c r="BJ19" s="7"/>
    </row>
    <row r="20" spans="1:62" ht="25.5" x14ac:dyDescent="0.25">
      <c r="A20" s="71">
        <f t="shared" si="2"/>
        <v>16</v>
      </c>
      <c r="B20" s="1" t="s">
        <v>601</v>
      </c>
      <c r="C20" s="1" t="s">
        <v>1792</v>
      </c>
      <c r="D20" s="1" t="s">
        <v>2078</v>
      </c>
      <c r="E20" s="1" t="s">
        <v>2079</v>
      </c>
      <c r="F20" s="1" t="s">
        <v>2051</v>
      </c>
      <c r="G20" s="12">
        <v>42947</v>
      </c>
      <c r="H20" s="271">
        <f t="shared" si="4"/>
        <v>126439.2</v>
      </c>
      <c r="I20" s="271">
        <v>148752</v>
      </c>
      <c r="J20" s="270"/>
      <c r="K20" s="270">
        <f t="shared" si="0"/>
        <v>148752</v>
      </c>
      <c r="L20" s="7"/>
      <c r="M20" s="7"/>
      <c r="N20" s="7"/>
      <c r="O20" s="7"/>
      <c r="P20" s="7"/>
      <c r="Q20" s="7"/>
      <c r="R20" s="7"/>
      <c r="S20" s="236"/>
      <c r="T20" s="390">
        <v>110</v>
      </c>
      <c r="U20" s="7">
        <f t="shared" si="1"/>
        <v>110</v>
      </c>
      <c r="V20" s="391"/>
      <c r="W20" s="390"/>
      <c r="X20" s="11"/>
      <c r="Y20" s="391"/>
      <c r="Z20" s="11"/>
      <c r="AA20" s="236"/>
      <c r="AB20" s="390"/>
      <c r="AC20" s="7"/>
      <c r="AD20" s="391"/>
      <c r="AE20" s="11"/>
      <c r="AF20" s="7"/>
      <c r="AG20" s="7"/>
      <c r="AH20" s="7"/>
      <c r="AI20" s="7"/>
      <c r="AJ20" s="7"/>
      <c r="AK20" s="7"/>
      <c r="AL20" s="236"/>
      <c r="AM20" s="390"/>
      <c r="AN20" s="7"/>
      <c r="AO20" s="391"/>
      <c r="AP20" s="11"/>
      <c r="AQ20" s="7"/>
      <c r="AR20" s="7"/>
      <c r="AS20" s="236"/>
      <c r="AT20" s="242">
        <v>110</v>
      </c>
      <c r="AU20" s="7">
        <f t="shared" si="3"/>
        <v>110</v>
      </c>
      <c r="AV20" s="11"/>
      <c r="AW20" s="242"/>
      <c r="AX20" s="7"/>
      <c r="AY20" s="11"/>
      <c r="AZ20" s="242"/>
      <c r="BA20" s="11"/>
      <c r="BB20" s="243"/>
      <c r="BC20" s="242"/>
      <c r="BD20" s="11"/>
      <c r="BE20" s="243"/>
      <c r="BF20" s="242"/>
      <c r="BG20" s="11"/>
      <c r="BH20" s="243"/>
      <c r="BI20" s="11"/>
      <c r="BJ20" s="7"/>
    </row>
    <row r="21" spans="1:62" ht="25.5" x14ac:dyDescent="0.25">
      <c r="A21" s="71">
        <f t="shared" si="2"/>
        <v>17</v>
      </c>
      <c r="B21" s="1" t="s">
        <v>644</v>
      </c>
      <c r="C21" s="1" t="s">
        <v>1792</v>
      </c>
      <c r="D21" s="1" t="s">
        <v>2080</v>
      </c>
      <c r="E21" s="1" t="s">
        <v>2081</v>
      </c>
      <c r="F21" s="1" t="s">
        <v>2051</v>
      </c>
      <c r="G21" s="12">
        <v>42947</v>
      </c>
      <c r="H21" s="271">
        <f t="shared" si="4"/>
        <v>274169.2</v>
      </c>
      <c r="I21" s="271">
        <v>322552</v>
      </c>
      <c r="J21" s="270"/>
      <c r="K21" s="270">
        <f t="shared" si="0"/>
        <v>322552</v>
      </c>
      <c r="L21" s="7"/>
      <c r="M21" s="7"/>
      <c r="N21" s="7"/>
      <c r="O21" s="7"/>
      <c r="P21" s="7"/>
      <c r="Q21" s="7"/>
      <c r="R21" s="7"/>
      <c r="S21" s="236"/>
      <c r="T21" s="390">
        <v>321</v>
      </c>
      <c r="U21" s="7">
        <f t="shared" si="1"/>
        <v>321</v>
      </c>
      <c r="V21" s="391"/>
      <c r="W21" s="390"/>
      <c r="X21" s="11"/>
      <c r="Y21" s="391"/>
      <c r="Z21" s="11"/>
      <c r="AA21" s="236"/>
      <c r="AB21" s="390">
        <v>4103</v>
      </c>
      <c r="AC21" s="7">
        <f t="shared" si="5"/>
        <v>4103</v>
      </c>
      <c r="AD21" s="391"/>
      <c r="AE21" s="11"/>
      <c r="AF21" s="7"/>
      <c r="AG21" s="7"/>
      <c r="AH21" s="7"/>
      <c r="AI21" s="7"/>
      <c r="AJ21" s="7"/>
      <c r="AK21" s="7"/>
      <c r="AL21" s="236"/>
      <c r="AM21" s="390">
        <v>4</v>
      </c>
      <c r="AN21" s="7">
        <f t="shared" si="6"/>
        <v>4</v>
      </c>
      <c r="AO21" s="391"/>
      <c r="AP21" s="11"/>
      <c r="AQ21" s="7"/>
      <c r="AR21" s="7"/>
      <c r="AS21" s="236"/>
      <c r="AT21" s="242">
        <v>321</v>
      </c>
      <c r="AU21" s="7">
        <f t="shared" si="3"/>
        <v>321</v>
      </c>
      <c r="AV21" s="11"/>
      <c r="AW21" s="242"/>
      <c r="AX21" s="7"/>
      <c r="AY21" s="11"/>
      <c r="AZ21" s="242"/>
      <c r="BA21" s="11"/>
      <c r="BB21" s="243"/>
      <c r="BC21" s="242"/>
      <c r="BD21" s="11"/>
      <c r="BE21" s="243"/>
      <c r="BF21" s="242"/>
      <c r="BG21" s="11"/>
      <c r="BH21" s="243"/>
      <c r="BI21" s="11"/>
      <c r="BJ21" s="7"/>
    </row>
    <row r="22" spans="1:62" ht="25.5" x14ac:dyDescent="0.25">
      <c r="A22" s="71">
        <f t="shared" si="2"/>
        <v>18</v>
      </c>
      <c r="B22" s="1" t="s">
        <v>577</v>
      </c>
      <c r="C22" s="1" t="s">
        <v>1792</v>
      </c>
      <c r="D22" s="1" t="s">
        <v>2082</v>
      </c>
      <c r="E22" s="1" t="s">
        <v>2083</v>
      </c>
      <c r="F22" s="1" t="s">
        <v>2051</v>
      </c>
      <c r="G22" s="12">
        <v>42978</v>
      </c>
      <c r="H22" s="271">
        <f t="shared" si="4"/>
        <v>331838.64</v>
      </c>
      <c r="I22" s="271">
        <v>390398.4</v>
      </c>
      <c r="J22" s="270"/>
      <c r="K22" s="270">
        <f t="shared" si="0"/>
        <v>390398.4</v>
      </c>
      <c r="L22" s="7"/>
      <c r="M22" s="7"/>
      <c r="N22" s="7"/>
      <c r="O22" s="7"/>
      <c r="P22" s="7"/>
      <c r="Q22" s="7"/>
      <c r="R22" s="7"/>
      <c r="S22" s="236"/>
      <c r="T22" s="390">
        <v>116.63</v>
      </c>
      <c r="U22" s="7">
        <f t="shared" si="1"/>
        <v>116.63</v>
      </c>
      <c r="V22" s="391"/>
      <c r="W22" s="390"/>
      <c r="X22" s="11"/>
      <c r="Y22" s="391"/>
      <c r="Z22" s="11"/>
      <c r="AA22" s="236"/>
      <c r="AB22" s="390"/>
      <c r="AC22" s="7"/>
      <c r="AD22" s="391"/>
      <c r="AE22" s="11"/>
      <c r="AF22" s="7"/>
      <c r="AG22" s="7"/>
      <c r="AH22" s="7"/>
      <c r="AI22" s="7"/>
      <c r="AJ22" s="7"/>
      <c r="AK22" s="7"/>
      <c r="AL22" s="236"/>
      <c r="AM22" s="390"/>
      <c r="AN22" s="7"/>
      <c r="AO22" s="391"/>
      <c r="AP22" s="11"/>
      <c r="AQ22" s="7"/>
      <c r="AR22" s="7"/>
      <c r="AS22" s="236"/>
      <c r="AT22" s="242">
        <v>116.63</v>
      </c>
      <c r="AU22" s="7">
        <f t="shared" si="3"/>
        <v>116.63</v>
      </c>
      <c r="AV22" s="11"/>
      <c r="AW22" s="242"/>
      <c r="AX22" s="7"/>
      <c r="AY22" s="11"/>
      <c r="AZ22" s="242"/>
      <c r="BA22" s="11"/>
      <c r="BB22" s="243"/>
      <c r="BC22" s="242"/>
      <c r="BD22" s="11"/>
      <c r="BE22" s="243"/>
      <c r="BF22" s="242"/>
      <c r="BG22" s="11"/>
      <c r="BH22" s="243"/>
      <c r="BI22" s="11"/>
      <c r="BJ22" s="7"/>
    </row>
    <row r="23" spans="1:62" ht="25.5" x14ac:dyDescent="0.25">
      <c r="A23" s="71">
        <f t="shared" si="2"/>
        <v>19</v>
      </c>
      <c r="B23" s="1" t="s">
        <v>628</v>
      </c>
      <c r="C23" s="1" t="s">
        <v>1792</v>
      </c>
      <c r="D23" s="1" t="s">
        <v>2084</v>
      </c>
      <c r="E23" s="1" t="s">
        <v>2085</v>
      </c>
      <c r="F23" s="1" t="s">
        <v>2051</v>
      </c>
      <c r="G23" s="12">
        <v>42978</v>
      </c>
      <c r="H23" s="271">
        <f t="shared" si="4"/>
        <v>251566.17</v>
      </c>
      <c r="I23" s="271">
        <v>295960.2</v>
      </c>
      <c r="J23" s="270"/>
      <c r="K23" s="270">
        <f t="shared" si="0"/>
        <v>295960.2</v>
      </c>
      <c r="L23" s="7"/>
      <c r="M23" s="7"/>
      <c r="N23" s="7"/>
      <c r="O23" s="7"/>
      <c r="P23" s="7"/>
      <c r="Q23" s="7"/>
      <c r="R23" s="7"/>
      <c r="S23" s="236"/>
      <c r="T23" s="390">
        <v>90</v>
      </c>
      <c r="U23" s="7">
        <f t="shared" si="1"/>
        <v>90</v>
      </c>
      <c r="V23" s="391"/>
      <c r="W23" s="390"/>
      <c r="X23" s="11"/>
      <c r="Y23" s="391"/>
      <c r="Z23" s="11"/>
      <c r="AA23" s="236"/>
      <c r="AB23" s="390"/>
      <c r="AC23" s="7"/>
      <c r="AD23" s="391"/>
      <c r="AE23" s="11"/>
      <c r="AF23" s="7"/>
      <c r="AG23" s="7"/>
      <c r="AH23" s="7"/>
      <c r="AI23" s="7"/>
      <c r="AJ23" s="7"/>
      <c r="AK23" s="7"/>
      <c r="AL23" s="236"/>
      <c r="AM23" s="390"/>
      <c r="AN23" s="7"/>
      <c r="AO23" s="391"/>
      <c r="AP23" s="11"/>
      <c r="AQ23" s="7"/>
      <c r="AR23" s="7"/>
      <c r="AS23" s="236"/>
      <c r="AT23" s="242">
        <v>90</v>
      </c>
      <c r="AU23" s="7">
        <f t="shared" si="3"/>
        <v>90</v>
      </c>
      <c r="AV23" s="11"/>
      <c r="AW23" s="242"/>
      <c r="AX23" s="7"/>
      <c r="AY23" s="11"/>
      <c r="AZ23" s="242"/>
      <c r="BA23" s="11"/>
      <c r="BB23" s="243"/>
      <c r="BC23" s="242"/>
      <c r="BD23" s="11"/>
      <c r="BE23" s="243"/>
      <c r="BF23" s="242"/>
      <c r="BG23" s="11"/>
      <c r="BH23" s="243"/>
      <c r="BI23" s="11"/>
      <c r="BJ23" s="7"/>
    </row>
    <row r="24" spans="1:62" ht="25.5" x14ac:dyDescent="0.25">
      <c r="A24" s="71">
        <f t="shared" si="2"/>
        <v>20</v>
      </c>
      <c r="B24" s="1" t="s">
        <v>589</v>
      </c>
      <c r="C24" s="1" t="s">
        <v>1792</v>
      </c>
      <c r="D24" s="1" t="s">
        <v>947</v>
      </c>
      <c r="E24" s="1" t="s">
        <v>2086</v>
      </c>
      <c r="F24" s="1" t="s">
        <v>2051</v>
      </c>
      <c r="G24" s="12">
        <v>42978</v>
      </c>
      <c r="H24" s="271">
        <f t="shared" si="4"/>
        <v>106258.72099999999</v>
      </c>
      <c r="I24" s="271">
        <v>125010.26</v>
      </c>
      <c r="J24" s="270"/>
      <c r="K24" s="270">
        <f t="shared" si="0"/>
        <v>125010.26</v>
      </c>
      <c r="L24" s="7"/>
      <c r="M24" s="7"/>
      <c r="N24" s="7"/>
      <c r="O24" s="7"/>
      <c r="P24" s="7"/>
      <c r="Q24" s="7"/>
      <c r="R24" s="7"/>
      <c r="S24" s="236"/>
      <c r="T24" s="390">
        <v>164.98</v>
      </c>
      <c r="U24" s="7">
        <f t="shared" si="1"/>
        <v>164.98</v>
      </c>
      <c r="V24" s="391"/>
      <c r="W24" s="390"/>
      <c r="X24" s="11"/>
      <c r="Y24" s="391"/>
      <c r="Z24" s="11"/>
      <c r="AA24" s="236"/>
      <c r="AB24" s="390">
        <v>3037</v>
      </c>
      <c r="AC24" s="7">
        <f t="shared" si="5"/>
        <v>3037</v>
      </c>
      <c r="AD24" s="391"/>
      <c r="AE24" s="11"/>
      <c r="AF24" s="7"/>
      <c r="AG24" s="7"/>
      <c r="AH24" s="7"/>
      <c r="AI24" s="7"/>
      <c r="AJ24" s="7"/>
      <c r="AK24" s="7"/>
      <c r="AL24" s="236"/>
      <c r="AM24" s="390">
        <v>5</v>
      </c>
      <c r="AN24" s="7">
        <f t="shared" si="6"/>
        <v>5</v>
      </c>
      <c r="AO24" s="391"/>
      <c r="AP24" s="11"/>
      <c r="AQ24" s="7"/>
      <c r="AR24" s="7"/>
      <c r="AS24" s="236"/>
      <c r="AT24" s="242">
        <v>164.98</v>
      </c>
      <c r="AU24" s="7">
        <f t="shared" si="3"/>
        <v>164.98</v>
      </c>
      <c r="AV24" s="11"/>
      <c r="AW24" s="242"/>
      <c r="AX24" s="7"/>
      <c r="AY24" s="11"/>
      <c r="AZ24" s="242"/>
      <c r="BA24" s="11"/>
      <c r="BB24" s="243"/>
      <c r="BC24" s="242"/>
      <c r="BD24" s="11"/>
      <c r="BE24" s="243"/>
      <c r="BF24" s="242"/>
      <c r="BG24" s="11"/>
      <c r="BH24" s="243"/>
      <c r="BI24" s="11"/>
      <c r="BJ24" s="7"/>
    </row>
    <row r="25" spans="1:62" ht="25.5" x14ac:dyDescent="0.25">
      <c r="A25" s="71">
        <f t="shared" si="2"/>
        <v>21</v>
      </c>
      <c r="B25" s="1" t="s">
        <v>667</v>
      </c>
      <c r="C25" s="1" t="s">
        <v>1792</v>
      </c>
      <c r="D25" s="1" t="s">
        <v>2087</v>
      </c>
      <c r="E25" s="1" t="s">
        <v>2088</v>
      </c>
      <c r="F25" s="1" t="s">
        <v>2051</v>
      </c>
      <c r="G25" s="12">
        <v>42978</v>
      </c>
      <c r="H25" s="271">
        <f t="shared" si="4"/>
        <v>587731.99</v>
      </c>
      <c r="I25" s="271">
        <v>691449.4</v>
      </c>
      <c r="J25" s="270"/>
      <c r="K25" s="270">
        <f t="shared" si="0"/>
        <v>691449.4</v>
      </c>
      <c r="L25" s="7"/>
      <c r="M25" s="7"/>
      <c r="N25" s="7"/>
      <c r="O25" s="7"/>
      <c r="P25" s="7"/>
      <c r="Q25" s="7"/>
      <c r="R25" s="7"/>
      <c r="S25" s="236"/>
      <c r="T25" s="390">
        <v>577</v>
      </c>
      <c r="U25" s="7">
        <f t="shared" si="1"/>
        <v>577</v>
      </c>
      <c r="V25" s="391"/>
      <c r="W25" s="390"/>
      <c r="X25" s="11"/>
      <c r="Y25" s="391"/>
      <c r="Z25" s="11"/>
      <c r="AA25" s="236"/>
      <c r="AB25" s="390">
        <v>1000</v>
      </c>
      <c r="AC25" s="7">
        <f t="shared" si="5"/>
        <v>1000</v>
      </c>
      <c r="AD25" s="391"/>
      <c r="AE25" s="11"/>
      <c r="AF25" s="7"/>
      <c r="AG25" s="7"/>
      <c r="AH25" s="7"/>
      <c r="AI25" s="7"/>
      <c r="AJ25" s="7"/>
      <c r="AK25" s="7"/>
      <c r="AL25" s="236"/>
      <c r="AM25" s="390">
        <v>3</v>
      </c>
      <c r="AN25" s="7">
        <f t="shared" si="6"/>
        <v>3</v>
      </c>
      <c r="AO25" s="391"/>
      <c r="AP25" s="11"/>
      <c r="AQ25" s="7"/>
      <c r="AR25" s="7"/>
      <c r="AS25" s="236"/>
      <c r="AT25" s="242">
        <v>577</v>
      </c>
      <c r="AU25" s="7">
        <f t="shared" si="3"/>
        <v>577</v>
      </c>
      <c r="AV25" s="11"/>
      <c r="AW25" s="242"/>
      <c r="AX25" s="7"/>
      <c r="AY25" s="11"/>
      <c r="AZ25" s="242"/>
      <c r="BA25" s="11"/>
      <c r="BB25" s="243"/>
      <c r="BC25" s="242"/>
      <c r="BD25" s="11"/>
      <c r="BE25" s="243"/>
      <c r="BF25" s="242"/>
      <c r="BG25" s="11"/>
      <c r="BH25" s="243"/>
      <c r="BI25" s="11"/>
      <c r="BJ25" s="7"/>
    </row>
    <row r="26" spans="1:62" ht="25.5" x14ac:dyDescent="0.25">
      <c r="A26" s="71">
        <f t="shared" si="2"/>
        <v>22</v>
      </c>
      <c r="B26" s="1" t="s">
        <v>635</v>
      </c>
      <c r="C26" s="1" t="s">
        <v>1792</v>
      </c>
      <c r="D26" s="1" t="s">
        <v>2089</v>
      </c>
      <c r="E26" s="1" t="s">
        <v>2090</v>
      </c>
      <c r="F26" s="1" t="s">
        <v>2051</v>
      </c>
      <c r="G26" s="12">
        <v>42978</v>
      </c>
      <c r="H26" s="271">
        <f t="shared" si="4"/>
        <v>126915.2</v>
      </c>
      <c r="I26" s="271">
        <v>149312</v>
      </c>
      <c r="J26" s="270"/>
      <c r="K26" s="270">
        <f t="shared" si="0"/>
        <v>149312</v>
      </c>
      <c r="L26" s="7"/>
      <c r="M26" s="7"/>
      <c r="N26" s="7"/>
      <c r="O26" s="7"/>
      <c r="P26" s="7"/>
      <c r="Q26" s="7"/>
      <c r="R26" s="7"/>
      <c r="S26" s="236"/>
      <c r="T26" s="390">
        <v>135.94</v>
      </c>
      <c r="U26" s="7">
        <f t="shared" si="1"/>
        <v>135.94</v>
      </c>
      <c r="V26" s="391"/>
      <c r="W26" s="390"/>
      <c r="X26" s="11"/>
      <c r="Y26" s="391"/>
      <c r="Z26" s="11"/>
      <c r="AA26" s="236"/>
      <c r="AB26" s="390"/>
      <c r="AC26" s="7"/>
      <c r="AD26" s="391"/>
      <c r="AE26" s="11"/>
      <c r="AF26" s="7"/>
      <c r="AG26" s="7"/>
      <c r="AH26" s="7"/>
      <c r="AI26" s="7"/>
      <c r="AJ26" s="7"/>
      <c r="AK26" s="7"/>
      <c r="AL26" s="236"/>
      <c r="AM26" s="390"/>
      <c r="AN26" s="7"/>
      <c r="AO26" s="391"/>
      <c r="AP26" s="11"/>
      <c r="AQ26" s="7"/>
      <c r="AR26" s="7"/>
      <c r="AS26" s="236"/>
      <c r="AT26" s="242">
        <v>135.94</v>
      </c>
      <c r="AU26" s="7">
        <f t="shared" si="3"/>
        <v>135.94</v>
      </c>
      <c r="AV26" s="11"/>
      <c r="AW26" s="242"/>
      <c r="AX26" s="7"/>
      <c r="AY26" s="11"/>
      <c r="AZ26" s="242"/>
      <c r="BA26" s="11"/>
      <c r="BB26" s="243"/>
      <c r="BC26" s="242"/>
      <c r="BD26" s="11"/>
      <c r="BE26" s="243"/>
      <c r="BF26" s="242"/>
      <c r="BG26" s="11"/>
      <c r="BH26" s="243"/>
      <c r="BI26" s="11"/>
      <c r="BJ26" s="7"/>
    </row>
    <row r="27" spans="1:62" x14ac:dyDescent="0.25">
      <c r="A27" s="71">
        <f t="shared" si="2"/>
        <v>23</v>
      </c>
      <c r="B27" s="1" t="s">
        <v>596</v>
      </c>
      <c r="C27" s="1" t="s">
        <v>1792</v>
      </c>
      <c r="D27" s="1" t="s">
        <v>2091</v>
      </c>
      <c r="E27" s="1" t="s">
        <v>2092</v>
      </c>
      <c r="F27" s="1" t="s">
        <v>2051</v>
      </c>
      <c r="G27" s="12">
        <v>42978</v>
      </c>
      <c r="H27" s="271">
        <f t="shared" si="4"/>
        <v>172725.78</v>
      </c>
      <c r="I27" s="271">
        <v>203206.8</v>
      </c>
      <c r="J27" s="270"/>
      <c r="K27" s="270">
        <f>I27</f>
        <v>203206.8</v>
      </c>
      <c r="L27" s="7"/>
      <c r="M27" s="7"/>
      <c r="N27" s="7"/>
      <c r="O27" s="7"/>
      <c r="P27" s="7"/>
      <c r="Q27" s="7"/>
      <c r="R27" s="7"/>
      <c r="S27" s="236"/>
      <c r="T27" s="390">
        <v>110</v>
      </c>
      <c r="U27" s="7">
        <f>T27</f>
        <v>110</v>
      </c>
      <c r="V27" s="391"/>
      <c r="W27" s="390"/>
      <c r="X27" s="11"/>
      <c r="Y27" s="391"/>
      <c r="Z27" s="11"/>
      <c r="AA27" s="236"/>
      <c r="AB27" s="390"/>
      <c r="AC27" s="7"/>
      <c r="AD27" s="391"/>
      <c r="AE27" s="11"/>
      <c r="AF27" s="7"/>
      <c r="AG27" s="7"/>
      <c r="AH27" s="7"/>
      <c r="AI27" s="7"/>
      <c r="AJ27" s="7"/>
      <c r="AK27" s="7"/>
      <c r="AL27" s="236"/>
      <c r="AM27" s="390"/>
      <c r="AN27" s="7"/>
      <c r="AO27" s="391"/>
      <c r="AP27" s="11"/>
      <c r="AQ27" s="7"/>
      <c r="AR27" s="7"/>
      <c r="AS27" s="236"/>
      <c r="AT27" s="242">
        <v>110</v>
      </c>
      <c r="AU27" s="7">
        <f t="shared" si="3"/>
        <v>110</v>
      </c>
      <c r="AV27" s="11"/>
      <c r="AW27" s="242"/>
      <c r="AX27" s="7"/>
      <c r="AY27" s="11"/>
      <c r="AZ27" s="242"/>
      <c r="BA27" s="11"/>
      <c r="BB27" s="243"/>
      <c r="BC27" s="242"/>
      <c r="BD27" s="11"/>
      <c r="BE27" s="243"/>
      <c r="BF27" s="242"/>
      <c r="BG27" s="11"/>
      <c r="BH27" s="243"/>
      <c r="BI27" s="11"/>
      <c r="BJ27" s="7"/>
    </row>
    <row r="28" spans="1:62" x14ac:dyDescent="0.25">
      <c r="A28" s="71">
        <f t="shared" si="2"/>
        <v>24</v>
      </c>
      <c r="B28" s="1" t="s">
        <v>663</v>
      </c>
      <c r="C28" s="1" t="s">
        <v>1792</v>
      </c>
      <c r="D28" s="1" t="s">
        <v>2093</v>
      </c>
      <c r="E28" s="1" t="s">
        <v>2094</v>
      </c>
      <c r="F28" s="1" t="s">
        <v>2051</v>
      </c>
      <c r="G28" s="12">
        <v>42978</v>
      </c>
      <c r="H28" s="271">
        <f t="shared" si="4"/>
        <v>751460.27350000001</v>
      </c>
      <c r="I28" s="271">
        <v>884070.91</v>
      </c>
      <c r="J28" s="270"/>
      <c r="K28" s="270">
        <f t="shared" si="0"/>
        <v>884070.91</v>
      </c>
      <c r="L28" s="7"/>
      <c r="M28" s="7"/>
      <c r="N28" s="7"/>
      <c r="O28" s="7"/>
      <c r="P28" s="7"/>
      <c r="Q28" s="7"/>
      <c r="R28" s="7"/>
      <c r="S28" s="236"/>
      <c r="T28" s="390">
        <v>951.9</v>
      </c>
      <c r="U28" s="7">
        <f t="shared" si="1"/>
        <v>951.9</v>
      </c>
      <c r="V28" s="391"/>
      <c r="W28" s="390"/>
      <c r="X28" s="11"/>
      <c r="Y28" s="391"/>
      <c r="Z28" s="11"/>
      <c r="AA28" s="236"/>
      <c r="AB28" s="390">
        <v>2500</v>
      </c>
      <c r="AC28" s="7">
        <f t="shared" si="5"/>
        <v>2500</v>
      </c>
      <c r="AD28" s="391"/>
      <c r="AE28" s="11"/>
      <c r="AF28" s="7"/>
      <c r="AG28" s="7"/>
      <c r="AH28" s="7"/>
      <c r="AI28" s="7"/>
      <c r="AJ28" s="7"/>
      <c r="AK28" s="7"/>
      <c r="AL28" s="236"/>
      <c r="AM28" s="390">
        <v>2</v>
      </c>
      <c r="AN28" s="7">
        <f t="shared" si="6"/>
        <v>2</v>
      </c>
      <c r="AO28" s="391"/>
      <c r="AP28" s="11"/>
      <c r="AQ28" s="7"/>
      <c r="AR28" s="7"/>
      <c r="AS28" s="236"/>
      <c r="AT28" s="242">
        <v>951.9</v>
      </c>
      <c r="AU28" s="7">
        <f t="shared" si="3"/>
        <v>951.9</v>
      </c>
      <c r="AV28" s="11"/>
      <c r="AW28" s="242"/>
      <c r="AX28" s="7"/>
      <c r="AY28" s="11"/>
      <c r="AZ28" s="242"/>
      <c r="BA28" s="11"/>
      <c r="BB28" s="243"/>
      <c r="BC28" s="242"/>
      <c r="BD28" s="11"/>
      <c r="BE28" s="243"/>
      <c r="BF28" s="242"/>
      <c r="BG28" s="11"/>
      <c r="BH28" s="243"/>
      <c r="BI28" s="11"/>
      <c r="BJ28" s="7"/>
    </row>
    <row r="29" spans="1:62" ht="25.5" x14ac:dyDescent="0.25">
      <c r="A29" s="71">
        <f t="shared" si="2"/>
        <v>25</v>
      </c>
      <c r="B29" s="1" t="s">
        <v>606</v>
      </c>
      <c r="C29" s="1" t="s">
        <v>1792</v>
      </c>
      <c r="D29" s="1" t="s">
        <v>2095</v>
      </c>
      <c r="E29" s="1" t="s">
        <v>2096</v>
      </c>
      <c r="F29" s="1" t="s">
        <v>2051</v>
      </c>
      <c r="G29" s="12">
        <v>42978</v>
      </c>
      <c r="H29" s="271">
        <f t="shared" si="4"/>
        <v>232566.36649999997</v>
      </c>
      <c r="I29" s="271">
        <v>273607.49</v>
      </c>
      <c r="J29" s="270"/>
      <c r="K29" s="270">
        <f t="shared" si="0"/>
        <v>273607.49</v>
      </c>
      <c r="L29" s="7"/>
      <c r="M29" s="7"/>
      <c r="N29" s="7"/>
      <c r="O29" s="7"/>
      <c r="P29" s="7"/>
      <c r="Q29" s="7"/>
      <c r="R29" s="7"/>
      <c r="S29" s="236"/>
      <c r="T29" s="390">
        <v>249.59</v>
      </c>
      <c r="U29" s="7">
        <f t="shared" si="1"/>
        <v>249.59</v>
      </c>
      <c r="V29" s="391"/>
      <c r="W29" s="390"/>
      <c r="X29" s="11"/>
      <c r="Y29" s="391"/>
      <c r="Z29" s="11"/>
      <c r="AA29" s="236"/>
      <c r="AB29" s="390">
        <v>2620</v>
      </c>
      <c r="AC29" s="7">
        <f t="shared" si="5"/>
        <v>2620</v>
      </c>
      <c r="AD29" s="391"/>
      <c r="AE29" s="11"/>
      <c r="AF29" s="7"/>
      <c r="AG29" s="7"/>
      <c r="AH29" s="7"/>
      <c r="AI29" s="7"/>
      <c r="AJ29" s="7"/>
      <c r="AK29" s="7"/>
      <c r="AL29" s="236"/>
      <c r="AM29" s="390">
        <v>5</v>
      </c>
      <c r="AN29" s="7">
        <f t="shared" si="6"/>
        <v>5</v>
      </c>
      <c r="AO29" s="391"/>
      <c r="AP29" s="11"/>
      <c r="AQ29" s="7"/>
      <c r="AR29" s="7"/>
      <c r="AS29" s="236"/>
      <c r="AT29" s="242">
        <v>249.59</v>
      </c>
      <c r="AU29" s="7">
        <f t="shared" si="3"/>
        <v>249.59</v>
      </c>
      <c r="AV29" s="11"/>
      <c r="AW29" s="242"/>
      <c r="AX29" s="7"/>
      <c r="AY29" s="11"/>
      <c r="AZ29" s="242"/>
      <c r="BA29" s="11"/>
      <c r="BB29" s="243"/>
      <c r="BC29" s="242"/>
      <c r="BD29" s="11"/>
      <c r="BE29" s="243"/>
      <c r="BF29" s="242"/>
      <c r="BG29" s="11"/>
      <c r="BH29" s="243"/>
      <c r="BI29" s="11"/>
      <c r="BJ29" s="7"/>
    </row>
    <row r="30" spans="1:62" x14ac:dyDescent="0.25">
      <c r="A30" s="71">
        <f t="shared" si="2"/>
        <v>26</v>
      </c>
      <c r="B30" s="1" t="s">
        <v>616</v>
      </c>
      <c r="C30" s="1" t="s">
        <v>1792</v>
      </c>
      <c r="D30" s="1" t="s">
        <v>2097</v>
      </c>
      <c r="E30" s="1" t="s">
        <v>2098</v>
      </c>
      <c r="F30" s="1" t="s">
        <v>2051</v>
      </c>
      <c r="G30" s="12">
        <v>42978</v>
      </c>
      <c r="H30" s="271">
        <f t="shared" si="4"/>
        <v>245274.95450000002</v>
      </c>
      <c r="I30" s="271">
        <v>288558.77</v>
      </c>
      <c r="J30" s="270"/>
      <c r="K30" s="270">
        <f t="shared" si="0"/>
        <v>288558.77</v>
      </c>
      <c r="L30" s="7"/>
      <c r="M30" s="7"/>
      <c r="N30" s="7"/>
      <c r="O30" s="7"/>
      <c r="P30" s="7"/>
      <c r="Q30" s="7"/>
      <c r="R30" s="7"/>
      <c r="S30" s="236"/>
      <c r="T30" s="390">
        <v>1540</v>
      </c>
      <c r="U30" s="7">
        <f t="shared" si="1"/>
        <v>1540</v>
      </c>
      <c r="V30" s="391"/>
      <c r="W30" s="390"/>
      <c r="X30" s="11"/>
      <c r="Y30" s="391"/>
      <c r="Z30" s="11"/>
      <c r="AA30" s="236"/>
      <c r="AB30" s="390"/>
      <c r="AC30" s="7"/>
      <c r="AD30" s="391"/>
      <c r="AE30" s="11"/>
      <c r="AF30" s="7"/>
      <c r="AG30" s="7"/>
      <c r="AH30" s="7"/>
      <c r="AI30" s="7"/>
      <c r="AJ30" s="7"/>
      <c r="AK30" s="7"/>
      <c r="AL30" s="236"/>
      <c r="AM30" s="390"/>
      <c r="AN30" s="7"/>
      <c r="AO30" s="391"/>
      <c r="AP30" s="11"/>
      <c r="AQ30" s="7"/>
      <c r="AR30" s="7"/>
      <c r="AS30" s="236"/>
      <c r="AT30" s="242">
        <v>1540</v>
      </c>
      <c r="AU30" s="7">
        <f t="shared" si="3"/>
        <v>1540</v>
      </c>
      <c r="AV30" s="11"/>
      <c r="AW30" s="242"/>
      <c r="AX30" s="7"/>
      <c r="AY30" s="11"/>
      <c r="AZ30" s="242"/>
      <c r="BA30" s="11"/>
      <c r="BB30" s="243"/>
      <c r="BC30" s="242"/>
      <c r="BD30" s="11"/>
      <c r="BE30" s="243"/>
      <c r="BF30" s="242"/>
      <c r="BG30" s="11"/>
      <c r="BH30" s="243"/>
      <c r="BI30" s="11"/>
      <c r="BJ30" s="7"/>
    </row>
    <row r="31" spans="1:62" x14ac:dyDescent="0.25">
      <c r="A31" s="71">
        <f t="shared" si="2"/>
        <v>27</v>
      </c>
      <c r="B31" s="4" t="s">
        <v>673</v>
      </c>
      <c r="C31" s="1" t="s">
        <v>1792</v>
      </c>
      <c r="D31" s="1" t="s">
        <v>2099</v>
      </c>
      <c r="E31" s="1" t="s">
        <v>2100</v>
      </c>
      <c r="F31" s="1" t="s">
        <v>2051</v>
      </c>
      <c r="G31" s="12">
        <v>43008</v>
      </c>
      <c r="H31" s="271">
        <v>264430.24</v>
      </c>
      <c r="I31" s="271">
        <v>311094.40000000002</v>
      </c>
      <c r="J31" s="270"/>
      <c r="K31" s="270">
        <f t="shared" si="0"/>
        <v>311094.40000000002</v>
      </c>
      <c r="L31" s="7"/>
      <c r="M31" s="7"/>
      <c r="N31" s="7"/>
      <c r="O31" s="7"/>
      <c r="P31" s="7"/>
      <c r="Q31" s="7"/>
      <c r="R31" s="7"/>
      <c r="S31" s="236"/>
      <c r="T31" s="390">
        <v>292</v>
      </c>
      <c r="U31" s="7">
        <f t="shared" si="1"/>
        <v>292</v>
      </c>
      <c r="V31" s="391"/>
      <c r="W31" s="390"/>
      <c r="X31" s="11"/>
      <c r="Y31" s="391"/>
      <c r="Z31" s="11"/>
      <c r="AA31" s="236"/>
      <c r="AB31" s="390">
        <v>1995</v>
      </c>
      <c r="AC31" s="7">
        <f t="shared" si="5"/>
        <v>1995</v>
      </c>
      <c r="AD31" s="391"/>
      <c r="AE31" s="11"/>
      <c r="AF31" s="7"/>
      <c r="AG31" s="7"/>
      <c r="AH31" s="7"/>
      <c r="AI31" s="7"/>
      <c r="AJ31" s="7"/>
      <c r="AK31" s="7"/>
      <c r="AL31" s="236"/>
      <c r="AM31" s="390">
        <v>17</v>
      </c>
      <c r="AN31" s="7">
        <f t="shared" si="6"/>
        <v>17</v>
      </c>
      <c r="AO31" s="391"/>
      <c r="AP31" s="11"/>
      <c r="AQ31" s="7"/>
      <c r="AR31" s="7"/>
      <c r="AS31" s="236"/>
      <c r="AT31" s="242">
        <v>292</v>
      </c>
      <c r="AU31" s="7">
        <f t="shared" si="3"/>
        <v>292</v>
      </c>
      <c r="AV31" s="11"/>
      <c r="AW31" s="242"/>
      <c r="AX31" s="7"/>
      <c r="AY31" s="11"/>
      <c r="AZ31" s="242"/>
      <c r="BA31" s="11"/>
      <c r="BB31" s="243"/>
      <c r="BC31" s="242"/>
      <c r="BD31" s="11"/>
      <c r="BE31" s="243"/>
      <c r="BF31" s="242"/>
      <c r="BG31" s="11"/>
      <c r="BH31" s="243"/>
      <c r="BI31" s="11"/>
      <c r="BJ31" s="7"/>
    </row>
    <row r="32" spans="1:62" x14ac:dyDescent="0.25">
      <c r="A32" s="71">
        <f t="shared" si="2"/>
        <v>28</v>
      </c>
      <c r="B32" s="1" t="s">
        <v>568</v>
      </c>
      <c r="C32" s="1" t="s">
        <v>1792</v>
      </c>
      <c r="D32" s="1" t="s">
        <v>1434</v>
      </c>
      <c r="E32" s="1" t="s">
        <v>2101</v>
      </c>
      <c r="F32" s="1" t="s">
        <v>2051</v>
      </c>
      <c r="G32" s="273">
        <v>43008</v>
      </c>
      <c r="H32" s="274">
        <v>215246.17</v>
      </c>
      <c r="I32" s="274">
        <v>253230.79</v>
      </c>
      <c r="J32" s="304"/>
      <c r="K32" s="270">
        <f t="shared" si="0"/>
        <v>253230.79</v>
      </c>
      <c r="L32" s="7"/>
      <c r="M32" s="7"/>
      <c r="N32" s="7"/>
      <c r="O32" s="7"/>
      <c r="P32" s="7"/>
      <c r="Q32" s="7"/>
      <c r="R32" s="7"/>
      <c r="S32" s="236"/>
      <c r="T32" s="390">
        <v>80.489999999999995</v>
      </c>
      <c r="U32" s="7">
        <f t="shared" si="1"/>
        <v>80.489999999999995</v>
      </c>
      <c r="V32" s="391"/>
      <c r="W32" s="390"/>
      <c r="X32" s="11"/>
      <c r="Y32" s="391"/>
      <c r="Z32" s="11"/>
      <c r="AA32" s="236"/>
      <c r="AB32" s="390"/>
      <c r="AC32" s="7"/>
      <c r="AD32" s="391"/>
      <c r="AE32" s="11"/>
      <c r="AF32" s="7"/>
      <c r="AG32" s="7"/>
      <c r="AH32" s="7"/>
      <c r="AI32" s="7"/>
      <c r="AJ32" s="7"/>
      <c r="AK32" s="7"/>
      <c r="AL32" s="236"/>
      <c r="AM32" s="390"/>
      <c r="AN32" s="7"/>
      <c r="AO32" s="391"/>
      <c r="AP32" s="11"/>
      <c r="AQ32" s="7"/>
      <c r="AR32" s="7"/>
      <c r="AS32" s="236"/>
      <c r="AT32" s="242">
        <v>80.489999999999995</v>
      </c>
      <c r="AU32" s="7">
        <f t="shared" si="3"/>
        <v>80.489999999999995</v>
      </c>
      <c r="AV32" s="11"/>
      <c r="AW32" s="242"/>
      <c r="AX32" s="7"/>
      <c r="AY32" s="11"/>
      <c r="AZ32" s="242"/>
      <c r="BA32" s="11"/>
      <c r="BB32" s="243"/>
      <c r="BC32" s="242"/>
      <c r="BD32" s="11"/>
      <c r="BE32" s="243"/>
      <c r="BF32" s="242"/>
      <c r="BG32" s="11"/>
      <c r="BH32" s="243"/>
      <c r="BI32" s="11"/>
      <c r="BJ32" s="7"/>
    </row>
    <row r="33" spans="1:62" ht="25.5" x14ac:dyDescent="0.25">
      <c r="A33" s="71">
        <f t="shared" si="2"/>
        <v>29</v>
      </c>
      <c r="B33" s="1" t="s">
        <v>646</v>
      </c>
      <c r="C33" s="1" t="s">
        <v>1792</v>
      </c>
      <c r="D33" s="1" t="s">
        <v>2102</v>
      </c>
      <c r="E33" s="1" t="s">
        <v>2103</v>
      </c>
      <c r="F33" s="1" t="s">
        <v>2051</v>
      </c>
      <c r="G33" s="12">
        <v>43008</v>
      </c>
      <c r="H33" s="271">
        <f>I33*0.85</f>
        <v>576892.16950000008</v>
      </c>
      <c r="I33" s="271">
        <v>678696.67</v>
      </c>
      <c r="J33" s="270"/>
      <c r="K33" s="270">
        <f t="shared" si="0"/>
        <v>678696.67</v>
      </c>
      <c r="L33" s="7"/>
      <c r="M33" s="7"/>
      <c r="N33" s="7"/>
      <c r="O33" s="7"/>
      <c r="P33" s="7"/>
      <c r="Q33" s="7"/>
      <c r="R33" s="7"/>
      <c r="S33" s="236"/>
      <c r="T33" s="390">
        <v>1250</v>
      </c>
      <c r="U33" s="7">
        <f t="shared" si="1"/>
        <v>1250</v>
      </c>
      <c r="V33" s="391"/>
      <c r="W33" s="390"/>
      <c r="X33" s="11"/>
      <c r="Y33" s="391"/>
      <c r="Z33" s="11"/>
      <c r="AA33" s="236"/>
      <c r="AB33" s="390">
        <v>14150</v>
      </c>
      <c r="AC33" s="7">
        <f t="shared" si="5"/>
        <v>14150</v>
      </c>
      <c r="AD33" s="391"/>
      <c r="AE33" s="11"/>
      <c r="AF33" s="7"/>
      <c r="AG33" s="7"/>
      <c r="AH33" s="7"/>
      <c r="AI33" s="7"/>
      <c r="AJ33" s="7"/>
      <c r="AK33" s="7"/>
      <c r="AL33" s="236"/>
      <c r="AM33" s="390">
        <v>4</v>
      </c>
      <c r="AN33" s="7">
        <f t="shared" si="6"/>
        <v>4</v>
      </c>
      <c r="AO33" s="391"/>
      <c r="AP33" s="11"/>
      <c r="AQ33" s="7"/>
      <c r="AR33" s="7"/>
      <c r="AS33" s="236"/>
      <c r="AT33" s="242">
        <v>1250</v>
      </c>
      <c r="AU33" s="7">
        <f t="shared" si="3"/>
        <v>1250</v>
      </c>
      <c r="AV33" s="11"/>
      <c r="AW33" s="242"/>
      <c r="AX33" s="7"/>
      <c r="AY33" s="11"/>
      <c r="AZ33" s="242"/>
      <c r="BA33" s="11"/>
      <c r="BB33" s="243"/>
      <c r="BC33" s="242"/>
      <c r="BD33" s="11"/>
      <c r="BE33" s="243"/>
      <c r="BF33" s="242"/>
      <c r="BG33" s="11"/>
      <c r="BH33" s="243"/>
      <c r="BI33" s="11"/>
      <c r="BJ33" s="7"/>
    </row>
    <row r="34" spans="1:62" ht="25.5" x14ac:dyDescent="0.25">
      <c r="A34" s="71">
        <f t="shared" si="2"/>
        <v>30</v>
      </c>
      <c r="B34" s="1" t="s">
        <v>584</v>
      </c>
      <c r="C34" s="1" t="s">
        <v>1792</v>
      </c>
      <c r="D34" s="1" t="s">
        <v>821</v>
      </c>
      <c r="E34" s="1" t="s">
        <v>2104</v>
      </c>
      <c r="F34" s="1" t="s">
        <v>2051</v>
      </c>
      <c r="G34" s="12">
        <v>43008</v>
      </c>
      <c r="H34" s="271">
        <f>I34*0.85</f>
        <v>594957.5</v>
      </c>
      <c r="I34" s="271">
        <v>699950</v>
      </c>
      <c r="J34" s="270"/>
      <c r="K34" s="270">
        <f t="shared" si="0"/>
        <v>699950</v>
      </c>
      <c r="L34" s="7"/>
      <c r="M34" s="7"/>
      <c r="N34" s="7"/>
      <c r="O34" s="7"/>
      <c r="P34" s="7"/>
      <c r="Q34" s="7"/>
      <c r="R34" s="7"/>
      <c r="S34" s="236"/>
      <c r="T34" s="392">
        <v>800</v>
      </c>
      <c r="U34" s="7">
        <f t="shared" si="1"/>
        <v>800</v>
      </c>
      <c r="V34" s="391"/>
      <c r="W34" s="390"/>
      <c r="X34" s="11"/>
      <c r="Y34" s="391"/>
      <c r="Z34" s="11"/>
      <c r="AA34" s="236"/>
      <c r="AB34" s="390"/>
      <c r="AC34" s="7"/>
      <c r="AD34" s="391"/>
      <c r="AE34" s="11"/>
      <c r="AF34" s="7"/>
      <c r="AG34" s="7"/>
      <c r="AH34" s="7"/>
      <c r="AI34" s="7"/>
      <c r="AJ34" s="7"/>
      <c r="AK34" s="7"/>
      <c r="AL34" s="236"/>
      <c r="AM34" s="390"/>
      <c r="AN34" s="7"/>
      <c r="AO34" s="391"/>
      <c r="AP34" s="11"/>
      <c r="AQ34" s="7"/>
      <c r="AR34" s="7"/>
      <c r="AS34" s="236"/>
      <c r="AT34" s="244">
        <v>800</v>
      </c>
      <c r="AU34" s="7">
        <f t="shared" si="3"/>
        <v>800</v>
      </c>
      <c r="AV34" s="11"/>
      <c r="AW34" s="242"/>
      <c r="AX34" s="7"/>
      <c r="AY34" s="11"/>
      <c r="AZ34" s="242"/>
      <c r="BA34" s="11"/>
      <c r="BB34" s="243"/>
      <c r="BC34" s="242"/>
      <c r="BD34" s="11"/>
      <c r="BE34" s="243"/>
      <c r="BF34" s="242"/>
      <c r="BG34" s="11"/>
      <c r="BH34" s="243"/>
      <c r="BI34" s="11"/>
      <c r="BJ34" s="7"/>
    </row>
    <row r="35" spans="1:62" x14ac:dyDescent="0.25">
      <c r="A35" s="71">
        <f t="shared" si="2"/>
        <v>31</v>
      </c>
      <c r="B35" s="1" t="s">
        <v>656</v>
      </c>
      <c r="C35" s="1" t="s">
        <v>1792</v>
      </c>
      <c r="D35" s="1" t="s">
        <v>2105</v>
      </c>
      <c r="E35" s="1" t="s">
        <v>2106</v>
      </c>
      <c r="F35" s="1" t="s">
        <v>2051</v>
      </c>
      <c r="G35" s="12">
        <v>43008</v>
      </c>
      <c r="H35" s="271">
        <f>I35*0.85</f>
        <v>284330.83100000001</v>
      </c>
      <c r="I35" s="271">
        <v>334506.86</v>
      </c>
      <c r="J35" s="270"/>
      <c r="K35" s="270">
        <f t="shared" si="0"/>
        <v>334506.86</v>
      </c>
      <c r="L35" s="7"/>
      <c r="M35" s="7"/>
      <c r="N35" s="7"/>
      <c r="O35" s="7"/>
      <c r="P35" s="7"/>
      <c r="Q35" s="7"/>
      <c r="R35" s="7"/>
      <c r="S35" s="236"/>
      <c r="T35" s="390">
        <v>195.7</v>
      </c>
      <c r="U35" s="7">
        <f t="shared" si="1"/>
        <v>195.7</v>
      </c>
      <c r="V35" s="391"/>
      <c r="W35" s="390"/>
      <c r="X35" s="11"/>
      <c r="Y35" s="391"/>
      <c r="Z35" s="11"/>
      <c r="AA35" s="236"/>
      <c r="AB35" s="390">
        <v>1000</v>
      </c>
      <c r="AC35" s="7">
        <f t="shared" si="5"/>
        <v>1000</v>
      </c>
      <c r="AD35" s="391"/>
      <c r="AE35" s="11"/>
      <c r="AF35" s="7"/>
      <c r="AG35" s="7"/>
      <c r="AH35" s="7"/>
      <c r="AI35" s="7"/>
      <c r="AJ35" s="7"/>
      <c r="AK35" s="7"/>
      <c r="AL35" s="236"/>
      <c r="AM35" s="390">
        <v>4</v>
      </c>
      <c r="AN35" s="7">
        <f t="shared" si="6"/>
        <v>4</v>
      </c>
      <c r="AO35" s="391"/>
      <c r="AP35" s="11"/>
      <c r="AQ35" s="7"/>
      <c r="AR35" s="7"/>
      <c r="AS35" s="236"/>
      <c r="AT35" s="242">
        <v>195.7</v>
      </c>
      <c r="AU35" s="7">
        <f t="shared" si="3"/>
        <v>195.7</v>
      </c>
      <c r="AV35" s="11"/>
      <c r="AW35" s="242"/>
      <c r="AX35" s="7"/>
      <c r="AY35" s="11"/>
      <c r="AZ35" s="242"/>
      <c r="BA35" s="11"/>
      <c r="BB35" s="243"/>
      <c r="BC35" s="242"/>
      <c r="BD35" s="11"/>
      <c r="BE35" s="243"/>
      <c r="BF35" s="242"/>
      <c r="BG35" s="11"/>
      <c r="BH35" s="243"/>
      <c r="BI35" s="11"/>
      <c r="BJ35" s="7"/>
    </row>
    <row r="36" spans="1:62" x14ac:dyDescent="0.25">
      <c r="A36" s="71">
        <f t="shared" si="2"/>
        <v>32</v>
      </c>
      <c r="B36" s="1" t="s">
        <v>662</v>
      </c>
      <c r="C36" s="1" t="s">
        <v>1792</v>
      </c>
      <c r="D36" s="1" t="s">
        <v>893</v>
      </c>
      <c r="E36" s="1" t="s">
        <v>2107</v>
      </c>
      <c r="F36" s="1" t="s">
        <v>2051</v>
      </c>
      <c r="G36" s="12">
        <v>43008</v>
      </c>
      <c r="H36" s="271">
        <f>I36*0.85</f>
        <v>330071.69400000002</v>
      </c>
      <c r="I36" s="271">
        <v>388319.64</v>
      </c>
      <c r="J36" s="270"/>
      <c r="K36" s="270">
        <f t="shared" si="0"/>
        <v>388319.64</v>
      </c>
      <c r="L36" s="7"/>
      <c r="M36" s="7"/>
      <c r="N36" s="7"/>
      <c r="O36" s="7"/>
      <c r="P36" s="7"/>
      <c r="Q36" s="7"/>
      <c r="R36" s="7"/>
      <c r="S36" s="236"/>
      <c r="T36" s="390">
        <v>377</v>
      </c>
      <c r="U36" s="7">
        <f t="shared" si="1"/>
        <v>377</v>
      </c>
      <c r="V36" s="391"/>
      <c r="W36" s="390"/>
      <c r="X36" s="11"/>
      <c r="Y36" s="391"/>
      <c r="Z36" s="11"/>
      <c r="AA36" s="236"/>
      <c r="AB36" s="390"/>
      <c r="AC36" s="7"/>
      <c r="AD36" s="391"/>
      <c r="AE36" s="11"/>
      <c r="AF36" s="7"/>
      <c r="AG36" s="7"/>
      <c r="AH36" s="7"/>
      <c r="AI36" s="7"/>
      <c r="AJ36" s="7"/>
      <c r="AK36" s="7"/>
      <c r="AL36" s="236"/>
      <c r="AM36" s="390"/>
      <c r="AN36" s="7"/>
      <c r="AO36" s="391"/>
      <c r="AP36" s="11"/>
      <c r="AQ36" s="7"/>
      <c r="AR36" s="7"/>
      <c r="AS36" s="236"/>
      <c r="AT36" s="242">
        <v>377</v>
      </c>
      <c r="AU36" s="7">
        <f t="shared" si="3"/>
        <v>377</v>
      </c>
      <c r="AV36" s="11"/>
      <c r="AW36" s="242"/>
      <c r="AX36" s="7"/>
      <c r="AY36" s="11"/>
      <c r="AZ36" s="242"/>
      <c r="BA36" s="11"/>
      <c r="BB36" s="243"/>
      <c r="BC36" s="242"/>
      <c r="BD36" s="11"/>
      <c r="BE36" s="243"/>
      <c r="BF36" s="242"/>
      <c r="BG36" s="11"/>
      <c r="BH36" s="243"/>
      <c r="BI36" s="11"/>
      <c r="BJ36" s="7"/>
    </row>
    <row r="37" spans="1:62" ht="38.25" x14ac:dyDescent="0.25">
      <c r="A37" s="71">
        <f t="shared" si="2"/>
        <v>33</v>
      </c>
      <c r="B37" s="1" t="s">
        <v>615</v>
      </c>
      <c r="C37" s="1" t="s">
        <v>1707</v>
      </c>
      <c r="D37" s="1" t="s">
        <v>2108</v>
      </c>
      <c r="E37" s="1" t="s">
        <v>2109</v>
      </c>
      <c r="F37" s="1" t="s">
        <v>2051</v>
      </c>
      <c r="G37" s="12">
        <v>43008</v>
      </c>
      <c r="H37" s="271">
        <f>I37*0.85</f>
        <v>741936.65249999997</v>
      </c>
      <c r="I37" s="271">
        <v>872866.65</v>
      </c>
      <c r="J37" s="270"/>
      <c r="K37" s="270">
        <f t="shared" si="0"/>
        <v>872866.65</v>
      </c>
      <c r="L37" s="7"/>
      <c r="M37" s="7"/>
      <c r="N37" s="7"/>
      <c r="O37" s="7"/>
      <c r="P37" s="7"/>
      <c r="Q37" s="7"/>
      <c r="R37" s="7"/>
      <c r="S37" s="236"/>
      <c r="T37" s="390">
        <v>1113.8399999999999</v>
      </c>
      <c r="U37" s="7">
        <f t="shared" si="1"/>
        <v>1113.8399999999999</v>
      </c>
      <c r="V37" s="391"/>
      <c r="W37" s="390"/>
      <c r="X37" s="11"/>
      <c r="Y37" s="391"/>
      <c r="Z37" s="11"/>
      <c r="AA37" s="236"/>
      <c r="AB37" s="390"/>
      <c r="AC37" s="7"/>
      <c r="AD37" s="391"/>
      <c r="AE37" s="11"/>
      <c r="AF37" s="7"/>
      <c r="AG37" s="7"/>
      <c r="AH37" s="7"/>
      <c r="AI37" s="7"/>
      <c r="AJ37" s="7"/>
      <c r="AK37" s="7"/>
      <c r="AL37" s="236"/>
      <c r="AM37" s="390"/>
      <c r="AN37" s="7"/>
      <c r="AO37" s="391"/>
      <c r="AP37" s="11"/>
      <c r="AQ37" s="7"/>
      <c r="AR37" s="7"/>
      <c r="AS37" s="236"/>
      <c r="AT37" s="242">
        <v>1113.8399999999999</v>
      </c>
      <c r="AU37" s="7">
        <f t="shared" si="3"/>
        <v>1113.8399999999999</v>
      </c>
      <c r="AV37" s="11"/>
      <c r="AW37" s="242"/>
      <c r="AX37" s="7"/>
      <c r="AY37" s="11"/>
      <c r="AZ37" s="242"/>
      <c r="BA37" s="11"/>
      <c r="BB37" s="243"/>
      <c r="BC37" s="242"/>
      <c r="BD37" s="11"/>
      <c r="BE37" s="243"/>
      <c r="BF37" s="242"/>
      <c r="BG37" s="11"/>
      <c r="BH37" s="243"/>
      <c r="BI37" s="11"/>
      <c r="BJ37" s="7"/>
    </row>
    <row r="38" spans="1:62" x14ac:dyDescent="0.25">
      <c r="A38" s="71">
        <f t="shared" si="2"/>
        <v>34</v>
      </c>
      <c r="B38" s="4" t="s">
        <v>678</v>
      </c>
      <c r="C38" s="1" t="s">
        <v>1792</v>
      </c>
      <c r="D38" s="1" t="s">
        <v>2110</v>
      </c>
      <c r="E38" s="1" t="s">
        <v>2111</v>
      </c>
      <c r="F38" s="1" t="s">
        <v>2051</v>
      </c>
      <c r="G38" s="12">
        <v>43039</v>
      </c>
      <c r="H38" s="271">
        <v>550721.75</v>
      </c>
      <c r="I38" s="271">
        <v>647907.93999999994</v>
      </c>
      <c r="J38" s="270"/>
      <c r="K38" s="270">
        <f t="shared" si="0"/>
        <v>647907.93999999994</v>
      </c>
      <c r="L38" s="7"/>
      <c r="M38" s="7"/>
      <c r="N38" s="7"/>
      <c r="O38" s="7"/>
      <c r="P38" s="7"/>
      <c r="Q38" s="7"/>
      <c r="R38" s="7"/>
      <c r="S38" s="236"/>
      <c r="T38" s="390">
        <v>540</v>
      </c>
      <c r="U38" s="7">
        <f t="shared" si="1"/>
        <v>540</v>
      </c>
      <c r="V38" s="391"/>
      <c r="W38" s="390"/>
      <c r="X38" s="11"/>
      <c r="Y38" s="391"/>
      <c r="Z38" s="11"/>
      <c r="AA38" s="236"/>
      <c r="AB38" s="390">
        <v>1200</v>
      </c>
      <c r="AC38" s="7">
        <f t="shared" si="5"/>
        <v>1200</v>
      </c>
      <c r="AD38" s="391"/>
      <c r="AE38" s="11"/>
      <c r="AF38" s="7"/>
      <c r="AG38" s="7"/>
      <c r="AH38" s="7"/>
      <c r="AI38" s="7"/>
      <c r="AJ38" s="7"/>
      <c r="AK38" s="7"/>
      <c r="AL38" s="236"/>
      <c r="AM38" s="390">
        <v>5</v>
      </c>
      <c r="AN38" s="7">
        <f t="shared" si="6"/>
        <v>5</v>
      </c>
      <c r="AO38" s="391"/>
      <c r="AP38" s="11"/>
      <c r="AQ38" s="7"/>
      <c r="AR38" s="7"/>
      <c r="AS38" s="236"/>
      <c r="AT38" s="242">
        <v>540</v>
      </c>
      <c r="AU38" s="7">
        <f t="shared" si="3"/>
        <v>540</v>
      </c>
      <c r="AV38" s="11"/>
      <c r="AW38" s="242"/>
      <c r="AX38" s="7"/>
      <c r="AY38" s="11"/>
      <c r="AZ38" s="242"/>
      <c r="BA38" s="11"/>
      <c r="BB38" s="243"/>
      <c r="BC38" s="242"/>
      <c r="BD38" s="11"/>
      <c r="BE38" s="243"/>
      <c r="BF38" s="242"/>
      <c r="BG38" s="11"/>
      <c r="BH38" s="243"/>
      <c r="BI38" s="11"/>
      <c r="BJ38" s="7"/>
    </row>
    <row r="39" spans="1:62" ht="25.5" x14ac:dyDescent="0.25">
      <c r="A39" s="71">
        <f t="shared" si="2"/>
        <v>35</v>
      </c>
      <c r="B39" s="1" t="s">
        <v>686</v>
      </c>
      <c r="C39" s="1" t="s">
        <v>1792</v>
      </c>
      <c r="D39" s="1" t="s">
        <v>2112</v>
      </c>
      <c r="E39" s="1" t="s">
        <v>2113</v>
      </c>
      <c r="F39" s="1" t="s">
        <v>2051</v>
      </c>
      <c r="G39" s="273">
        <v>43039</v>
      </c>
      <c r="H39" s="274">
        <v>656529.80000000005</v>
      </c>
      <c r="I39" s="274">
        <v>772388</v>
      </c>
      <c r="J39" s="304"/>
      <c r="K39" s="270">
        <f t="shared" si="0"/>
        <v>772388</v>
      </c>
      <c r="L39" s="7"/>
      <c r="M39" s="7"/>
      <c r="N39" s="7"/>
      <c r="O39" s="7"/>
      <c r="P39" s="7"/>
      <c r="Q39" s="7"/>
      <c r="R39" s="7"/>
      <c r="S39" s="236"/>
      <c r="T39" s="390">
        <v>1150</v>
      </c>
      <c r="U39" s="7">
        <f t="shared" si="1"/>
        <v>1150</v>
      </c>
      <c r="V39" s="391"/>
      <c r="W39" s="390"/>
      <c r="X39" s="11"/>
      <c r="Y39" s="391"/>
      <c r="Z39" s="11"/>
      <c r="AA39" s="236"/>
      <c r="AB39" s="390">
        <v>10065</v>
      </c>
      <c r="AC39" s="7">
        <f t="shared" si="5"/>
        <v>10065</v>
      </c>
      <c r="AD39" s="391"/>
      <c r="AE39" s="11"/>
      <c r="AF39" s="7"/>
      <c r="AG39" s="7"/>
      <c r="AH39" s="7"/>
      <c r="AI39" s="7"/>
      <c r="AJ39" s="7"/>
      <c r="AK39" s="7"/>
      <c r="AL39" s="236"/>
      <c r="AM39" s="390">
        <v>4</v>
      </c>
      <c r="AN39" s="7">
        <f t="shared" si="6"/>
        <v>4</v>
      </c>
      <c r="AO39" s="391"/>
      <c r="AP39" s="11"/>
      <c r="AQ39" s="7"/>
      <c r="AR39" s="7"/>
      <c r="AS39" s="236"/>
      <c r="AT39" s="242">
        <v>1150</v>
      </c>
      <c r="AU39" s="7">
        <f t="shared" si="3"/>
        <v>1150</v>
      </c>
      <c r="AV39" s="11"/>
      <c r="AW39" s="242"/>
      <c r="AX39" s="7"/>
      <c r="AY39" s="11"/>
      <c r="AZ39" s="242"/>
      <c r="BA39" s="11"/>
      <c r="BB39" s="243"/>
      <c r="BC39" s="242"/>
      <c r="BD39" s="11"/>
      <c r="BE39" s="243"/>
      <c r="BF39" s="242"/>
      <c r="BG39" s="11"/>
      <c r="BH39" s="243"/>
      <c r="BI39" s="11"/>
      <c r="BJ39" s="7"/>
    </row>
    <row r="40" spans="1:62" x14ac:dyDescent="0.25">
      <c r="A40" s="71">
        <f t="shared" si="2"/>
        <v>36</v>
      </c>
      <c r="B40" s="1" t="s">
        <v>575</v>
      </c>
      <c r="C40" s="1" t="s">
        <v>1707</v>
      </c>
      <c r="D40" s="1" t="s">
        <v>1021</v>
      </c>
      <c r="E40" s="1" t="s">
        <v>2114</v>
      </c>
      <c r="F40" s="1" t="s">
        <v>2051</v>
      </c>
      <c r="G40" s="12">
        <v>43039</v>
      </c>
      <c r="H40" s="271">
        <f t="shared" ref="H40:H49" si="7">I40*0.85</f>
        <v>840927.72899999993</v>
      </c>
      <c r="I40" s="271">
        <v>989326.74</v>
      </c>
      <c r="J40" s="270"/>
      <c r="K40" s="270">
        <f t="shared" si="0"/>
        <v>989326.74</v>
      </c>
      <c r="L40" s="7"/>
      <c r="M40" s="7"/>
      <c r="N40" s="7"/>
      <c r="O40" s="7"/>
      <c r="P40" s="7"/>
      <c r="Q40" s="7"/>
      <c r="R40" s="7"/>
      <c r="S40" s="236"/>
      <c r="T40" s="390"/>
      <c r="U40" s="7">
        <f t="shared" si="1"/>
        <v>0</v>
      </c>
      <c r="V40" s="391"/>
      <c r="W40" s="390">
        <v>740</v>
      </c>
      <c r="X40" s="11">
        <f>W40</f>
        <v>740</v>
      </c>
      <c r="Y40" s="391"/>
      <c r="Z40" s="11"/>
      <c r="AA40" s="236"/>
      <c r="AB40" s="390"/>
      <c r="AC40" s="7"/>
      <c r="AD40" s="391"/>
      <c r="AE40" s="11"/>
      <c r="AF40" s="7"/>
      <c r="AG40" s="7"/>
      <c r="AH40" s="7"/>
      <c r="AI40" s="7"/>
      <c r="AJ40" s="7"/>
      <c r="AK40" s="7"/>
      <c r="AL40" s="236"/>
      <c r="AM40" s="390"/>
      <c r="AN40" s="7"/>
      <c r="AO40" s="391"/>
      <c r="AP40" s="11"/>
      <c r="AQ40" s="7"/>
      <c r="AR40" s="7"/>
      <c r="AS40" s="236"/>
      <c r="AT40" s="242"/>
      <c r="AU40" s="7"/>
      <c r="AV40" s="11"/>
      <c r="AW40" s="242">
        <v>1000</v>
      </c>
      <c r="AX40" s="7">
        <f>AW40</f>
        <v>1000</v>
      </c>
      <c r="AY40" s="11"/>
      <c r="AZ40" s="242"/>
      <c r="BA40" s="11"/>
      <c r="BB40" s="243"/>
      <c r="BC40" s="242"/>
      <c r="BD40" s="11"/>
      <c r="BE40" s="243"/>
      <c r="BF40" s="242"/>
      <c r="BG40" s="11"/>
      <c r="BH40" s="243"/>
      <c r="BI40" s="11"/>
      <c r="BJ40" s="7"/>
    </row>
    <row r="41" spans="1:62" ht="25.5" x14ac:dyDescent="0.25">
      <c r="A41" s="71">
        <f t="shared" si="2"/>
        <v>37</v>
      </c>
      <c r="B41" s="1" t="s">
        <v>582</v>
      </c>
      <c r="C41" s="1" t="s">
        <v>1792</v>
      </c>
      <c r="D41" s="1" t="s">
        <v>1032</v>
      </c>
      <c r="E41" s="1" t="s">
        <v>2115</v>
      </c>
      <c r="F41" s="1" t="s">
        <v>2051</v>
      </c>
      <c r="G41" s="12">
        <v>43039</v>
      </c>
      <c r="H41" s="271">
        <f t="shared" si="7"/>
        <v>360824.49</v>
      </c>
      <c r="I41" s="271">
        <v>424499.4</v>
      </c>
      <c r="J41" s="270"/>
      <c r="K41" s="270">
        <f>I41</f>
        <v>424499.4</v>
      </c>
      <c r="L41" s="7"/>
      <c r="M41" s="7"/>
      <c r="N41" s="7"/>
      <c r="O41" s="7"/>
      <c r="P41" s="7"/>
      <c r="Q41" s="7"/>
      <c r="R41" s="7"/>
      <c r="S41" s="236"/>
      <c r="T41" s="390">
        <v>120</v>
      </c>
      <c r="U41" s="7">
        <f t="shared" si="1"/>
        <v>120</v>
      </c>
      <c r="V41" s="391"/>
      <c r="W41" s="390"/>
      <c r="X41" s="11"/>
      <c r="Y41" s="391"/>
      <c r="Z41" s="11"/>
      <c r="AA41" s="236"/>
      <c r="AB41" s="390"/>
      <c r="AC41" s="7"/>
      <c r="AD41" s="391"/>
      <c r="AE41" s="11"/>
      <c r="AF41" s="7"/>
      <c r="AG41" s="7"/>
      <c r="AH41" s="7"/>
      <c r="AI41" s="7"/>
      <c r="AJ41" s="7"/>
      <c r="AK41" s="7"/>
      <c r="AL41" s="236"/>
      <c r="AM41" s="390"/>
      <c r="AN41" s="7"/>
      <c r="AO41" s="391"/>
      <c r="AP41" s="11"/>
      <c r="AQ41" s="7"/>
      <c r="AR41" s="7"/>
      <c r="AS41" s="236"/>
      <c r="AT41" s="242">
        <v>120</v>
      </c>
      <c r="AU41" s="7">
        <f>AT41</f>
        <v>120</v>
      </c>
      <c r="AV41" s="11"/>
      <c r="AW41" s="242"/>
      <c r="AX41" s="7"/>
      <c r="AY41" s="11"/>
      <c r="AZ41" s="242"/>
      <c r="BA41" s="11"/>
      <c r="BB41" s="243"/>
      <c r="BC41" s="242"/>
      <c r="BD41" s="11"/>
      <c r="BE41" s="243"/>
      <c r="BF41" s="242"/>
      <c r="BG41" s="11"/>
      <c r="BH41" s="243"/>
      <c r="BI41" s="11"/>
      <c r="BJ41" s="7"/>
    </row>
    <row r="42" spans="1:62" ht="25.5" x14ac:dyDescent="0.25">
      <c r="A42" s="71">
        <f t="shared" si="2"/>
        <v>38</v>
      </c>
      <c r="B42" s="4" t="s">
        <v>552</v>
      </c>
      <c r="C42" s="1" t="s">
        <v>1707</v>
      </c>
      <c r="D42" s="1" t="s">
        <v>2116</v>
      </c>
      <c r="E42" s="1" t="s">
        <v>2117</v>
      </c>
      <c r="F42" s="1" t="s">
        <v>2051</v>
      </c>
      <c r="G42" s="12">
        <v>43039</v>
      </c>
      <c r="H42" s="271">
        <f t="shared" si="7"/>
        <v>451975.31950000004</v>
      </c>
      <c r="I42" s="271">
        <v>531735.67000000004</v>
      </c>
      <c r="J42" s="270"/>
      <c r="K42" s="270">
        <f t="shared" si="0"/>
        <v>531735.67000000004</v>
      </c>
      <c r="L42" s="7"/>
      <c r="M42" s="7"/>
      <c r="N42" s="7"/>
      <c r="O42" s="7"/>
      <c r="P42" s="7"/>
      <c r="Q42" s="7"/>
      <c r="R42" s="7"/>
      <c r="S42" s="236"/>
      <c r="T42" s="390">
        <v>710</v>
      </c>
      <c r="U42" s="7">
        <f t="shared" si="1"/>
        <v>710</v>
      </c>
      <c r="V42" s="391"/>
      <c r="W42" s="390"/>
      <c r="X42" s="11"/>
      <c r="Y42" s="391"/>
      <c r="Z42" s="11"/>
      <c r="AA42" s="236"/>
      <c r="AB42" s="390"/>
      <c r="AC42" s="7"/>
      <c r="AD42" s="391"/>
      <c r="AE42" s="11"/>
      <c r="AF42" s="7"/>
      <c r="AG42" s="7"/>
      <c r="AH42" s="7"/>
      <c r="AI42" s="7"/>
      <c r="AJ42" s="7"/>
      <c r="AK42" s="7"/>
      <c r="AL42" s="236"/>
      <c r="AM42" s="390"/>
      <c r="AN42" s="7"/>
      <c r="AO42" s="391"/>
      <c r="AP42" s="11"/>
      <c r="AQ42" s="7"/>
      <c r="AR42" s="7"/>
      <c r="AS42" s="236"/>
      <c r="AT42" s="242">
        <v>710</v>
      </c>
      <c r="AU42" s="7">
        <f>AT42</f>
        <v>710</v>
      </c>
      <c r="AV42" s="11"/>
      <c r="AW42" s="242"/>
      <c r="AX42" s="7"/>
      <c r="AY42" s="11"/>
      <c r="AZ42" s="242"/>
      <c r="BA42" s="11"/>
      <c r="BB42" s="243"/>
      <c r="BC42" s="242"/>
      <c r="BD42" s="11"/>
      <c r="BE42" s="243"/>
      <c r="BF42" s="242"/>
      <c r="BG42" s="11"/>
      <c r="BH42" s="243"/>
      <c r="BI42" s="11"/>
      <c r="BJ42" s="7"/>
    </row>
    <row r="43" spans="1:62" ht="25.5" x14ac:dyDescent="0.25">
      <c r="A43" s="71">
        <f t="shared" si="2"/>
        <v>39</v>
      </c>
      <c r="B43" s="1" t="s">
        <v>634</v>
      </c>
      <c r="C43" s="1" t="s">
        <v>1792</v>
      </c>
      <c r="D43" s="1" t="s">
        <v>2118</v>
      </c>
      <c r="E43" s="1" t="s">
        <v>2119</v>
      </c>
      <c r="F43" s="1" t="s">
        <v>2051</v>
      </c>
      <c r="G43" s="12">
        <v>43039</v>
      </c>
      <c r="H43" s="271">
        <f t="shared" si="7"/>
        <v>794536.65850000002</v>
      </c>
      <c r="I43" s="271">
        <v>934749.01</v>
      </c>
      <c r="J43" s="270"/>
      <c r="K43" s="270">
        <f t="shared" si="0"/>
        <v>934749.01</v>
      </c>
      <c r="L43" s="7"/>
      <c r="M43" s="7"/>
      <c r="N43" s="7"/>
      <c r="O43" s="7"/>
      <c r="P43" s="7"/>
      <c r="Q43" s="7"/>
      <c r="R43" s="7"/>
      <c r="S43" s="236"/>
      <c r="T43" s="390">
        <v>277</v>
      </c>
      <c r="U43" s="7">
        <f t="shared" si="1"/>
        <v>277</v>
      </c>
      <c r="V43" s="391"/>
      <c r="W43" s="390"/>
      <c r="X43" s="11"/>
      <c r="Y43" s="391"/>
      <c r="Z43" s="11"/>
      <c r="AA43" s="236"/>
      <c r="AB43" s="390">
        <v>3040</v>
      </c>
      <c r="AC43" s="7">
        <f t="shared" si="5"/>
        <v>3040</v>
      </c>
      <c r="AD43" s="391"/>
      <c r="AE43" s="11"/>
      <c r="AF43" s="7"/>
      <c r="AG43" s="7"/>
      <c r="AH43" s="7"/>
      <c r="AI43" s="7"/>
      <c r="AJ43" s="7"/>
      <c r="AK43" s="7"/>
      <c r="AL43" s="236"/>
      <c r="AM43" s="390">
        <v>7</v>
      </c>
      <c r="AN43" s="7">
        <f t="shared" si="6"/>
        <v>7</v>
      </c>
      <c r="AO43" s="391"/>
      <c r="AP43" s="11"/>
      <c r="AQ43" s="7"/>
      <c r="AR43" s="7"/>
      <c r="AS43" s="236"/>
      <c r="AT43" s="242">
        <v>277</v>
      </c>
      <c r="AU43" s="7">
        <f>AT43</f>
        <v>277</v>
      </c>
      <c r="AV43" s="11"/>
      <c r="AW43" s="242"/>
      <c r="AX43" s="7"/>
      <c r="AY43" s="11"/>
      <c r="AZ43" s="242"/>
      <c r="BA43" s="11"/>
      <c r="BB43" s="243"/>
      <c r="BC43" s="242"/>
      <c r="BD43" s="11"/>
      <c r="BE43" s="243"/>
      <c r="BF43" s="242"/>
      <c r="BG43" s="11"/>
      <c r="BH43" s="243"/>
      <c r="BI43" s="11"/>
      <c r="BJ43" s="7"/>
    </row>
    <row r="44" spans="1:62" ht="25.5" x14ac:dyDescent="0.25">
      <c r="A44" s="71">
        <f t="shared" si="2"/>
        <v>40</v>
      </c>
      <c r="B44" s="1" t="s">
        <v>592</v>
      </c>
      <c r="C44" s="1" t="s">
        <v>1792</v>
      </c>
      <c r="D44" s="1" t="s">
        <v>2120</v>
      </c>
      <c r="E44" s="1" t="s">
        <v>2121</v>
      </c>
      <c r="F44" s="1" t="s">
        <v>2051</v>
      </c>
      <c r="G44" s="12">
        <v>43039</v>
      </c>
      <c r="H44" s="271">
        <f t="shared" si="7"/>
        <v>3568300</v>
      </c>
      <c r="I44" s="271">
        <v>4198000</v>
      </c>
      <c r="J44" s="270"/>
      <c r="K44" s="270">
        <f t="shared" si="0"/>
        <v>4198000</v>
      </c>
      <c r="L44" s="7"/>
      <c r="M44" s="7"/>
      <c r="N44" s="7"/>
      <c r="O44" s="7"/>
      <c r="P44" s="7"/>
      <c r="Q44" s="7"/>
      <c r="R44" s="7"/>
      <c r="S44" s="236"/>
      <c r="T44" s="390"/>
      <c r="U44" s="7">
        <f t="shared" si="1"/>
        <v>0</v>
      </c>
      <c r="V44" s="391"/>
      <c r="W44" s="390">
        <v>4500</v>
      </c>
      <c r="X44" s="11">
        <f t="shared" ref="X44:X83" si="8">W44</f>
        <v>4500</v>
      </c>
      <c r="Y44" s="391"/>
      <c r="Z44" s="11"/>
      <c r="AA44" s="236"/>
      <c r="AB44" s="390"/>
      <c r="AC44" s="7"/>
      <c r="AD44" s="391"/>
      <c r="AE44" s="11"/>
      <c r="AF44" s="7"/>
      <c r="AG44" s="7"/>
      <c r="AH44" s="7"/>
      <c r="AI44" s="7"/>
      <c r="AJ44" s="7"/>
      <c r="AK44" s="7"/>
      <c r="AL44" s="236"/>
      <c r="AM44" s="390"/>
      <c r="AN44" s="7"/>
      <c r="AO44" s="391"/>
      <c r="AP44" s="11"/>
      <c r="AQ44" s="7"/>
      <c r="AR44" s="7"/>
      <c r="AS44" s="236"/>
      <c r="AT44" s="242"/>
      <c r="AU44" s="7"/>
      <c r="AV44" s="11"/>
      <c r="AW44" s="242">
        <v>5400</v>
      </c>
      <c r="AX44" s="7">
        <f>AW44</f>
        <v>5400</v>
      </c>
      <c r="AY44" s="11"/>
      <c r="AZ44" s="242"/>
      <c r="BA44" s="11"/>
      <c r="BB44" s="243"/>
      <c r="BC44" s="242"/>
      <c r="BD44" s="11"/>
      <c r="BE44" s="243"/>
      <c r="BF44" s="242"/>
      <c r="BG44" s="11"/>
      <c r="BH44" s="243"/>
      <c r="BI44" s="11"/>
      <c r="BJ44" s="7"/>
    </row>
    <row r="45" spans="1:62" x14ac:dyDescent="0.25">
      <c r="A45" s="71">
        <f t="shared" si="2"/>
        <v>41</v>
      </c>
      <c r="B45" s="1" t="s">
        <v>693</v>
      </c>
      <c r="C45" s="1" t="s">
        <v>1792</v>
      </c>
      <c r="D45" s="1" t="s">
        <v>2122</v>
      </c>
      <c r="E45" s="1" t="s">
        <v>2123</v>
      </c>
      <c r="F45" s="1" t="s">
        <v>2051</v>
      </c>
      <c r="G45" s="12">
        <v>43039</v>
      </c>
      <c r="H45" s="271">
        <f t="shared" si="7"/>
        <v>428427.10649999999</v>
      </c>
      <c r="I45" s="271">
        <v>504031.89</v>
      </c>
      <c r="J45" s="270"/>
      <c r="K45" s="270">
        <f t="shared" si="0"/>
        <v>504031.89</v>
      </c>
      <c r="L45" s="7"/>
      <c r="M45" s="7"/>
      <c r="N45" s="7"/>
      <c r="O45" s="7"/>
      <c r="P45" s="7"/>
      <c r="Q45" s="7"/>
      <c r="R45" s="7"/>
      <c r="S45" s="236"/>
      <c r="T45" s="390">
        <v>405.22</v>
      </c>
      <c r="U45" s="7">
        <f>T45</f>
        <v>405.22</v>
      </c>
      <c r="V45" s="391"/>
      <c r="W45" s="390"/>
      <c r="X45" s="11"/>
      <c r="Y45" s="391"/>
      <c r="Z45" s="11"/>
      <c r="AA45" s="236"/>
      <c r="AB45" s="390">
        <v>500</v>
      </c>
      <c r="AC45" s="7">
        <f t="shared" si="5"/>
        <v>500</v>
      </c>
      <c r="AD45" s="391"/>
      <c r="AE45" s="11"/>
      <c r="AF45" s="7"/>
      <c r="AG45" s="7"/>
      <c r="AH45" s="7"/>
      <c r="AI45" s="7"/>
      <c r="AJ45" s="7"/>
      <c r="AK45" s="7"/>
      <c r="AL45" s="236"/>
      <c r="AM45" s="390">
        <v>4</v>
      </c>
      <c r="AN45" s="7">
        <f t="shared" si="6"/>
        <v>4</v>
      </c>
      <c r="AO45" s="391"/>
      <c r="AP45" s="11"/>
      <c r="AQ45" s="7"/>
      <c r="AR45" s="7"/>
      <c r="AS45" s="236"/>
      <c r="AT45" s="242">
        <v>405.22</v>
      </c>
      <c r="AU45" s="7">
        <f t="shared" ref="AU45:AU51" si="9">AT45</f>
        <v>405.22</v>
      </c>
      <c r="AV45" s="11"/>
      <c r="AW45" s="242"/>
      <c r="AX45" s="7"/>
      <c r="AY45" s="11"/>
      <c r="AZ45" s="242"/>
      <c r="BA45" s="11"/>
      <c r="BB45" s="243"/>
      <c r="BC45" s="242"/>
      <c r="BD45" s="11"/>
      <c r="BE45" s="243"/>
      <c r="BF45" s="242"/>
      <c r="BG45" s="11"/>
      <c r="BH45" s="243"/>
      <c r="BI45" s="11"/>
      <c r="BJ45" s="7"/>
    </row>
    <row r="46" spans="1:62" ht="25.5" x14ac:dyDescent="0.25">
      <c r="A46" s="71">
        <f t="shared" si="2"/>
        <v>42</v>
      </c>
      <c r="B46" s="1" t="s">
        <v>661</v>
      </c>
      <c r="C46" s="1" t="s">
        <v>1792</v>
      </c>
      <c r="D46" s="1" t="s">
        <v>2124</v>
      </c>
      <c r="E46" s="1" t="s">
        <v>2125</v>
      </c>
      <c r="F46" s="1" t="s">
        <v>2051</v>
      </c>
      <c r="G46" s="12">
        <v>43039</v>
      </c>
      <c r="H46" s="271">
        <f t="shared" si="7"/>
        <v>314636.05949999997</v>
      </c>
      <c r="I46" s="271">
        <v>370160.07</v>
      </c>
      <c r="J46" s="270"/>
      <c r="K46" s="270">
        <f t="shared" si="0"/>
        <v>370160.07</v>
      </c>
      <c r="L46" s="7"/>
      <c r="M46" s="7"/>
      <c r="N46" s="7"/>
      <c r="O46" s="7"/>
      <c r="P46" s="7"/>
      <c r="Q46" s="7"/>
      <c r="R46" s="7"/>
      <c r="S46" s="236"/>
      <c r="T46" s="390">
        <v>550</v>
      </c>
      <c r="U46" s="7">
        <f t="shared" si="1"/>
        <v>550</v>
      </c>
      <c r="V46" s="391"/>
      <c r="W46" s="390"/>
      <c r="X46" s="11"/>
      <c r="Y46" s="391"/>
      <c r="Z46" s="11"/>
      <c r="AA46" s="236"/>
      <c r="AB46" s="390"/>
      <c r="AC46" s="7"/>
      <c r="AD46" s="391"/>
      <c r="AE46" s="11"/>
      <c r="AF46" s="7"/>
      <c r="AG46" s="7"/>
      <c r="AH46" s="7"/>
      <c r="AI46" s="7"/>
      <c r="AJ46" s="7"/>
      <c r="AK46" s="7"/>
      <c r="AL46" s="236"/>
      <c r="AM46" s="390"/>
      <c r="AN46" s="7"/>
      <c r="AO46" s="391"/>
      <c r="AP46" s="11"/>
      <c r="AQ46" s="7"/>
      <c r="AR46" s="7"/>
      <c r="AS46" s="236"/>
      <c r="AT46" s="242">
        <v>550</v>
      </c>
      <c r="AU46" s="7">
        <f t="shared" si="9"/>
        <v>550</v>
      </c>
      <c r="AV46" s="11"/>
      <c r="AW46" s="242"/>
      <c r="AX46" s="7"/>
      <c r="AY46" s="11"/>
      <c r="AZ46" s="242"/>
      <c r="BA46" s="11"/>
      <c r="BB46" s="243"/>
      <c r="BC46" s="242"/>
      <c r="BD46" s="11"/>
      <c r="BE46" s="243"/>
      <c r="BF46" s="242"/>
      <c r="BG46" s="11"/>
      <c r="BH46" s="243"/>
      <c r="BI46" s="11"/>
      <c r="BJ46" s="7"/>
    </row>
    <row r="47" spans="1:62" ht="25.5" x14ac:dyDescent="0.25">
      <c r="A47" s="71">
        <f t="shared" si="2"/>
        <v>43</v>
      </c>
      <c r="B47" s="1" t="s">
        <v>614</v>
      </c>
      <c r="C47" s="1" t="s">
        <v>1792</v>
      </c>
      <c r="D47" s="1" t="s">
        <v>2126</v>
      </c>
      <c r="E47" s="1" t="s">
        <v>2127</v>
      </c>
      <c r="F47" s="1" t="s">
        <v>2051</v>
      </c>
      <c r="G47" s="12">
        <v>43039</v>
      </c>
      <c r="H47" s="271">
        <f t="shared" si="7"/>
        <v>223732.64799999999</v>
      </c>
      <c r="I47" s="271">
        <v>263214.88</v>
      </c>
      <c r="J47" s="270"/>
      <c r="K47" s="270">
        <f t="shared" si="0"/>
        <v>263214.88</v>
      </c>
      <c r="L47" s="7"/>
      <c r="M47" s="7"/>
      <c r="N47" s="7"/>
      <c r="O47" s="7"/>
      <c r="P47" s="7"/>
      <c r="Q47" s="7"/>
      <c r="R47" s="7"/>
      <c r="S47" s="236"/>
      <c r="T47" s="390">
        <v>228</v>
      </c>
      <c r="U47" s="7">
        <f t="shared" si="1"/>
        <v>228</v>
      </c>
      <c r="V47" s="391"/>
      <c r="W47" s="390"/>
      <c r="X47" s="11"/>
      <c r="Y47" s="391"/>
      <c r="Z47" s="11"/>
      <c r="AA47" s="236"/>
      <c r="AB47" s="390"/>
      <c r="AC47" s="7"/>
      <c r="AD47" s="391"/>
      <c r="AE47" s="11"/>
      <c r="AF47" s="7"/>
      <c r="AG47" s="7"/>
      <c r="AH47" s="7"/>
      <c r="AI47" s="7"/>
      <c r="AJ47" s="7"/>
      <c r="AK47" s="7"/>
      <c r="AL47" s="236"/>
      <c r="AM47" s="390"/>
      <c r="AN47" s="7"/>
      <c r="AO47" s="391"/>
      <c r="AP47" s="11"/>
      <c r="AQ47" s="7"/>
      <c r="AR47" s="7"/>
      <c r="AS47" s="236"/>
      <c r="AT47" s="242">
        <v>228</v>
      </c>
      <c r="AU47" s="7">
        <f t="shared" si="9"/>
        <v>228</v>
      </c>
      <c r="AV47" s="11"/>
      <c r="AW47" s="242"/>
      <c r="AX47" s="7"/>
      <c r="AY47" s="11"/>
      <c r="AZ47" s="242"/>
      <c r="BA47" s="11"/>
      <c r="BB47" s="243"/>
      <c r="BC47" s="242"/>
      <c r="BD47" s="11"/>
      <c r="BE47" s="243"/>
      <c r="BF47" s="242"/>
      <c r="BG47" s="11"/>
      <c r="BH47" s="243"/>
      <c r="BI47" s="11"/>
      <c r="BJ47" s="7"/>
    </row>
    <row r="48" spans="1:62" x14ac:dyDescent="0.25">
      <c r="A48" s="71">
        <f t="shared" si="2"/>
        <v>44</v>
      </c>
      <c r="B48" s="1" t="s">
        <v>683</v>
      </c>
      <c r="C48" s="1" t="s">
        <v>1792</v>
      </c>
      <c r="D48" s="1" t="s">
        <v>989</v>
      </c>
      <c r="E48" s="1" t="s">
        <v>2128</v>
      </c>
      <c r="F48" s="1" t="s">
        <v>2051</v>
      </c>
      <c r="G48" s="12">
        <v>43039</v>
      </c>
      <c r="H48" s="271">
        <f t="shared" si="7"/>
        <v>199094.8455</v>
      </c>
      <c r="I48" s="271">
        <v>234229.23</v>
      </c>
      <c r="J48" s="270"/>
      <c r="K48" s="270">
        <f t="shared" si="0"/>
        <v>234229.23</v>
      </c>
      <c r="L48" s="7"/>
      <c r="M48" s="7"/>
      <c r="N48" s="7"/>
      <c r="O48" s="7"/>
      <c r="P48" s="7"/>
      <c r="Q48" s="7"/>
      <c r="R48" s="7"/>
      <c r="S48" s="236"/>
      <c r="T48" s="390">
        <v>75.05</v>
      </c>
      <c r="U48" s="7">
        <f t="shared" si="1"/>
        <v>75.05</v>
      </c>
      <c r="V48" s="391"/>
      <c r="W48" s="390"/>
      <c r="X48" s="11"/>
      <c r="Y48" s="391"/>
      <c r="Z48" s="11"/>
      <c r="AA48" s="236"/>
      <c r="AB48" s="390"/>
      <c r="AC48" s="7"/>
      <c r="AD48" s="391"/>
      <c r="AE48" s="11"/>
      <c r="AF48" s="7"/>
      <c r="AG48" s="7"/>
      <c r="AH48" s="7"/>
      <c r="AI48" s="7"/>
      <c r="AJ48" s="7"/>
      <c r="AK48" s="7"/>
      <c r="AL48" s="236"/>
      <c r="AM48" s="390"/>
      <c r="AN48" s="7"/>
      <c r="AO48" s="391"/>
      <c r="AP48" s="11"/>
      <c r="AQ48" s="7"/>
      <c r="AR48" s="7"/>
      <c r="AS48" s="236"/>
      <c r="AT48" s="242">
        <v>75.05</v>
      </c>
      <c r="AU48" s="7">
        <f t="shared" si="9"/>
        <v>75.05</v>
      </c>
      <c r="AV48" s="11"/>
      <c r="AW48" s="242"/>
      <c r="AX48" s="7"/>
      <c r="AY48" s="11"/>
      <c r="AZ48" s="242"/>
      <c r="BA48" s="11"/>
      <c r="BB48" s="243"/>
      <c r="BC48" s="242"/>
      <c r="BD48" s="11"/>
      <c r="BE48" s="243"/>
      <c r="BF48" s="242"/>
      <c r="BG48" s="11"/>
      <c r="BH48" s="243"/>
      <c r="BI48" s="11"/>
      <c r="BJ48" s="7"/>
    </row>
    <row r="49" spans="1:62" ht="25.5" x14ac:dyDescent="0.25">
      <c r="A49" s="71">
        <f t="shared" si="2"/>
        <v>45</v>
      </c>
      <c r="B49" s="1" t="s">
        <v>558</v>
      </c>
      <c r="C49" s="1" t="s">
        <v>1707</v>
      </c>
      <c r="D49" s="1" t="s">
        <v>2129</v>
      </c>
      <c r="E49" s="1" t="s">
        <v>2130</v>
      </c>
      <c r="F49" s="1" t="s">
        <v>2051</v>
      </c>
      <c r="G49" s="273">
        <v>43069</v>
      </c>
      <c r="H49" s="274">
        <f t="shared" si="7"/>
        <v>146056.35</v>
      </c>
      <c r="I49" s="274">
        <v>171831</v>
      </c>
      <c r="J49" s="304"/>
      <c r="K49" s="270">
        <f t="shared" si="0"/>
        <v>171831</v>
      </c>
      <c r="L49" s="7"/>
      <c r="M49" s="7"/>
      <c r="N49" s="7"/>
      <c r="O49" s="7"/>
      <c r="P49" s="7"/>
      <c r="Q49" s="7"/>
      <c r="R49" s="7"/>
      <c r="S49" s="236"/>
      <c r="T49" s="390">
        <v>163</v>
      </c>
      <c r="U49" s="7">
        <f t="shared" si="1"/>
        <v>163</v>
      </c>
      <c r="V49" s="391"/>
      <c r="W49" s="390"/>
      <c r="X49" s="11"/>
      <c r="Y49" s="391"/>
      <c r="Z49" s="11"/>
      <c r="AA49" s="236"/>
      <c r="AB49" s="390"/>
      <c r="AC49" s="7"/>
      <c r="AD49" s="391"/>
      <c r="AE49" s="11"/>
      <c r="AF49" s="7"/>
      <c r="AG49" s="7"/>
      <c r="AH49" s="7"/>
      <c r="AI49" s="7"/>
      <c r="AJ49" s="7"/>
      <c r="AK49" s="7"/>
      <c r="AL49" s="236"/>
      <c r="AM49" s="390"/>
      <c r="AN49" s="7"/>
      <c r="AO49" s="391"/>
      <c r="AP49" s="11"/>
      <c r="AQ49" s="7"/>
      <c r="AR49" s="7"/>
      <c r="AS49" s="236"/>
      <c r="AT49" s="242">
        <v>163</v>
      </c>
      <c r="AU49" s="7">
        <f t="shared" si="9"/>
        <v>163</v>
      </c>
      <c r="AV49" s="11"/>
      <c r="AW49" s="242"/>
      <c r="AX49" s="7"/>
      <c r="AY49" s="11"/>
      <c r="AZ49" s="242"/>
      <c r="BA49" s="11"/>
      <c r="BB49" s="243"/>
      <c r="BC49" s="242"/>
      <c r="BD49" s="11"/>
      <c r="BE49" s="243"/>
      <c r="BF49" s="242"/>
      <c r="BG49" s="11"/>
      <c r="BH49" s="243"/>
      <c r="BI49" s="11"/>
      <c r="BJ49" s="7"/>
    </row>
    <row r="50" spans="1:62" x14ac:dyDescent="0.25">
      <c r="A50" s="71">
        <f t="shared" si="2"/>
        <v>46</v>
      </c>
      <c r="B50" s="1" t="s">
        <v>569</v>
      </c>
      <c r="C50" s="1" t="s">
        <v>1792</v>
      </c>
      <c r="D50" s="1" t="s">
        <v>2131</v>
      </c>
      <c r="E50" s="1" t="s">
        <v>2132</v>
      </c>
      <c r="F50" s="1" t="s">
        <v>2051</v>
      </c>
      <c r="G50" s="273">
        <v>43069</v>
      </c>
      <c r="H50" s="274">
        <v>294835</v>
      </c>
      <c r="I50" s="274">
        <v>346864.71</v>
      </c>
      <c r="J50" s="304"/>
      <c r="K50" s="270">
        <f t="shared" si="0"/>
        <v>346864.71</v>
      </c>
      <c r="L50" s="7"/>
      <c r="M50" s="7"/>
      <c r="N50" s="7"/>
      <c r="O50" s="7"/>
      <c r="P50" s="7"/>
      <c r="Q50" s="7"/>
      <c r="R50" s="7"/>
      <c r="S50" s="236"/>
      <c r="T50" s="390">
        <v>98.6</v>
      </c>
      <c r="U50" s="7">
        <f t="shared" si="1"/>
        <v>98.6</v>
      </c>
      <c r="V50" s="391"/>
      <c r="W50" s="390"/>
      <c r="X50" s="11"/>
      <c r="Y50" s="391"/>
      <c r="Z50" s="11"/>
      <c r="AA50" s="236"/>
      <c r="AB50" s="390">
        <v>1082</v>
      </c>
      <c r="AC50" s="7">
        <f t="shared" si="5"/>
        <v>1082</v>
      </c>
      <c r="AD50" s="391"/>
      <c r="AE50" s="11"/>
      <c r="AF50" s="7"/>
      <c r="AG50" s="7"/>
      <c r="AH50" s="7"/>
      <c r="AI50" s="7"/>
      <c r="AJ50" s="7"/>
      <c r="AK50" s="7"/>
      <c r="AL50" s="236"/>
      <c r="AM50" s="390">
        <v>3</v>
      </c>
      <c r="AN50" s="7">
        <f t="shared" si="6"/>
        <v>3</v>
      </c>
      <c r="AO50" s="391"/>
      <c r="AP50" s="11"/>
      <c r="AQ50" s="7"/>
      <c r="AR50" s="7"/>
      <c r="AS50" s="236"/>
      <c r="AT50" s="242">
        <v>98.6</v>
      </c>
      <c r="AU50" s="7">
        <f t="shared" si="9"/>
        <v>98.6</v>
      </c>
      <c r="AV50" s="11"/>
      <c r="AW50" s="242"/>
      <c r="AX50" s="7"/>
      <c r="AY50" s="11"/>
      <c r="AZ50" s="242"/>
      <c r="BA50" s="11"/>
      <c r="BB50" s="243"/>
      <c r="BC50" s="242"/>
      <c r="BD50" s="11"/>
      <c r="BE50" s="243"/>
      <c r="BF50" s="242"/>
      <c r="BG50" s="11"/>
      <c r="BH50" s="243"/>
      <c r="BI50" s="11"/>
      <c r="BJ50" s="7"/>
    </row>
    <row r="51" spans="1:62" ht="25.5" x14ac:dyDescent="0.25">
      <c r="A51" s="71">
        <f t="shared" si="2"/>
        <v>47</v>
      </c>
      <c r="B51" s="1" t="s">
        <v>643</v>
      </c>
      <c r="C51" s="1" t="s">
        <v>1792</v>
      </c>
      <c r="D51" s="1" t="s">
        <v>2133</v>
      </c>
      <c r="E51" s="1" t="s">
        <v>2134</v>
      </c>
      <c r="F51" s="1" t="s">
        <v>2051</v>
      </c>
      <c r="G51" s="12">
        <v>43069</v>
      </c>
      <c r="H51" s="271">
        <f>I51*0.85</f>
        <v>294418.63099999999</v>
      </c>
      <c r="I51" s="271">
        <v>346374.86</v>
      </c>
      <c r="J51" s="270"/>
      <c r="K51" s="270">
        <f t="shared" si="0"/>
        <v>346374.86</v>
      </c>
      <c r="L51" s="7"/>
      <c r="M51" s="7"/>
      <c r="N51" s="7"/>
      <c r="O51" s="7"/>
      <c r="P51" s="7"/>
      <c r="Q51" s="7"/>
      <c r="R51" s="7"/>
      <c r="S51" s="236"/>
      <c r="T51" s="390">
        <v>180.2</v>
      </c>
      <c r="U51" s="7">
        <f t="shared" si="1"/>
        <v>180.2</v>
      </c>
      <c r="V51" s="391"/>
      <c r="W51" s="390"/>
      <c r="X51" s="11"/>
      <c r="Y51" s="391"/>
      <c r="Z51" s="11"/>
      <c r="AA51" s="236"/>
      <c r="AB51" s="390"/>
      <c r="AC51" s="7"/>
      <c r="AD51" s="391"/>
      <c r="AE51" s="11"/>
      <c r="AF51" s="7"/>
      <c r="AG51" s="7"/>
      <c r="AH51" s="7"/>
      <c r="AI51" s="7"/>
      <c r="AJ51" s="7"/>
      <c r="AK51" s="7"/>
      <c r="AL51" s="236"/>
      <c r="AM51" s="390"/>
      <c r="AN51" s="7"/>
      <c r="AO51" s="391"/>
      <c r="AP51" s="11"/>
      <c r="AQ51" s="7"/>
      <c r="AR51" s="7"/>
      <c r="AS51" s="236"/>
      <c r="AT51" s="242">
        <v>180.2</v>
      </c>
      <c r="AU51" s="7">
        <f t="shared" si="9"/>
        <v>180.2</v>
      </c>
      <c r="AV51" s="11"/>
      <c r="AW51" s="242"/>
      <c r="AX51" s="7"/>
      <c r="AY51" s="11"/>
      <c r="AZ51" s="242"/>
      <c r="BA51" s="11"/>
      <c r="BB51" s="243"/>
      <c r="BC51" s="242"/>
      <c r="BD51" s="11"/>
      <c r="BE51" s="243"/>
      <c r="BF51" s="242"/>
      <c r="BG51" s="11"/>
      <c r="BH51" s="243"/>
      <c r="BI51" s="11"/>
      <c r="BJ51" s="7"/>
    </row>
    <row r="52" spans="1:62" ht="25.5" x14ac:dyDescent="0.25">
      <c r="A52" s="71">
        <f t="shared" si="2"/>
        <v>48</v>
      </c>
      <c r="B52" s="1" t="s">
        <v>570</v>
      </c>
      <c r="C52" s="1" t="s">
        <v>1707</v>
      </c>
      <c r="D52" s="1" t="s">
        <v>2135</v>
      </c>
      <c r="E52" s="1" t="s">
        <v>2136</v>
      </c>
      <c r="F52" s="1" t="s">
        <v>2051</v>
      </c>
      <c r="G52" s="273">
        <v>43100</v>
      </c>
      <c r="H52" s="274">
        <f>I52*0.85</f>
        <v>488733</v>
      </c>
      <c r="I52" s="274">
        <v>574980</v>
      </c>
      <c r="J52" s="304"/>
      <c r="K52" s="270">
        <f t="shared" si="0"/>
        <v>574980</v>
      </c>
      <c r="L52" s="7"/>
      <c r="M52" s="7"/>
      <c r="N52" s="7"/>
      <c r="O52" s="7"/>
      <c r="P52" s="7"/>
      <c r="Q52" s="7"/>
      <c r="R52" s="7"/>
      <c r="S52" s="236"/>
      <c r="T52" s="390"/>
      <c r="U52" s="7">
        <f t="shared" si="1"/>
        <v>0</v>
      </c>
      <c r="V52" s="391"/>
      <c r="W52" s="390">
        <v>290</v>
      </c>
      <c r="X52" s="11">
        <f t="shared" si="8"/>
        <v>290</v>
      </c>
      <c r="Y52" s="391"/>
      <c r="Z52" s="11"/>
      <c r="AA52" s="236"/>
      <c r="AB52" s="390"/>
      <c r="AC52" s="7"/>
      <c r="AD52" s="391"/>
      <c r="AE52" s="11"/>
      <c r="AF52" s="7"/>
      <c r="AG52" s="7"/>
      <c r="AH52" s="7"/>
      <c r="AI52" s="7"/>
      <c r="AJ52" s="7"/>
      <c r="AK52" s="7"/>
      <c r="AL52" s="236"/>
      <c r="AM52" s="390"/>
      <c r="AN52" s="7"/>
      <c r="AO52" s="391"/>
      <c r="AP52" s="11"/>
      <c r="AQ52" s="7"/>
      <c r="AR52" s="7"/>
      <c r="AS52" s="236"/>
      <c r="AT52" s="242"/>
      <c r="AU52" s="7"/>
      <c r="AV52" s="11"/>
      <c r="AW52" s="242">
        <v>290</v>
      </c>
      <c r="AX52" s="7">
        <f>AW52</f>
        <v>290</v>
      </c>
      <c r="AY52" s="11"/>
      <c r="AZ52" s="242"/>
      <c r="BA52" s="11"/>
      <c r="BB52" s="243"/>
      <c r="BC52" s="242"/>
      <c r="BD52" s="11"/>
      <c r="BE52" s="243"/>
      <c r="BF52" s="242"/>
      <c r="BG52" s="11"/>
      <c r="BH52" s="243"/>
      <c r="BI52" s="11"/>
      <c r="BJ52" s="7"/>
    </row>
    <row r="53" spans="1:62" ht="25.5" x14ac:dyDescent="0.25">
      <c r="A53" s="71">
        <f t="shared" si="2"/>
        <v>49</v>
      </c>
      <c r="B53" s="1" t="s">
        <v>654</v>
      </c>
      <c r="C53" s="1" t="s">
        <v>1792</v>
      </c>
      <c r="D53" s="1" t="s">
        <v>2137</v>
      </c>
      <c r="E53" s="1" t="s">
        <v>2138</v>
      </c>
      <c r="F53" s="1" t="s">
        <v>2051</v>
      </c>
      <c r="G53" s="273">
        <v>43100</v>
      </c>
      <c r="H53" s="274">
        <v>335178.89</v>
      </c>
      <c r="I53" s="274">
        <v>394328.11</v>
      </c>
      <c r="J53" s="304"/>
      <c r="K53" s="270">
        <f t="shared" si="0"/>
        <v>394328.11</v>
      </c>
      <c r="L53" s="7"/>
      <c r="M53" s="7"/>
      <c r="N53" s="7"/>
      <c r="O53" s="7"/>
      <c r="P53" s="7"/>
      <c r="Q53" s="7"/>
      <c r="R53" s="7"/>
      <c r="S53" s="236"/>
      <c r="T53" s="390">
        <v>325</v>
      </c>
      <c r="U53" s="7">
        <f t="shared" si="1"/>
        <v>325</v>
      </c>
      <c r="V53" s="391"/>
      <c r="W53" s="390"/>
      <c r="X53" s="11"/>
      <c r="Y53" s="391"/>
      <c r="Z53" s="11"/>
      <c r="AA53" s="236"/>
      <c r="AB53" s="390">
        <v>500</v>
      </c>
      <c r="AC53" s="7">
        <f t="shared" si="5"/>
        <v>500</v>
      </c>
      <c r="AD53" s="391"/>
      <c r="AE53" s="11"/>
      <c r="AF53" s="7"/>
      <c r="AG53" s="7"/>
      <c r="AH53" s="7"/>
      <c r="AI53" s="7"/>
      <c r="AJ53" s="7"/>
      <c r="AK53" s="7"/>
      <c r="AL53" s="236"/>
      <c r="AM53" s="390">
        <v>4</v>
      </c>
      <c r="AN53" s="7">
        <f t="shared" si="6"/>
        <v>4</v>
      </c>
      <c r="AO53" s="391"/>
      <c r="AP53" s="11"/>
      <c r="AQ53" s="7"/>
      <c r="AR53" s="7"/>
      <c r="AS53" s="236"/>
      <c r="AT53" s="242">
        <v>325</v>
      </c>
      <c r="AU53" s="7"/>
      <c r="AV53" s="11"/>
      <c r="AW53" s="242"/>
      <c r="AX53" s="7"/>
      <c r="AY53" s="11"/>
      <c r="AZ53" s="242"/>
      <c r="BA53" s="11"/>
      <c r="BB53" s="243"/>
      <c r="BC53" s="242"/>
      <c r="BD53" s="11"/>
      <c r="BE53" s="243"/>
      <c r="BF53" s="242"/>
      <c r="BG53" s="11"/>
      <c r="BH53" s="243"/>
      <c r="BI53" s="11"/>
      <c r="BJ53" s="7"/>
    </row>
    <row r="54" spans="1:62" ht="38.25" x14ac:dyDescent="0.25">
      <c r="A54" s="71">
        <f t="shared" si="2"/>
        <v>50</v>
      </c>
      <c r="B54" s="1" t="s">
        <v>621</v>
      </c>
      <c r="C54" s="1" t="s">
        <v>1792</v>
      </c>
      <c r="D54" s="1" t="s">
        <v>1031</v>
      </c>
      <c r="E54" s="1" t="s">
        <v>2139</v>
      </c>
      <c r="F54" s="1" t="s">
        <v>2051</v>
      </c>
      <c r="G54" s="12">
        <v>43100</v>
      </c>
      <c r="H54" s="271">
        <f>I54*0.85</f>
        <v>307999.2</v>
      </c>
      <c r="I54" s="271">
        <v>362352</v>
      </c>
      <c r="J54" s="270"/>
      <c r="K54" s="270">
        <f>I54</f>
        <v>362352</v>
      </c>
      <c r="L54" s="7"/>
      <c r="M54" s="7"/>
      <c r="N54" s="7"/>
      <c r="O54" s="7"/>
      <c r="P54" s="7"/>
      <c r="Q54" s="7"/>
      <c r="R54" s="7"/>
      <c r="S54" s="236"/>
      <c r="T54" s="390">
        <v>151</v>
      </c>
      <c r="U54" s="7">
        <f t="shared" si="1"/>
        <v>151</v>
      </c>
      <c r="V54" s="391"/>
      <c r="W54" s="390"/>
      <c r="X54" s="11"/>
      <c r="Y54" s="391"/>
      <c r="Z54" s="11"/>
      <c r="AA54" s="236"/>
      <c r="AB54" s="390"/>
      <c r="AC54" s="7"/>
      <c r="AD54" s="391"/>
      <c r="AE54" s="11"/>
      <c r="AF54" s="7"/>
      <c r="AG54" s="7"/>
      <c r="AH54" s="7"/>
      <c r="AI54" s="7"/>
      <c r="AJ54" s="7"/>
      <c r="AK54" s="7"/>
      <c r="AL54" s="236"/>
      <c r="AM54" s="390"/>
      <c r="AN54" s="7"/>
      <c r="AO54" s="391"/>
      <c r="AP54" s="11"/>
      <c r="AQ54" s="7"/>
      <c r="AR54" s="7"/>
      <c r="AS54" s="236"/>
      <c r="AT54" s="242">
        <v>151</v>
      </c>
      <c r="AU54" s="7"/>
      <c r="AV54" s="11"/>
      <c r="AW54" s="242"/>
      <c r="AX54" s="7"/>
      <c r="AY54" s="11"/>
      <c r="AZ54" s="242"/>
      <c r="BA54" s="11"/>
      <c r="BB54" s="243"/>
      <c r="BC54" s="242"/>
      <c r="BD54" s="11"/>
      <c r="BE54" s="243"/>
      <c r="BF54" s="242"/>
      <c r="BG54" s="11"/>
      <c r="BH54" s="243"/>
      <c r="BI54" s="11"/>
      <c r="BJ54" s="7"/>
    </row>
    <row r="55" spans="1:62" ht="25.5" x14ac:dyDescent="0.25">
      <c r="A55" s="71">
        <f t="shared" si="2"/>
        <v>51</v>
      </c>
      <c r="B55" s="1" t="s">
        <v>573</v>
      </c>
      <c r="C55" s="1" t="s">
        <v>1707</v>
      </c>
      <c r="D55" s="1" t="s">
        <v>869</v>
      </c>
      <c r="E55" s="1" t="s">
        <v>2140</v>
      </c>
      <c r="F55" s="1" t="s">
        <v>2051</v>
      </c>
      <c r="G55" s="12">
        <v>43100</v>
      </c>
      <c r="H55" s="271">
        <f>I55*0.85</f>
        <v>1897488.5155</v>
      </c>
      <c r="I55" s="271">
        <v>2232339.4300000002</v>
      </c>
      <c r="J55" s="270"/>
      <c r="K55" s="270">
        <f t="shared" si="0"/>
        <v>2232339.4300000002</v>
      </c>
      <c r="L55" s="7"/>
      <c r="M55" s="7"/>
      <c r="N55" s="7"/>
      <c r="O55" s="7"/>
      <c r="P55" s="7"/>
      <c r="Q55" s="7"/>
      <c r="R55" s="7"/>
      <c r="S55" s="236"/>
      <c r="T55" s="390"/>
      <c r="U55" s="7">
        <f t="shared" si="1"/>
        <v>0</v>
      </c>
      <c r="V55" s="391"/>
      <c r="W55" s="390">
        <v>3000</v>
      </c>
      <c r="X55" s="11">
        <f t="shared" si="8"/>
        <v>3000</v>
      </c>
      <c r="Y55" s="391"/>
      <c r="Z55" s="11"/>
      <c r="AA55" s="236"/>
      <c r="AB55" s="390"/>
      <c r="AC55" s="7"/>
      <c r="AD55" s="391"/>
      <c r="AE55" s="11"/>
      <c r="AF55" s="7"/>
      <c r="AG55" s="7"/>
      <c r="AH55" s="7"/>
      <c r="AI55" s="7"/>
      <c r="AJ55" s="7"/>
      <c r="AK55" s="7"/>
      <c r="AL55" s="236"/>
      <c r="AM55" s="390"/>
      <c r="AN55" s="7"/>
      <c r="AO55" s="391"/>
      <c r="AP55" s="11"/>
      <c r="AQ55" s="7"/>
      <c r="AR55" s="7"/>
      <c r="AS55" s="236"/>
      <c r="AT55" s="242"/>
      <c r="AU55" s="7"/>
      <c r="AV55" s="11"/>
      <c r="AW55" s="242">
        <v>4800</v>
      </c>
      <c r="AX55" s="7">
        <f>AW55</f>
        <v>4800</v>
      </c>
      <c r="AY55" s="11"/>
      <c r="AZ55" s="242"/>
      <c r="BA55" s="11"/>
      <c r="BB55" s="243"/>
      <c r="BC55" s="242"/>
      <c r="BD55" s="11"/>
      <c r="BE55" s="243"/>
      <c r="BF55" s="242"/>
      <c r="BG55" s="11"/>
      <c r="BH55" s="243"/>
      <c r="BI55" s="11"/>
      <c r="BJ55" s="7"/>
    </row>
    <row r="56" spans="1:62" x14ac:dyDescent="0.25">
      <c r="A56" s="71">
        <f t="shared" si="2"/>
        <v>52</v>
      </c>
      <c r="B56" s="1" t="s">
        <v>574</v>
      </c>
      <c r="C56" s="1" t="s">
        <v>1707</v>
      </c>
      <c r="D56" s="1" t="s">
        <v>2141</v>
      </c>
      <c r="E56" s="1" t="s">
        <v>2142</v>
      </c>
      <c r="F56" s="1" t="s">
        <v>2051</v>
      </c>
      <c r="G56" s="12">
        <v>43100</v>
      </c>
      <c r="H56" s="271">
        <f>I56*0.85</f>
        <v>664465.88449999993</v>
      </c>
      <c r="I56" s="271">
        <v>781724.57</v>
      </c>
      <c r="J56" s="270"/>
      <c r="K56" s="270">
        <f t="shared" si="0"/>
        <v>781724.57</v>
      </c>
      <c r="L56" s="7"/>
      <c r="M56" s="7"/>
      <c r="N56" s="7"/>
      <c r="O56" s="7"/>
      <c r="P56" s="7"/>
      <c r="Q56" s="7"/>
      <c r="R56" s="7"/>
      <c r="S56" s="236"/>
      <c r="T56" s="390"/>
      <c r="U56" s="7">
        <f t="shared" si="1"/>
        <v>0</v>
      </c>
      <c r="V56" s="391"/>
      <c r="W56" s="390">
        <v>500</v>
      </c>
      <c r="X56" s="11">
        <f t="shared" si="8"/>
        <v>500</v>
      </c>
      <c r="Y56" s="391"/>
      <c r="Z56" s="11"/>
      <c r="AA56" s="236"/>
      <c r="AB56" s="390"/>
      <c r="AC56" s="7"/>
      <c r="AD56" s="391"/>
      <c r="AE56" s="11"/>
      <c r="AF56" s="7"/>
      <c r="AG56" s="7"/>
      <c r="AH56" s="7"/>
      <c r="AI56" s="7"/>
      <c r="AJ56" s="7"/>
      <c r="AK56" s="7"/>
      <c r="AL56" s="236"/>
      <c r="AM56" s="390"/>
      <c r="AN56" s="7"/>
      <c r="AO56" s="391"/>
      <c r="AP56" s="11"/>
      <c r="AQ56" s="7"/>
      <c r="AR56" s="7"/>
      <c r="AS56" s="236"/>
      <c r="AT56" s="242"/>
      <c r="AU56" s="7"/>
      <c r="AV56" s="11"/>
      <c r="AW56" s="242">
        <v>950</v>
      </c>
      <c r="AX56" s="7">
        <f>AW56</f>
        <v>950</v>
      </c>
      <c r="AY56" s="11"/>
      <c r="AZ56" s="242"/>
      <c r="BA56" s="11"/>
      <c r="BB56" s="243"/>
      <c r="BC56" s="242"/>
      <c r="BD56" s="11"/>
      <c r="BE56" s="243"/>
      <c r="BF56" s="242"/>
      <c r="BG56" s="11"/>
      <c r="BH56" s="243"/>
      <c r="BI56" s="11"/>
      <c r="BJ56" s="7"/>
    </row>
    <row r="57" spans="1:62" ht="25.5" x14ac:dyDescent="0.25">
      <c r="A57" s="71">
        <f t="shared" si="2"/>
        <v>53</v>
      </c>
      <c r="B57" s="1" t="s">
        <v>559</v>
      </c>
      <c r="C57" s="1" t="s">
        <v>1707</v>
      </c>
      <c r="D57" s="1" t="s">
        <v>2143</v>
      </c>
      <c r="E57" s="1" t="s">
        <v>2144</v>
      </c>
      <c r="F57" s="1" t="s">
        <v>2051</v>
      </c>
      <c r="G57" s="12">
        <v>43100</v>
      </c>
      <c r="H57" s="271">
        <v>265519</v>
      </c>
      <c r="I57" s="271">
        <v>312375.28999999998</v>
      </c>
      <c r="J57" s="270"/>
      <c r="K57" s="270">
        <f t="shared" si="0"/>
        <v>312375.28999999998</v>
      </c>
      <c r="L57" s="7"/>
      <c r="M57" s="7"/>
      <c r="N57" s="7"/>
      <c r="O57" s="7"/>
      <c r="P57" s="7"/>
      <c r="Q57" s="7"/>
      <c r="R57" s="7"/>
      <c r="S57" s="236"/>
      <c r="T57" s="390"/>
      <c r="U57" s="7">
        <f t="shared" si="1"/>
        <v>0</v>
      </c>
      <c r="V57" s="391"/>
      <c r="W57" s="390">
        <v>572</v>
      </c>
      <c r="X57" s="11">
        <f t="shared" si="8"/>
        <v>572</v>
      </c>
      <c r="Y57" s="391"/>
      <c r="Z57" s="11"/>
      <c r="AA57" s="236"/>
      <c r="AB57" s="390"/>
      <c r="AC57" s="7"/>
      <c r="AD57" s="391"/>
      <c r="AE57" s="11"/>
      <c r="AF57" s="7"/>
      <c r="AG57" s="7"/>
      <c r="AH57" s="7"/>
      <c r="AI57" s="7"/>
      <c r="AJ57" s="7"/>
      <c r="AK57" s="7"/>
      <c r="AL57" s="236"/>
      <c r="AM57" s="390"/>
      <c r="AN57" s="7"/>
      <c r="AO57" s="391"/>
      <c r="AP57" s="11"/>
      <c r="AQ57" s="7"/>
      <c r="AR57" s="7"/>
      <c r="AS57" s="236"/>
      <c r="AT57" s="242"/>
      <c r="AU57" s="7"/>
      <c r="AV57" s="11"/>
      <c r="AW57" s="242">
        <v>572</v>
      </c>
      <c r="AX57" s="7">
        <f>AW57</f>
        <v>572</v>
      </c>
      <c r="AY57" s="11"/>
      <c r="AZ57" s="242"/>
      <c r="BA57" s="11"/>
      <c r="BB57" s="243"/>
      <c r="BC57" s="242"/>
      <c r="BD57" s="11"/>
      <c r="BE57" s="243"/>
      <c r="BF57" s="242"/>
      <c r="BG57" s="11"/>
      <c r="BH57" s="243"/>
      <c r="BI57" s="11"/>
      <c r="BJ57" s="7"/>
    </row>
    <row r="58" spans="1:62" ht="25.5" x14ac:dyDescent="0.25">
      <c r="A58" s="71">
        <f t="shared" si="2"/>
        <v>54</v>
      </c>
      <c r="B58" s="1" t="s">
        <v>688</v>
      </c>
      <c r="C58" s="1" t="s">
        <v>1792</v>
      </c>
      <c r="D58" s="1" t="s">
        <v>2145</v>
      </c>
      <c r="E58" s="1" t="s">
        <v>2146</v>
      </c>
      <c r="F58" s="1" t="s">
        <v>2051</v>
      </c>
      <c r="G58" s="12">
        <v>43100</v>
      </c>
      <c r="H58" s="271">
        <f t="shared" ref="H58:H85" si="10">I58*0.85</f>
        <v>376251.83699999994</v>
      </c>
      <c r="I58" s="271">
        <v>442649.22</v>
      </c>
      <c r="J58" s="270"/>
      <c r="K58" s="270">
        <f t="shared" si="0"/>
        <v>442649.22</v>
      </c>
      <c r="L58" s="7"/>
      <c r="M58" s="7"/>
      <c r="N58" s="7"/>
      <c r="O58" s="7"/>
      <c r="P58" s="7"/>
      <c r="Q58" s="7"/>
      <c r="R58" s="7"/>
      <c r="S58" s="236"/>
      <c r="T58" s="390">
        <v>121.64</v>
      </c>
      <c r="U58" s="7">
        <f t="shared" si="1"/>
        <v>121.64</v>
      </c>
      <c r="V58" s="391"/>
      <c r="W58" s="390"/>
      <c r="X58" s="11"/>
      <c r="Y58" s="391"/>
      <c r="Z58" s="11"/>
      <c r="AA58" s="236"/>
      <c r="AB58" s="390"/>
      <c r="AC58" s="7"/>
      <c r="AD58" s="391"/>
      <c r="AE58" s="11"/>
      <c r="AF58" s="7"/>
      <c r="AG58" s="7"/>
      <c r="AH58" s="7"/>
      <c r="AI58" s="7"/>
      <c r="AJ58" s="7"/>
      <c r="AK58" s="7"/>
      <c r="AL58" s="236"/>
      <c r="AM58" s="390"/>
      <c r="AN58" s="7"/>
      <c r="AO58" s="391"/>
      <c r="AP58" s="11"/>
      <c r="AQ58" s="7"/>
      <c r="AR58" s="7"/>
      <c r="AS58" s="236"/>
      <c r="AT58" s="242">
        <v>121.64</v>
      </c>
      <c r="AU58" s="7">
        <f t="shared" ref="AU58:AU63" si="11">AT58</f>
        <v>121.64</v>
      </c>
      <c r="AV58" s="11"/>
      <c r="AW58" s="242"/>
      <c r="AX58" s="7"/>
      <c r="AY58" s="11"/>
      <c r="AZ58" s="242"/>
      <c r="BA58" s="11"/>
      <c r="BB58" s="243"/>
      <c r="BC58" s="242"/>
      <c r="BD58" s="11"/>
      <c r="BE58" s="243"/>
      <c r="BF58" s="242"/>
      <c r="BG58" s="11"/>
      <c r="BH58" s="243"/>
      <c r="BI58" s="11"/>
      <c r="BJ58" s="7"/>
    </row>
    <row r="59" spans="1:62" ht="25.5" x14ac:dyDescent="0.25">
      <c r="A59" s="71">
        <f t="shared" si="2"/>
        <v>55</v>
      </c>
      <c r="B59" s="1" t="s">
        <v>576</v>
      </c>
      <c r="C59" s="1" t="s">
        <v>1792</v>
      </c>
      <c r="D59" s="1" t="s">
        <v>2147</v>
      </c>
      <c r="E59" s="1" t="s">
        <v>2148</v>
      </c>
      <c r="F59" s="1" t="s">
        <v>2051</v>
      </c>
      <c r="G59" s="12">
        <v>43100</v>
      </c>
      <c r="H59" s="271">
        <f t="shared" si="10"/>
        <v>222319.19999999998</v>
      </c>
      <c r="I59" s="271">
        <v>261552</v>
      </c>
      <c r="J59" s="270"/>
      <c r="K59" s="270">
        <f t="shared" si="0"/>
        <v>261552</v>
      </c>
      <c r="L59" s="7"/>
      <c r="M59" s="7"/>
      <c r="N59" s="7"/>
      <c r="O59" s="7"/>
      <c r="P59" s="7"/>
      <c r="Q59" s="7"/>
      <c r="R59" s="7"/>
      <c r="S59" s="236"/>
      <c r="T59" s="390">
        <v>71.28</v>
      </c>
      <c r="U59" s="7">
        <f t="shared" si="1"/>
        <v>71.28</v>
      </c>
      <c r="V59" s="391"/>
      <c r="W59" s="390"/>
      <c r="X59" s="11"/>
      <c r="Y59" s="391"/>
      <c r="Z59" s="11"/>
      <c r="AA59" s="236"/>
      <c r="AB59" s="390"/>
      <c r="AC59" s="7"/>
      <c r="AD59" s="391"/>
      <c r="AE59" s="11"/>
      <c r="AF59" s="7"/>
      <c r="AG59" s="7"/>
      <c r="AH59" s="7"/>
      <c r="AI59" s="7"/>
      <c r="AJ59" s="7"/>
      <c r="AK59" s="7"/>
      <c r="AL59" s="236"/>
      <c r="AM59" s="390"/>
      <c r="AN59" s="7"/>
      <c r="AO59" s="391"/>
      <c r="AP59" s="11"/>
      <c r="AQ59" s="7"/>
      <c r="AR59" s="7"/>
      <c r="AS59" s="236"/>
      <c r="AT59" s="242">
        <v>71.28</v>
      </c>
      <c r="AU59" s="7">
        <f t="shared" si="11"/>
        <v>71.28</v>
      </c>
      <c r="AV59" s="11"/>
      <c r="AW59" s="242"/>
      <c r="AX59" s="7"/>
      <c r="AY59" s="11"/>
      <c r="AZ59" s="242"/>
      <c r="BA59" s="11"/>
      <c r="BB59" s="243"/>
      <c r="BC59" s="242"/>
      <c r="BD59" s="11"/>
      <c r="BE59" s="243"/>
      <c r="BF59" s="242"/>
      <c r="BG59" s="11"/>
      <c r="BH59" s="243"/>
      <c r="BI59" s="11"/>
      <c r="BJ59" s="7"/>
    </row>
    <row r="60" spans="1:62" ht="25.5" x14ac:dyDescent="0.25">
      <c r="A60" s="71">
        <f t="shared" si="2"/>
        <v>56</v>
      </c>
      <c r="B60" s="1" t="s">
        <v>655</v>
      </c>
      <c r="C60" s="1" t="s">
        <v>1792</v>
      </c>
      <c r="D60" s="1" t="s">
        <v>1025</v>
      </c>
      <c r="E60" s="1" t="s">
        <v>2149</v>
      </c>
      <c r="F60" s="1" t="s">
        <v>2051</v>
      </c>
      <c r="G60" s="12">
        <v>43100</v>
      </c>
      <c r="H60" s="271">
        <f t="shared" si="10"/>
        <v>886509.2</v>
      </c>
      <c r="I60" s="271">
        <v>1042952</v>
      </c>
      <c r="J60" s="270"/>
      <c r="K60" s="270">
        <f t="shared" si="0"/>
        <v>1042952</v>
      </c>
      <c r="L60" s="7"/>
      <c r="M60" s="7"/>
      <c r="N60" s="7"/>
      <c r="O60" s="7"/>
      <c r="P60" s="7"/>
      <c r="Q60" s="7"/>
      <c r="R60" s="7"/>
      <c r="S60" s="236"/>
      <c r="T60" s="390">
        <v>2000</v>
      </c>
      <c r="U60" s="7">
        <f>T60</f>
        <v>2000</v>
      </c>
      <c r="V60" s="391"/>
      <c r="W60" s="390"/>
      <c r="X60" s="11"/>
      <c r="Y60" s="391"/>
      <c r="Z60" s="11"/>
      <c r="AA60" s="236"/>
      <c r="AB60" s="390"/>
      <c r="AC60" s="7"/>
      <c r="AD60" s="391"/>
      <c r="AE60" s="11"/>
      <c r="AF60" s="7"/>
      <c r="AG60" s="7"/>
      <c r="AH60" s="7"/>
      <c r="AI60" s="7"/>
      <c r="AJ60" s="7"/>
      <c r="AK60" s="7"/>
      <c r="AL60" s="236"/>
      <c r="AM60" s="390"/>
      <c r="AN60" s="7"/>
      <c r="AO60" s="391"/>
      <c r="AP60" s="11"/>
      <c r="AQ60" s="7"/>
      <c r="AR60" s="7"/>
      <c r="AS60" s="236"/>
      <c r="AT60" s="242">
        <v>2000</v>
      </c>
      <c r="AU60" s="7">
        <f t="shared" si="11"/>
        <v>2000</v>
      </c>
      <c r="AV60" s="11"/>
      <c r="AW60" s="242"/>
      <c r="AX60" s="7"/>
      <c r="AY60" s="11"/>
      <c r="AZ60" s="242"/>
      <c r="BA60" s="11"/>
      <c r="BB60" s="243"/>
      <c r="BC60" s="242"/>
      <c r="BD60" s="11"/>
      <c r="BE60" s="243"/>
      <c r="BF60" s="242"/>
      <c r="BG60" s="11"/>
      <c r="BH60" s="243"/>
      <c r="BI60" s="11"/>
      <c r="BJ60" s="7"/>
    </row>
    <row r="61" spans="1:62" ht="25.5" x14ac:dyDescent="0.25">
      <c r="A61" s="71">
        <f t="shared" si="2"/>
        <v>57</v>
      </c>
      <c r="B61" s="1" t="s">
        <v>622</v>
      </c>
      <c r="C61" s="1" t="s">
        <v>1792</v>
      </c>
      <c r="D61" s="1" t="s">
        <v>993</v>
      </c>
      <c r="E61" s="1" t="s">
        <v>2150</v>
      </c>
      <c r="F61" s="1" t="s">
        <v>2051</v>
      </c>
      <c r="G61" s="12">
        <v>43100</v>
      </c>
      <c r="H61" s="271">
        <f t="shared" si="10"/>
        <v>225429.52</v>
      </c>
      <c r="I61" s="271">
        <v>265211.2</v>
      </c>
      <c r="J61" s="270"/>
      <c r="K61" s="270">
        <f t="shared" si="0"/>
        <v>265211.2</v>
      </c>
      <c r="L61" s="7"/>
      <c r="M61" s="7"/>
      <c r="N61" s="7"/>
      <c r="O61" s="7"/>
      <c r="P61" s="7"/>
      <c r="Q61" s="7"/>
      <c r="R61" s="7"/>
      <c r="S61" s="236"/>
      <c r="T61" s="390">
        <v>218</v>
      </c>
      <c r="U61" s="7">
        <f t="shared" si="1"/>
        <v>218</v>
      </c>
      <c r="V61" s="391"/>
      <c r="W61" s="390"/>
      <c r="X61" s="11"/>
      <c r="Y61" s="391"/>
      <c r="Z61" s="11"/>
      <c r="AA61" s="236"/>
      <c r="AB61" s="390"/>
      <c r="AC61" s="7"/>
      <c r="AD61" s="391"/>
      <c r="AE61" s="11"/>
      <c r="AF61" s="7"/>
      <c r="AG61" s="7"/>
      <c r="AH61" s="7"/>
      <c r="AI61" s="7"/>
      <c r="AJ61" s="7"/>
      <c r="AK61" s="7"/>
      <c r="AL61" s="236"/>
      <c r="AM61" s="390"/>
      <c r="AN61" s="7"/>
      <c r="AO61" s="391"/>
      <c r="AP61" s="11"/>
      <c r="AQ61" s="7"/>
      <c r="AR61" s="7"/>
      <c r="AS61" s="236"/>
      <c r="AT61" s="242">
        <v>218</v>
      </c>
      <c r="AU61" s="7">
        <f t="shared" si="11"/>
        <v>218</v>
      </c>
      <c r="AV61" s="11"/>
      <c r="AW61" s="242"/>
      <c r="AX61" s="7"/>
      <c r="AY61" s="11"/>
      <c r="AZ61" s="242"/>
      <c r="BA61" s="11"/>
      <c r="BB61" s="243"/>
      <c r="BC61" s="242"/>
      <c r="BD61" s="11"/>
      <c r="BE61" s="243"/>
      <c r="BF61" s="242"/>
      <c r="BG61" s="11"/>
      <c r="BH61" s="243"/>
      <c r="BI61" s="11"/>
      <c r="BJ61" s="7"/>
    </row>
    <row r="62" spans="1:62" ht="25.5" x14ac:dyDescent="0.25">
      <c r="A62" s="71">
        <f t="shared" si="2"/>
        <v>58</v>
      </c>
      <c r="B62" s="1" t="s">
        <v>580</v>
      </c>
      <c r="C62" s="1" t="s">
        <v>1792</v>
      </c>
      <c r="D62" s="1" t="s">
        <v>963</v>
      </c>
      <c r="E62" s="1" t="s">
        <v>2151</v>
      </c>
      <c r="F62" s="1" t="s">
        <v>2051</v>
      </c>
      <c r="G62" s="12">
        <v>43100</v>
      </c>
      <c r="H62" s="271">
        <f t="shared" si="10"/>
        <v>374802.179</v>
      </c>
      <c r="I62" s="271">
        <v>440943.74</v>
      </c>
      <c r="J62" s="270"/>
      <c r="K62" s="270">
        <f t="shared" si="0"/>
        <v>440943.74</v>
      </c>
      <c r="L62" s="7"/>
      <c r="M62" s="7"/>
      <c r="N62" s="7"/>
      <c r="O62" s="7"/>
      <c r="P62" s="7"/>
      <c r="Q62" s="7"/>
      <c r="R62" s="7"/>
      <c r="S62" s="236"/>
      <c r="T62" s="390">
        <v>125</v>
      </c>
      <c r="U62" s="7">
        <f t="shared" si="1"/>
        <v>125</v>
      </c>
      <c r="V62" s="391"/>
      <c r="W62" s="390"/>
      <c r="X62" s="11"/>
      <c r="Y62" s="391"/>
      <c r="Z62" s="11"/>
      <c r="AA62" s="236"/>
      <c r="AB62" s="390"/>
      <c r="AC62" s="7"/>
      <c r="AD62" s="391"/>
      <c r="AE62" s="11"/>
      <c r="AF62" s="7"/>
      <c r="AG62" s="7"/>
      <c r="AH62" s="7"/>
      <c r="AI62" s="7"/>
      <c r="AJ62" s="7"/>
      <c r="AK62" s="7"/>
      <c r="AL62" s="236"/>
      <c r="AM62" s="390"/>
      <c r="AN62" s="7"/>
      <c r="AO62" s="391"/>
      <c r="AP62" s="11"/>
      <c r="AQ62" s="7"/>
      <c r="AR62" s="7"/>
      <c r="AS62" s="236"/>
      <c r="AT62" s="242">
        <v>125</v>
      </c>
      <c r="AU62" s="7">
        <f t="shared" si="11"/>
        <v>125</v>
      </c>
      <c r="AV62" s="11"/>
      <c r="AW62" s="242"/>
      <c r="AX62" s="7"/>
      <c r="AY62" s="11"/>
      <c r="AZ62" s="242"/>
      <c r="BA62" s="11"/>
      <c r="BB62" s="243"/>
      <c r="BC62" s="242"/>
      <c r="BD62" s="11"/>
      <c r="BE62" s="243"/>
      <c r="BF62" s="242"/>
      <c r="BG62" s="11"/>
      <c r="BH62" s="243"/>
      <c r="BI62" s="11"/>
      <c r="BJ62" s="7"/>
    </row>
    <row r="63" spans="1:62" ht="25.5" x14ac:dyDescent="0.25">
      <c r="A63" s="71">
        <f t="shared" si="2"/>
        <v>59</v>
      </c>
      <c r="B63" s="1" t="s">
        <v>624</v>
      </c>
      <c r="C63" s="1" t="s">
        <v>1792</v>
      </c>
      <c r="D63" s="1" t="s">
        <v>2152</v>
      </c>
      <c r="E63" s="1" t="s">
        <v>2153</v>
      </c>
      <c r="F63" s="1" t="s">
        <v>2051</v>
      </c>
      <c r="G63" s="12">
        <v>43100</v>
      </c>
      <c r="H63" s="271">
        <f t="shared" si="10"/>
        <v>228751.65999999997</v>
      </c>
      <c r="I63" s="271">
        <v>269119.59999999998</v>
      </c>
      <c r="J63" s="270"/>
      <c r="K63" s="270">
        <f t="shared" si="0"/>
        <v>269119.59999999998</v>
      </c>
      <c r="L63" s="7"/>
      <c r="M63" s="7"/>
      <c r="N63" s="7"/>
      <c r="O63" s="7"/>
      <c r="P63" s="7"/>
      <c r="Q63" s="7"/>
      <c r="R63" s="7"/>
      <c r="S63" s="236"/>
      <c r="T63" s="390">
        <v>78.81</v>
      </c>
      <c r="U63" s="7">
        <f t="shared" si="1"/>
        <v>78.81</v>
      </c>
      <c r="V63" s="391"/>
      <c r="W63" s="390"/>
      <c r="X63" s="11"/>
      <c r="Y63" s="391"/>
      <c r="Z63" s="11"/>
      <c r="AA63" s="236"/>
      <c r="AB63" s="390"/>
      <c r="AC63" s="7"/>
      <c r="AD63" s="391"/>
      <c r="AE63" s="11"/>
      <c r="AF63" s="7"/>
      <c r="AG63" s="7"/>
      <c r="AH63" s="7"/>
      <c r="AI63" s="7"/>
      <c r="AJ63" s="7"/>
      <c r="AK63" s="7"/>
      <c r="AL63" s="236"/>
      <c r="AM63" s="390"/>
      <c r="AN63" s="7"/>
      <c r="AO63" s="391"/>
      <c r="AP63" s="11"/>
      <c r="AQ63" s="7"/>
      <c r="AR63" s="7"/>
      <c r="AS63" s="236"/>
      <c r="AT63" s="242">
        <v>78.81</v>
      </c>
      <c r="AU63" s="7">
        <f t="shared" si="11"/>
        <v>78.81</v>
      </c>
      <c r="AV63" s="11"/>
      <c r="AW63" s="242"/>
      <c r="AX63" s="7"/>
      <c r="AY63" s="11"/>
      <c r="AZ63" s="242"/>
      <c r="BA63" s="11"/>
      <c r="BB63" s="243"/>
      <c r="BC63" s="242"/>
      <c r="BD63" s="11"/>
      <c r="BE63" s="243"/>
      <c r="BF63" s="242"/>
      <c r="BG63" s="11"/>
      <c r="BH63" s="243"/>
      <c r="BI63" s="11"/>
      <c r="BJ63" s="7"/>
    </row>
    <row r="64" spans="1:62" ht="25.5" x14ac:dyDescent="0.25">
      <c r="A64" s="71">
        <f t="shared" si="2"/>
        <v>60</v>
      </c>
      <c r="B64" s="1" t="s">
        <v>560</v>
      </c>
      <c r="C64" s="1" t="s">
        <v>1707</v>
      </c>
      <c r="D64" s="1" t="s">
        <v>2154</v>
      </c>
      <c r="E64" s="1" t="s">
        <v>2155</v>
      </c>
      <c r="F64" s="1" t="s">
        <v>2051</v>
      </c>
      <c r="G64" s="12">
        <v>43100</v>
      </c>
      <c r="H64" s="271">
        <f t="shared" si="10"/>
        <v>394522.57</v>
      </c>
      <c r="I64" s="271">
        <v>464144.2</v>
      </c>
      <c r="J64" s="270"/>
      <c r="K64" s="270">
        <f t="shared" si="0"/>
        <v>464144.2</v>
      </c>
      <c r="L64" s="7"/>
      <c r="M64" s="7"/>
      <c r="N64" s="7"/>
      <c r="O64" s="7"/>
      <c r="P64" s="7"/>
      <c r="Q64" s="7"/>
      <c r="R64" s="7"/>
      <c r="S64" s="236"/>
      <c r="T64" s="390"/>
      <c r="U64" s="7">
        <f t="shared" si="1"/>
        <v>0</v>
      </c>
      <c r="V64" s="391"/>
      <c r="W64" s="390">
        <v>650</v>
      </c>
      <c r="X64" s="11">
        <f t="shared" si="8"/>
        <v>650</v>
      </c>
      <c r="Y64" s="391"/>
      <c r="Z64" s="11"/>
      <c r="AA64" s="236"/>
      <c r="AB64" s="390"/>
      <c r="AC64" s="7"/>
      <c r="AD64" s="391"/>
      <c r="AE64" s="11"/>
      <c r="AF64" s="7"/>
      <c r="AG64" s="7"/>
      <c r="AH64" s="7"/>
      <c r="AI64" s="7"/>
      <c r="AJ64" s="7"/>
      <c r="AK64" s="7"/>
      <c r="AL64" s="236"/>
      <c r="AM64" s="390"/>
      <c r="AN64" s="7"/>
      <c r="AO64" s="391"/>
      <c r="AP64" s="11"/>
      <c r="AQ64" s="7"/>
      <c r="AR64" s="7"/>
      <c r="AS64" s="236"/>
      <c r="AT64" s="242"/>
      <c r="AU64" s="7"/>
      <c r="AV64" s="11"/>
      <c r="AW64" s="242">
        <v>800</v>
      </c>
      <c r="AX64" s="7">
        <f>AW64</f>
        <v>800</v>
      </c>
      <c r="AY64" s="11"/>
      <c r="AZ64" s="242"/>
      <c r="BA64" s="11"/>
      <c r="BB64" s="243"/>
      <c r="BC64" s="242"/>
      <c r="BD64" s="11"/>
      <c r="BE64" s="243"/>
      <c r="BF64" s="242"/>
      <c r="BG64" s="11"/>
      <c r="BH64" s="243"/>
      <c r="BI64" s="11"/>
      <c r="BJ64" s="7"/>
    </row>
    <row r="65" spans="1:62" ht="25.5" x14ac:dyDescent="0.25">
      <c r="A65" s="71">
        <f t="shared" si="2"/>
        <v>61</v>
      </c>
      <c r="B65" s="4" t="s">
        <v>691</v>
      </c>
      <c r="C65" s="1" t="s">
        <v>1792</v>
      </c>
      <c r="D65" s="1" t="s">
        <v>1041</v>
      </c>
      <c r="E65" s="1" t="s">
        <v>2156</v>
      </c>
      <c r="F65" s="1" t="s">
        <v>2051</v>
      </c>
      <c r="G65" s="12">
        <v>43100</v>
      </c>
      <c r="H65" s="271">
        <f t="shared" si="10"/>
        <v>456930.97249999997</v>
      </c>
      <c r="I65" s="271">
        <v>537565.85</v>
      </c>
      <c r="J65" s="270"/>
      <c r="K65" s="270">
        <f t="shared" si="0"/>
        <v>537565.85</v>
      </c>
      <c r="L65" s="7"/>
      <c r="M65" s="7"/>
      <c r="N65" s="7"/>
      <c r="O65" s="7"/>
      <c r="P65" s="7"/>
      <c r="Q65" s="7"/>
      <c r="R65" s="7"/>
      <c r="S65" s="236"/>
      <c r="T65" s="390">
        <v>435</v>
      </c>
      <c r="U65" s="7">
        <f t="shared" si="1"/>
        <v>435</v>
      </c>
      <c r="V65" s="391"/>
      <c r="W65" s="390"/>
      <c r="X65" s="11"/>
      <c r="Y65" s="391"/>
      <c r="Z65" s="11"/>
      <c r="AA65" s="236"/>
      <c r="AB65" s="390">
        <v>700</v>
      </c>
      <c r="AC65" s="7">
        <f t="shared" si="5"/>
        <v>700</v>
      </c>
      <c r="AD65" s="391"/>
      <c r="AE65" s="11"/>
      <c r="AF65" s="7"/>
      <c r="AG65" s="7"/>
      <c r="AH65" s="7"/>
      <c r="AI65" s="7"/>
      <c r="AJ65" s="7"/>
      <c r="AK65" s="7"/>
      <c r="AL65" s="236"/>
      <c r="AM65" s="390">
        <v>4</v>
      </c>
      <c r="AN65" s="7">
        <f t="shared" si="6"/>
        <v>4</v>
      </c>
      <c r="AO65" s="391"/>
      <c r="AP65" s="11"/>
      <c r="AQ65" s="7"/>
      <c r="AR65" s="7"/>
      <c r="AS65" s="236"/>
      <c r="AT65" s="242">
        <v>435</v>
      </c>
      <c r="AU65" s="7">
        <f>AT65</f>
        <v>435</v>
      </c>
      <c r="AV65" s="11"/>
      <c r="AW65" s="242"/>
      <c r="AX65" s="7"/>
      <c r="AY65" s="11"/>
      <c r="AZ65" s="242"/>
      <c r="BA65" s="11"/>
      <c r="BB65" s="243"/>
      <c r="BC65" s="242"/>
      <c r="BD65" s="11"/>
      <c r="BE65" s="243"/>
      <c r="BF65" s="242"/>
      <c r="BG65" s="11"/>
      <c r="BH65" s="243"/>
      <c r="BI65" s="11"/>
      <c r="BJ65" s="7"/>
    </row>
    <row r="66" spans="1:62" ht="25.5" x14ac:dyDescent="0.25">
      <c r="A66" s="71">
        <f t="shared" si="2"/>
        <v>62</v>
      </c>
      <c r="B66" s="1" t="s">
        <v>627</v>
      </c>
      <c r="C66" s="1" t="s">
        <v>1792</v>
      </c>
      <c r="D66" s="1" t="s">
        <v>2157</v>
      </c>
      <c r="E66" s="1" t="s">
        <v>2158</v>
      </c>
      <c r="F66" s="1" t="s">
        <v>2051</v>
      </c>
      <c r="G66" s="12">
        <v>43100</v>
      </c>
      <c r="H66" s="271">
        <f t="shared" si="10"/>
        <v>487866</v>
      </c>
      <c r="I66" s="271">
        <v>573960</v>
      </c>
      <c r="J66" s="270"/>
      <c r="K66" s="270">
        <f t="shared" si="0"/>
        <v>573960</v>
      </c>
      <c r="L66" s="7"/>
      <c r="M66" s="7"/>
      <c r="N66" s="7"/>
      <c r="O66" s="7"/>
      <c r="P66" s="7"/>
      <c r="Q66" s="7"/>
      <c r="R66" s="7"/>
      <c r="S66" s="236"/>
      <c r="T66" s="390">
        <v>120.49</v>
      </c>
      <c r="U66" s="7">
        <f t="shared" si="1"/>
        <v>120.49</v>
      </c>
      <c r="V66" s="391"/>
      <c r="W66" s="390"/>
      <c r="X66" s="11"/>
      <c r="Y66" s="391"/>
      <c r="Z66" s="11"/>
      <c r="AA66" s="236"/>
      <c r="AB66" s="390"/>
      <c r="AC66" s="7"/>
      <c r="AD66" s="391"/>
      <c r="AE66" s="11"/>
      <c r="AF66" s="7"/>
      <c r="AG66" s="7"/>
      <c r="AH66" s="7"/>
      <c r="AI66" s="7"/>
      <c r="AJ66" s="7"/>
      <c r="AK66" s="7"/>
      <c r="AL66" s="236"/>
      <c r="AM66" s="390"/>
      <c r="AN66" s="7"/>
      <c r="AO66" s="391"/>
      <c r="AP66" s="11"/>
      <c r="AQ66" s="7"/>
      <c r="AR66" s="7"/>
      <c r="AS66" s="236"/>
      <c r="AT66" s="242">
        <v>120.49</v>
      </c>
      <c r="AU66" s="7">
        <f>AT66</f>
        <v>120.49</v>
      </c>
      <c r="AV66" s="11"/>
      <c r="AW66" s="242"/>
      <c r="AX66" s="7"/>
      <c r="AY66" s="11"/>
      <c r="AZ66" s="242"/>
      <c r="BA66" s="11"/>
      <c r="BB66" s="243"/>
      <c r="BC66" s="242"/>
      <c r="BD66" s="11"/>
      <c r="BE66" s="243"/>
      <c r="BF66" s="242"/>
      <c r="BG66" s="11"/>
      <c r="BH66" s="243"/>
      <c r="BI66" s="11"/>
      <c r="BJ66" s="7"/>
    </row>
    <row r="67" spans="1:62" ht="38.25" x14ac:dyDescent="0.25">
      <c r="A67" s="71">
        <f t="shared" si="2"/>
        <v>63</v>
      </c>
      <c r="B67" s="1" t="s">
        <v>587</v>
      </c>
      <c r="C67" s="1" t="s">
        <v>1707</v>
      </c>
      <c r="D67" s="1" t="s">
        <v>2159</v>
      </c>
      <c r="E67" s="1" t="s">
        <v>2160</v>
      </c>
      <c r="F67" s="1" t="s">
        <v>2051</v>
      </c>
      <c r="G67" s="12">
        <v>43100</v>
      </c>
      <c r="H67" s="271">
        <f t="shared" si="10"/>
        <v>788537.23950000003</v>
      </c>
      <c r="I67" s="271">
        <v>927690.87</v>
      </c>
      <c r="J67" s="270"/>
      <c r="K67" s="270">
        <f t="shared" si="0"/>
        <v>927690.87</v>
      </c>
      <c r="L67" s="7"/>
      <c r="M67" s="7"/>
      <c r="N67" s="7"/>
      <c r="O67" s="7"/>
      <c r="P67" s="7"/>
      <c r="Q67" s="7"/>
      <c r="R67" s="7"/>
      <c r="S67" s="236"/>
      <c r="T67" s="390">
        <v>1130</v>
      </c>
      <c r="U67" s="7">
        <f t="shared" si="1"/>
        <v>1130</v>
      </c>
      <c r="V67" s="391"/>
      <c r="W67" s="390">
        <v>950</v>
      </c>
      <c r="X67" s="11">
        <f t="shared" si="8"/>
        <v>950</v>
      </c>
      <c r="Y67" s="391"/>
      <c r="Z67" s="11"/>
      <c r="AA67" s="236"/>
      <c r="AB67" s="390"/>
      <c r="AC67" s="7"/>
      <c r="AD67" s="391"/>
      <c r="AE67" s="11"/>
      <c r="AF67" s="7"/>
      <c r="AG67" s="7"/>
      <c r="AH67" s="7"/>
      <c r="AI67" s="7"/>
      <c r="AJ67" s="7"/>
      <c r="AK67" s="7"/>
      <c r="AL67" s="236"/>
      <c r="AM67" s="390"/>
      <c r="AN67" s="7"/>
      <c r="AO67" s="391"/>
      <c r="AP67" s="11"/>
      <c r="AQ67" s="7"/>
      <c r="AR67" s="7"/>
      <c r="AS67" s="236"/>
      <c r="AT67" s="242">
        <v>1130</v>
      </c>
      <c r="AU67" s="7">
        <f>AT67</f>
        <v>1130</v>
      </c>
      <c r="AV67" s="11"/>
      <c r="AW67" s="242">
        <v>1200</v>
      </c>
      <c r="AX67" s="7">
        <f>AW67</f>
        <v>1200</v>
      </c>
      <c r="AY67" s="11"/>
      <c r="AZ67" s="242"/>
      <c r="BA67" s="11"/>
      <c r="BB67" s="243"/>
      <c r="BC67" s="242"/>
      <c r="BD67" s="11"/>
      <c r="BE67" s="243"/>
      <c r="BF67" s="242"/>
      <c r="BG67" s="11"/>
      <c r="BH67" s="243"/>
      <c r="BI67" s="11"/>
      <c r="BJ67" s="7"/>
    </row>
    <row r="68" spans="1:62" ht="25.5" x14ac:dyDescent="0.25">
      <c r="A68" s="71">
        <f t="shared" si="2"/>
        <v>64</v>
      </c>
      <c r="B68" s="4" t="s">
        <v>565</v>
      </c>
      <c r="C68" s="1" t="s">
        <v>1707</v>
      </c>
      <c r="D68" s="1" t="s">
        <v>980</v>
      </c>
      <c r="E68" s="1" t="s">
        <v>2161</v>
      </c>
      <c r="F68" s="1" t="s">
        <v>2051</v>
      </c>
      <c r="G68" s="12">
        <v>43100</v>
      </c>
      <c r="H68" s="271">
        <f t="shared" si="10"/>
        <v>426861.99300000002</v>
      </c>
      <c r="I68" s="271">
        <v>502190.58</v>
      </c>
      <c r="J68" s="270"/>
      <c r="K68" s="270">
        <f>I68</f>
        <v>502190.58</v>
      </c>
      <c r="L68" s="7"/>
      <c r="M68" s="7"/>
      <c r="N68" s="7"/>
      <c r="O68" s="7"/>
      <c r="P68" s="7"/>
      <c r="Q68" s="7"/>
      <c r="R68" s="7"/>
      <c r="S68" s="236"/>
      <c r="T68" s="390"/>
      <c r="U68" s="7">
        <f t="shared" si="1"/>
        <v>0</v>
      </c>
      <c r="V68" s="391"/>
      <c r="W68" s="390">
        <v>100</v>
      </c>
      <c r="X68" s="11">
        <f t="shared" si="8"/>
        <v>100</v>
      </c>
      <c r="Y68" s="391"/>
      <c r="Z68" s="11"/>
      <c r="AA68" s="236"/>
      <c r="AB68" s="390"/>
      <c r="AC68" s="7"/>
      <c r="AD68" s="391"/>
      <c r="AE68" s="11"/>
      <c r="AF68" s="7"/>
      <c r="AG68" s="7"/>
      <c r="AH68" s="7"/>
      <c r="AI68" s="7"/>
      <c r="AJ68" s="7"/>
      <c r="AK68" s="7"/>
      <c r="AL68" s="236"/>
      <c r="AM68" s="390"/>
      <c r="AN68" s="7"/>
      <c r="AO68" s="391"/>
      <c r="AP68" s="11"/>
      <c r="AQ68" s="7"/>
      <c r="AR68" s="7"/>
      <c r="AS68" s="236"/>
      <c r="AT68" s="242"/>
      <c r="AU68" s="7"/>
      <c r="AV68" s="11"/>
      <c r="AW68" s="242">
        <v>100</v>
      </c>
      <c r="AX68" s="7">
        <f>AW68</f>
        <v>100</v>
      </c>
      <c r="AY68" s="11"/>
      <c r="AZ68" s="242"/>
      <c r="BA68" s="11"/>
      <c r="BB68" s="243"/>
      <c r="BC68" s="242"/>
      <c r="BD68" s="11"/>
      <c r="BE68" s="243"/>
      <c r="BF68" s="242"/>
      <c r="BG68" s="11"/>
      <c r="BH68" s="243"/>
      <c r="BI68" s="11"/>
      <c r="BJ68" s="7"/>
    </row>
    <row r="69" spans="1:62" ht="25.5" x14ac:dyDescent="0.25">
      <c r="A69" s="71">
        <f t="shared" si="2"/>
        <v>65</v>
      </c>
      <c r="B69" s="1" t="s">
        <v>588</v>
      </c>
      <c r="C69" s="1" t="s">
        <v>1792</v>
      </c>
      <c r="D69" s="1" t="s">
        <v>2162</v>
      </c>
      <c r="E69" s="1" t="s">
        <v>2163</v>
      </c>
      <c r="F69" s="1" t="s">
        <v>2051</v>
      </c>
      <c r="G69" s="12">
        <v>43100</v>
      </c>
      <c r="H69" s="271">
        <f t="shared" si="10"/>
        <v>133309.57999999999</v>
      </c>
      <c r="I69" s="271">
        <v>156834.79999999999</v>
      </c>
      <c r="J69" s="270"/>
      <c r="K69" s="270">
        <f t="shared" si="0"/>
        <v>156834.79999999999</v>
      </c>
      <c r="L69" s="7"/>
      <c r="M69" s="7"/>
      <c r="N69" s="7"/>
      <c r="O69" s="7"/>
      <c r="P69" s="7"/>
      <c r="Q69" s="7"/>
      <c r="R69" s="7"/>
      <c r="S69" s="236"/>
      <c r="T69" s="390">
        <v>128</v>
      </c>
      <c r="U69" s="7">
        <f t="shared" si="1"/>
        <v>128</v>
      </c>
      <c r="V69" s="391"/>
      <c r="W69" s="390"/>
      <c r="X69" s="11"/>
      <c r="Y69" s="391"/>
      <c r="Z69" s="11"/>
      <c r="AA69" s="236"/>
      <c r="AB69" s="390"/>
      <c r="AC69" s="7"/>
      <c r="AD69" s="391"/>
      <c r="AE69" s="11"/>
      <c r="AF69" s="7"/>
      <c r="AG69" s="7"/>
      <c r="AH69" s="7"/>
      <c r="AI69" s="7"/>
      <c r="AJ69" s="7"/>
      <c r="AK69" s="7"/>
      <c r="AL69" s="236"/>
      <c r="AM69" s="390"/>
      <c r="AN69" s="7"/>
      <c r="AO69" s="391"/>
      <c r="AP69" s="11"/>
      <c r="AQ69" s="7"/>
      <c r="AR69" s="7"/>
      <c r="AS69" s="236"/>
      <c r="AT69" s="242">
        <v>128</v>
      </c>
      <c r="AU69" s="7">
        <f>AT69</f>
        <v>128</v>
      </c>
      <c r="AV69" s="11"/>
      <c r="AW69" s="242"/>
      <c r="AX69" s="7"/>
      <c r="AY69" s="11"/>
      <c r="AZ69" s="242"/>
      <c r="BA69" s="11"/>
      <c r="BB69" s="243"/>
      <c r="BC69" s="242"/>
      <c r="BD69" s="11"/>
      <c r="BE69" s="243"/>
      <c r="BF69" s="242"/>
      <c r="BG69" s="11"/>
      <c r="BH69" s="243"/>
      <c r="BI69" s="11"/>
      <c r="BJ69" s="7"/>
    </row>
    <row r="70" spans="1:62" ht="25.5" x14ac:dyDescent="0.25">
      <c r="A70" s="71">
        <f t="shared" si="2"/>
        <v>66</v>
      </c>
      <c r="B70" s="1" t="s">
        <v>553</v>
      </c>
      <c r="C70" s="1" t="s">
        <v>1707</v>
      </c>
      <c r="D70" s="1" t="s">
        <v>1430</v>
      </c>
      <c r="E70" s="1" t="s">
        <v>2164</v>
      </c>
      <c r="F70" s="1" t="s">
        <v>2051</v>
      </c>
      <c r="G70" s="12">
        <v>43100</v>
      </c>
      <c r="H70" s="271">
        <f t="shared" si="10"/>
        <v>238850.07650000002</v>
      </c>
      <c r="I70" s="271">
        <v>281000.09000000003</v>
      </c>
      <c r="J70" s="270"/>
      <c r="K70" s="270">
        <f t="shared" ref="K70:K80" si="12">I70</f>
        <v>281000.09000000003</v>
      </c>
      <c r="L70" s="7"/>
      <c r="M70" s="7"/>
      <c r="N70" s="7"/>
      <c r="O70" s="7"/>
      <c r="P70" s="7"/>
      <c r="Q70" s="7"/>
      <c r="R70" s="7"/>
      <c r="S70" s="236"/>
      <c r="T70" s="390"/>
      <c r="U70" s="7">
        <f t="shared" ref="U70:U71" si="13">T70</f>
        <v>0</v>
      </c>
      <c r="V70" s="391"/>
      <c r="W70" s="390">
        <v>100</v>
      </c>
      <c r="X70" s="11">
        <f t="shared" si="8"/>
        <v>100</v>
      </c>
      <c r="Y70" s="391"/>
      <c r="Z70" s="11"/>
      <c r="AA70" s="236"/>
      <c r="AB70" s="390"/>
      <c r="AC70" s="7"/>
      <c r="AD70" s="391"/>
      <c r="AE70" s="11"/>
      <c r="AF70" s="7"/>
      <c r="AG70" s="7"/>
      <c r="AH70" s="7"/>
      <c r="AI70" s="7"/>
      <c r="AJ70" s="7"/>
      <c r="AK70" s="7"/>
      <c r="AL70" s="236"/>
      <c r="AM70" s="390"/>
      <c r="AN70" s="7"/>
      <c r="AO70" s="391"/>
      <c r="AP70" s="11"/>
      <c r="AQ70" s="7"/>
      <c r="AR70" s="7"/>
      <c r="AS70" s="236"/>
      <c r="AT70" s="242"/>
      <c r="AU70" s="7"/>
      <c r="AV70" s="11"/>
      <c r="AW70" s="242">
        <v>100</v>
      </c>
      <c r="AX70" s="7">
        <f>AW70</f>
        <v>100</v>
      </c>
      <c r="AY70" s="11"/>
      <c r="AZ70" s="242"/>
      <c r="BA70" s="11"/>
      <c r="BB70" s="243"/>
      <c r="BC70" s="242"/>
      <c r="BD70" s="11"/>
      <c r="BE70" s="243"/>
      <c r="BF70" s="242"/>
      <c r="BG70" s="11"/>
      <c r="BH70" s="243"/>
      <c r="BI70" s="11"/>
      <c r="BJ70" s="7"/>
    </row>
    <row r="71" spans="1:62" ht="25.5" x14ac:dyDescent="0.25">
      <c r="A71" s="71">
        <f t="shared" ref="A71:A134" si="14">A70+1</f>
        <v>67</v>
      </c>
      <c r="B71" s="1" t="s">
        <v>590</v>
      </c>
      <c r="C71" s="1" t="s">
        <v>1792</v>
      </c>
      <c r="D71" s="1" t="s">
        <v>831</v>
      </c>
      <c r="E71" s="1" t="s">
        <v>2165</v>
      </c>
      <c r="F71" s="1" t="s">
        <v>2051</v>
      </c>
      <c r="G71" s="12">
        <v>43100</v>
      </c>
      <c r="H71" s="271">
        <f t="shared" si="10"/>
        <v>225429.52</v>
      </c>
      <c r="I71" s="271">
        <v>265211.2</v>
      </c>
      <c r="J71" s="270"/>
      <c r="K71" s="270">
        <f t="shared" si="12"/>
        <v>265211.2</v>
      </c>
      <c r="L71" s="7"/>
      <c r="M71" s="7"/>
      <c r="N71" s="7"/>
      <c r="O71" s="7"/>
      <c r="P71" s="7"/>
      <c r="Q71" s="7"/>
      <c r="R71" s="7"/>
      <c r="S71" s="236"/>
      <c r="T71" s="390">
        <v>72.3</v>
      </c>
      <c r="U71" s="7">
        <f t="shared" si="13"/>
        <v>72.3</v>
      </c>
      <c r="V71" s="391"/>
      <c r="W71" s="390"/>
      <c r="X71" s="11"/>
      <c r="Y71" s="391"/>
      <c r="Z71" s="11"/>
      <c r="AA71" s="236"/>
      <c r="AB71" s="390"/>
      <c r="AC71" s="7"/>
      <c r="AD71" s="391"/>
      <c r="AE71" s="11"/>
      <c r="AF71" s="7"/>
      <c r="AG71" s="7"/>
      <c r="AH71" s="7"/>
      <c r="AI71" s="7"/>
      <c r="AJ71" s="7"/>
      <c r="AK71" s="7"/>
      <c r="AL71" s="236"/>
      <c r="AM71" s="390"/>
      <c r="AN71" s="7"/>
      <c r="AO71" s="391"/>
      <c r="AP71" s="11"/>
      <c r="AQ71" s="7"/>
      <c r="AR71" s="7"/>
      <c r="AS71" s="236"/>
      <c r="AT71" s="242">
        <v>72.3</v>
      </c>
      <c r="AU71" s="7">
        <f>AT71</f>
        <v>72.3</v>
      </c>
      <c r="AV71" s="11"/>
      <c r="AW71" s="242"/>
      <c r="AX71" s="7"/>
      <c r="AY71" s="11"/>
      <c r="AZ71" s="242"/>
      <c r="BA71" s="11"/>
      <c r="BB71" s="243"/>
      <c r="BC71" s="242"/>
      <c r="BD71" s="11"/>
      <c r="BE71" s="243"/>
      <c r="BF71" s="242"/>
      <c r="BG71" s="11"/>
      <c r="BH71" s="243"/>
      <c r="BI71" s="11"/>
      <c r="BJ71" s="7"/>
    </row>
    <row r="72" spans="1:62" ht="25.5" x14ac:dyDescent="0.25">
      <c r="A72" s="71">
        <f t="shared" si="14"/>
        <v>68</v>
      </c>
      <c r="B72" s="1" t="s">
        <v>657</v>
      </c>
      <c r="C72" s="1" t="s">
        <v>1792</v>
      </c>
      <c r="D72" s="1" t="s">
        <v>2166</v>
      </c>
      <c r="E72" s="1" t="s">
        <v>2167</v>
      </c>
      <c r="F72" s="1" t="s">
        <v>2051</v>
      </c>
      <c r="G72" s="12">
        <v>43100</v>
      </c>
      <c r="H72" s="271">
        <f t="shared" si="10"/>
        <v>276976.92</v>
      </c>
      <c r="I72" s="271">
        <v>325855.2</v>
      </c>
      <c r="J72" s="270"/>
      <c r="K72" s="270">
        <f t="shared" si="12"/>
        <v>325855.2</v>
      </c>
      <c r="L72" s="7"/>
      <c r="M72" s="7"/>
      <c r="N72" s="7"/>
      <c r="O72" s="7"/>
      <c r="P72" s="7"/>
      <c r="Q72" s="7"/>
      <c r="R72" s="7"/>
      <c r="S72" s="236"/>
      <c r="T72" s="390">
        <v>90</v>
      </c>
      <c r="U72" s="7">
        <f>T72</f>
        <v>90</v>
      </c>
      <c r="V72" s="391"/>
      <c r="W72" s="390"/>
      <c r="X72" s="11"/>
      <c r="Y72" s="391"/>
      <c r="Z72" s="11"/>
      <c r="AA72" s="236"/>
      <c r="AB72" s="390">
        <v>600</v>
      </c>
      <c r="AC72" s="7">
        <f t="shared" ref="AC72:AC120" si="15">AB72</f>
        <v>600</v>
      </c>
      <c r="AD72" s="391"/>
      <c r="AE72" s="11"/>
      <c r="AF72" s="7"/>
      <c r="AG72" s="7"/>
      <c r="AH72" s="7"/>
      <c r="AI72" s="7"/>
      <c r="AJ72" s="7"/>
      <c r="AK72" s="7"/>
      <c r="AL72" s="236"/>
      <c r="AM72" s="390">
        <v>7</v>
      </c>
      <c r="AN72" s="7">
        <f t="shared" si="6"/>
        <v>7</v>
      </c>
      <c r="AO72" s="391"/>
      <c r="AP72" s="11"/>
      <c r="AQ72" s="7"/>
      <c r="AR72" s="7"/>
      <c r="AS72" s="236"/>
      <c r="AT72" s="242">
        <v>90</v>
      </c>
      <c r="AU72" s="7">
        <f>AT72</f>
        <v>90</v>
      </c>
      <c r="AV72" s="11"/>
      <c r="AW72" s="242"/>
      <c r="AX72" s="7"/>
      <c r="AY72" s="11"/>
      <c r="AZ72" s="242"/>
      <c r="BA72" s="11"/>
      <c r="BB72" s="243"/>
      <c r="BC72" s="242"/>
      <c r="BD72" s="11"/>
      <c r="BE72" s="243"/>
      <c r="BF72" s="242"/>
      <c r="BG72" s="11"/>
      <c r="BH72" s="243"/>
      <c r="BI72" s="11"/>
      <c r="BJ72" s="7"/>
    </row>
    <row r="73" spans="1:62" ht="25.5" x14ac:dyDescent="0.25">
      <c r="A73" s="71">
        <f t="shared" si="14"/>
        <v>69</v>
      </c>
      <c r="B73" s="1" t="s">
        <v>647</v>
      </c>
      <c r="C73" s="1" t="s">
        <v>1792</v>
      </c>
      <c r="D73" s="1" t="s">
        <v>2168</v>
      </c>
      <c r="E73" s="1" t="s">
        <v>2169</v>
      </c>
      <c r="F73" s="1" t="s">
        <v>2051</v>
      </c>
      <c r="G73" s="12">
        <v>43100</v>
      </c>
      <c r="H73" s="271">
        <f t="shared" si="10"/>
        <v>221977.5</v>
      </c>
      <c r="I73" s="271">
        <v>261150</v>
      </c>
      <c r="J73" s="270"/>
      <c r="K73" s="270">
        <f t="shared" si="12"/>
        <v>261150</v>
      </c>
      <c r="L73" s="7"/>
      <c r="M73" s="7"/>
      <c r="N73" s="7"/>
      <c r="O73" s="7"/>
      <c r="P73" s="7"/>
      <c r="Q73" s="7"/>
      <c r="R73" s="7"/>
      <c r="S73" s="236"/>
      <c r="T73" s="390">
        <v>120</v>
      </c>
      <c r="U73" s="7">
        <f t="shared" ref="U73:U93" si="16">T73</f>
        <v>120</v>
      </c>
      <c r="V73" s="391"/>
      <c r="W73" s="390"/>
      <c r="X73" s="11"/>
      <c r="Y73" s="391"/>
      <c r="Z73" s="11"/>
      <c r="AA73" s="236"/>
      <c r="AB73" s="390"/>
      <c r="AC73" s="7"/>
      <c r="AD73" s="391"/>
      <c r="AE73" s="11"/>
      <c r="AF73" s="7"/>
      <c r="AG73" s="7"/>
      <c r="AH73" s="7"/>
      <c r="AI73" s="7"/>
      <c r="AJ73" s="7"/>
      <c r="AK73" s="7"/>
      <c r="AL73" s="236"/>
      <c r="AM73" s="390"/>
      <c r="AN73" s="7"/>
      <c r="AO73" s="391"/>
      <c r="AP73" s="11"/>
      <c r="AQ73" s="7"/>
      <c r="AR73" s="7"/>
      <c r="AS73" s="236"/>
      <c r="AT73" s="242">
        <v>120</v>
      </c>
      <c r="AU73" s="7">
        <f>AT73</f>
        <v>120</v>
      </c>
      <c r="AV73" s="11"/>
      <c r="AW73" s="242"/>
      <c r="AX73" s="7"/>
      <c r="AY73" s="11"/>
      <c r="AZ73" s="242"/>
      <c r="BA73" s="11"/>
      <c r="BB73" s="243"/>
      <c r="BC73" s="242"/>
      <c r="BD73" s="11"/>
      <c r="BE73" s="243"/>
      <c r="BF73" s="242"/>
      <c r="BG73" s="11"/>
      <c r="BH73" s="243"/>
      <c r="BI73" s="11"/>
      <c r="BJ73" s="7"/>
    </row>
    <row r="74" spans="1:62" x14ac:dyDescent="0.25">
      <c r="A74" s="71">
        <f t="shared" si="14"/>
        <v>70</v>
      </c>
      <c r="B74" s="1" t="s">
        <v>561</v>
      </c>
      <c r="C74" s="1" t="s">
        <v>1792</v>
      </c>
      <c r="D74" s="1" t="s">
        <v>1457</v>
      </c>
      <c r="E74" s="1" t="s">
        <v>2170</v>
      </c>
      <c r="F74" s="1" t="s">
        <v>2051</v>
      </c>
      <c r="G74" s="12">
        <v>43100</v>
      </c>
      <c r="H74" s="271">
        <f t="shared" si="10"/>
        <v>359716.60849999997</v>
      </c>
      <c r="I74" s="271">
        <v>423196.01</v>
      </c>
      <c r="J74" s="270"/>
      <c r="K74" s="270">
        <f t="shared" si="12"/>
        <v>423196.01</v>
      </c>
      <c r="L74" s="7"/>
      <c r="M74" s="7"/>
      <c r="N74" s="7"/>
      <c r="O74" s="7"/>
      <c r="P74" s="7"/>
      <c r="Q74" s="7"/>
      <c r="R74" s="7"/>
      <c r="S74" s="236"/>
      <c r="T74" s="392">
        <v>403.16</v>
      </c>
      <c r="U74" s="7">
        <f t="shared" si="16"/>
        <v>403.16</v>
      </c>
      <c r="V74" s="391"/>
      <c r="W74" s="390"/>
      <c r="X74" s="11"/>
      <c r="Y74" s="391"/>
      <c r="Z74" s="11"/>
      <c r="AA74" s="236"/>
      <c r="AB74" s="390"/>
      <c r="AC74" s="7"/>
      <c r="AD74" s="391"/>
      <c r="AE74" s="11"/>
      <c r="AF74" s="7"/>
      <c r="AG74" s="7"/>
      <c r="AH74" s="7"/>
      <c r="AI74" s="7"/>
      <c r="AJ74" s="7"/>
      <c r="AK74" s="7"/>
      <c r="AL74" s="236"/>
      <c r="AM74" s="390"/>
      <c r="AN74" s="7"/>
      <c r="AO74" s="391"/>
      <c r="AP74" s="11"/>
      <c r="AQ74" s="7"/>
      <c r="AR74" s="7"/>
      <c r="AS74" s="236"/>
      <c r="AT74" s="244">
        <v>403.16</v>
      </c>
      <c r="AU74" s="7">
        <f>AT74</f>
        <v>403.16</v>
      </c>
      <c r="AV74" s="11"/>
      <c r="AW74" s="242"/>
      <c r="AX74" s="7"/>
      <c r="AY74" s="11"/>
      <c r="AZ74" s="242"/>
      <c r="BA74" s="11"/>
      <c r="BB74" s="243"/>
      <c r="BC74" s="242"/>
      <c r="BD74" s="11"/>
      <c r="BE74" s="243"/>
      <c r="BF74" s="242"/>
      <c r="BG74" s="11"/>
      <c r="BH74" s="243"/>
      <c r="BI74" s="11"/>
      <c r="BJ74" s="7"/>
    </row>
    <row r="75" spans="1:62" ht="25.5" x14ac:dyDescent="0.25">
      <c r="A75" s="71">
        <f t="shared" si="14"/>
        <v>71</v>
      </c>
      <c r="B75" s="1" t="s">
        <v>598</v>
      </c>
      <c r="C75" s="1" t="s">
        <v>1707</v>
      </c>
      <c r="D75" s="1" t="s">
        <v>1443</v>
      </c>
      <c r="E75" s="1" t="s">
        <v>2171</v>
      </c>
      <c r="F75" s="1" t="s">
        <v>2051</v>
      </c>
      <c r="G75" s="12">
        <v>43100</v>
      </c>
      <c r="H75" s="271">
        <f t="shared" si="10"/>
        <v>1754722.3199999998</v>
      </c>
      <c r="I75" s="271">
        <v>2064379.2</v>
      </c>
      <c r="J75" s="270"/>
      <c r="K75" s="270">
        <f t="shared" si="12"/>
        <v>2064379.2</v>
      </c>
      <c r="L75" s="7"/>
      <c r="M75" s="7"/>
      <c r="N75" s="7"/>
      <c r="O75" s="7"/>
      <c r="P75" s="7"/>
      <c r="Q75" s="7"/>
      <c r="R75" s="7"/>
      <c r="S75" s="236"/>
      <c r="T75" s="390"/>
      <c r="U75" s="7">
        <f t="shared" si="16"/>
        <v>0</v>
      </c>
      <c r="V75" s="391"/>
      <c r="W75" s="390">
        <v>3600</v>
      </c>
      <c r="X75" s="11">
        <f t="shared" si="8"/>
        <v>3600</v>
      </c>
      <c r="Y75" s="391"/>
      <c r="Z75" s="11"/>
      <c r="AA75" s="236"/>
      <c r="AB75" s="390"/>
      <c r="AC75" s="7"/>
      <c r="AD75" s="391"/>
      <c r="AE75" s="11"/>
      <c r="AF75" s="7"/>
      <c r="AG75" s="7"/>
      <c r="AH75" s="7"/>
      <c r="AI75" s="7"/>
      <c r="AJ75" s="7"/>
      <c r="AK75" s="7"/>
      <c r="AL75" s="236"/>
      <c r="AM75" s="390"/>
      <c r="AN75" s="7"/>
      <c r="AO75" s="391"/>
      <c r="AP75" s="11"/>
      <c r="AQ75" s="7"/>
      <c r="AR75" s="7"/>
      <c r="AS75" s="236"/>
      <c r="AT75" s="242"/>
      <c r="AU75" s="7"/>
      <c r="AV75" s="11"/>
      <c r="AW75" s="242">
        <v>3600</v>
      </c>
      <c r="AX75" s="7">
        <f>AW75</f>
        <v>3600</v>
      </c>
      <c r="AY75" s="11"/>
      <c r="AZ75" s="242"/>
      <c r="BA75" s="11"/>
      <c r="BB75" s="243"/>
      <c r="BC75" s="242"/>
      <c r="BD75" s="11"/>
      <c r="BE75" s="243"/>
      <c r="BF75" s="242"/>
      <c r="BG75" s="11"/>
      <c r="BH75" s="243"/>
      <c r="BI75" s="11"/>
      <c r="BJ75" s="7"/>
    </row>
    <row r="76" spans="1:62" ht="25.5" x14ac:dyDescent="0.25">
      <c r="A76" s="71">
        <f t="shared" si="14"/>
        <v>72</v>
      </c>
      <c r="B76" s="1" t="s">
        <v>603</v>
      </c>
      <c r="C76" s="1" t="s">
        <v>1707</v>
      </c>
      <c r="D76" s="1" t="s">
        <v>2172</v>
      </c>
      <c r="E76" s="1" t="s">
        <v>2173</v>
      </c>
      <c r="F76" s="1" t="s">
        <v>2051</v>
      </c>
      <c r="G76" s="12">
        <v>43100</v>
      </c>
      <c r="H76" s="271">
        <f t="shared" si="10"/>
        <v>326833.94199999998</v>
      </c>
      <c r="I76" s="271">
        <v>384510.52</v>
      </c>
      <c r="J76" s="270"/>
      <c r="K76" s="270">
        <f t="shared" si="12"/>
        <v>384510.52</v>
      </c>
      <c r="L76" s="7"/>
      <c r="M76" s="7"/>
      <c r="N76" s="7"/>
      <c r="O76" s="7"/>
      <c r="P76" s="7"/>
      <c r="Q76" s="7"/>
      <c r="R76" s="7"/>
      <c r="S76" s="236"/>
      <c r="T76" s="390"/>
      <c r="U76" s="7">
        <f t="shared" si="16"/>
        <v>0</v>
      </c>
      <c r="V76" s="391"/>
      <c r="W76" s="390">
        <v>100</v>
      </c>
      <c r="X76" s="11">
        <f t="shared" si="8"/>
        <v>100</v>
      </c>
      <c r="Y76" s="391"/>
      <c r="Z76" s="11"/>
      <c r="AA76" s="236"/>
      <c r="AB76" s="390"/>
      <c r="AC76" s="7"/>
      <c r="AD76" s="391"/>
      <c r="AE76" s="11"/>
      <c r="AF76" s="7"/>
      <c r="AG76" s="7"/>
      <c r="AH76" s="7"/>
      <c r="AI76" s="7"/>
      <c r="AJ76" s="7"/>
      <c r="AK76" s="7"/>
      <c r="AL76" s="236"/>
      <c r="AM76" s="390"/>
      <c r="AN76" s="7"/>
      <c r="AO76" s="391"/>
      <c r="AP76" s="11"/>
      <c r="AQ76" s="7"/>
      <c r="AR76" s="7"/>
      <c r="AS76" s="236"/>
      <c r="AT76" s="242"/>
      <c r="AU76" s="7"/>
      <c r="AV76" s="11"/>
      <c r="AW76" s="242">
        <v>100</v>
      </c>
      <c r="AX76" s="7">
        <f>AW76</f>
        <v>100</v>
      </c>
      <c r="AY76" s="11"/>
      <c r="AZ76" s="242"/>
      <c r="BA76" s="11"/>
      <c r="BB76" s="243"/>
      <c r="BC76" s="242"/>
      <c r="BD76" s="11"/>
      <c r="BE76" s="243"/>
      <c r="BF76" s="242"/>
      <c r="BG76" s="11"/>
      <c r="BH76" s="243"/>
      <c r="BI76" s="11"/>
      <c r="BJ76" s="7"/>
    </row>
    <row r="77" spans="1:62" ht="25.5" x14ac:dyDescent="0.25">
      <c r="A77" s="71">
        <f t="shared" si="14"/>
        <v>73</v>
      </c>
      <c r="B77" s="1" t="s">
        <v>649</v>
      </c>
      <c r="C77" s="1" t="s">
        <v>1792</v>
      </c>
      <c r="D77" s="1" t="s">
        <v>2174</v>
      </c>
      <c r="E77" s="1" t="s">
        <v>2175</v>
      </c>
      <c r="F77" s="1" t="s">
        <v>2051</v>
      </c>
      <c r="G77" s="12">
        <v>43100</v>
      </c>
      <c r="H77" s="271">
        <f t="shared" si="10"/>
        <v>303830.19649999996</v>
      </c>
      <c r="I77" s="271">
        <v>357447.29</v>
      </c>
      <c r="J77" s="270"/>
      <c r="K77" s="270">
        <f t="shared" si="12"/>
        <v>357447.29</v>
      </c>
      <c r="L77" s="7"/>
      <c r="M77" s="7"/>
      <c r="N77" s="7"/>
      <c r="O77" s="7"/>
      <c r="P77" s="7"/>
      <c r="Q77" s="7"/>
      <c r="R77" s="7"/>
      <c r="S77" s="236"/>
      <c r="T77" s="390">
        <v>98.33</v>
      </c>
      <c r="U77" s="7">
        <f t="shared" si="16"/>
        <v>98.33</v>
      </c>
      <c r="V77" s="391"/>
      <c r="W77" s="390"/>
      <c r="X77" s="11"/>
      <c r="Y77" s="391"/>
      <c r="Z77" s="11"/>
      <c r="AA77" s="236"/>
      <c r="AB77" s="390"/>
      <c r="AC77" s="7"/>
      <c r="AD77" s="391"/>
      <c r="AE77" s="11"/>
      <c r="AF77" s="7"/>
      <c r="AG77" s="7"/>
      <c r="AH77" s="7"/>
      <c r="AI77" s="7"/>
      <c r="AJ77" s="7"/>
      <c r="AK77" s="7"/>
      <c r="AL77" s="236"/>
      <c r="AM77" s="390"/>
      <c r="AN77" s="7"/>
      <c r="AO77" s="391"/>
      <c r="AP77" s="11"/>
      <c r="AQ77" s="7"/>
      <c r="AR77" s="7"/>
      <c r="AS77" s="236"/>
      <c r="AT77" s="242">
        <v>98.33</v>
      </c>
      <c r="AU77" s="7">
        <f>AT77</f>
        <v>98.33</v>
      </c>
      <c r="AV77" s="11"/>
      <c r="AW77" s="242"/>
      <c r="AX77" s="7"/>
      <c r="AY77" s="11"/>
      <c r="AZ77" s="242"/>
      <c r="BA77" s="11"/>
      <c r="BB77" s="243"/>
      <c r="BC77" s="242"/>
      <c r="BD77" s="11"/>
      <c r="BE77" s="243"/>
      <c r="BF77" s="242"/>
      <c r="BG77" s="11"/>
      <c r="BH77" s="243"/>
      <c r="BI77" s="11"/>
      <c r="BJ77" s="7"/>
    </row>
    <row r="78" spans="1:62" ht="25.5" x14ac:dyDescent="0.25">
      <c r="A78" s="71">
        <f t="shared" si="14"/>
        <v>74</v>
      </c>
      <c r="B78" s="1" t="s">
        <v>551</v>
      </c>
      <c r="C78" s="1" t="s">
        <v>1707</v>
      </c>
      <c r="D78" s="1" t="s">
        <v>2176</v>
      </c>
      <c r="E78" s="1" t="s">
        <v>2177</v>
      </c>
      <c r="F78" s="1" t="s">
        <v>2051</v>
      </c>
      <c r="G78" s="12">
        <v>43100</v>
      </c>
      <c r="H78" s="271">
        <f t="shared" si="10"/>
        <v>236472.46500000003</v>
      </c>
      <c r="I78" s="271">
        <v>278202.90000000002</v>
      </c>
      <c r="J78" s="270"/>
      <c r="K78" s="270">
        <f t="shared" si="12"/>
        <v>278202.90000000002</v>
      </c>
      <c r="L78" s="7"/>
      <c r="M78" s="7"/>
      <c r="N78" s="7"/>
      <c r="O78" s="7"/>
      <c r="P78" s="7"/>
      <c r="Q78" s="7"/>
      <c r="R78" s="7"/>
      <c r="S78" s="236"/>
      <c r="T78" s="390"/>
      <c r="U78" s="7">
        <f t="shared" si="16"/>
        <v>0</v>
      </c>
      <c r="V78" s="391"/>
      <c r="W78" s="390">
        <v>100</v>
      </c>
      <c r="X78" s="11">
        <f t="shared" si="8"/>
        <v>100</v>
      </c>
      <c r="Y78" s="391"/>
      <c r="Z78" s="11"/>
      <c r="AA78" s="236"/>
      <c r="AB78" s="390"/>
      <c r="AC78" s="7"/>
      <c r="AD78" s="391"/>
      <c r="AE78" s="11"/>
      <c r="AF78" s="7"/>
      <c r="AG78" s="7"/>
      <c r="AH78" s="7"/>
      <c r="AI78" s="7"/>
      <c r="AJ78" s="7"/>
      <c r="AK78" s="7"/>
      <c r="AL78" s="236"/>
      <c r="AM78" s="390"/>
      <c r="AN78" s="7"/>
      <c r="AO78" s="391"/>
      <c r="AP78" s="11"/>
      <c r="AQ78" s="7"/>
      <c r="AR78" s="7"/>
      <c r="AS78" s="236"/>
      <c r="AT78" s="242"/>
      <c r="AU78" s="7"/>
      <c r="AV78" s="11"/>
      <c r="AW78" s="242">
        <v>100</v>
      </c>
      <c r="AX78" s="7">
        <f>AW78</f>
        <v>100</v>
      </c>
      <c r="AY78" s="11"/>
      <c r="AZ78" s="242"/>
      <c r="BA78" s="11"/>
      <c r="BB78" s="243"/>
      <c r="BC78" s="242"/>
      <c r="BD78" s="11"/>
      <c r="BE78" s="243"/>
      <c r="BF78" s="242"/>
      <c r="BG78" s="11"/>
      <c r="BH78" s="243"/>
      <c r="BI78" s="11"/>
      <c r="BJ78" s="7"/>
    </row>
    <row r="79" spans="1:62" x14ac:dyDescent="0.25">
      <c r="A79" s="71">
        <f t="shared" si="14"/>
        <v>75</v>
      </c>
      <c r="B79" s="1" t="s">
        <v>651</v>
      </c>
      <c r="C79" s="1" t="s">
        <v>1792</v>
      </c>
      <c r="D79" s="1" t="s">
        <v>2178</v>
      </c>
      <c r="E79" s="1" t="s">
        <v>2179</v>
      </c>
      <c r="F79" s="1" t="s">
        <v>2051</v>
      </c>
      <c r="G79" s="12">
        <v>43100</v>
      </c>
      <c r="H79" s="271">
        <f t="shared" si="10"/>
        <v>278815.96299999999</v>
      </c>
      <c r="I79" s="271">
        <v>328018.78000000003</v>
      </c>
      <c r="J79" s="270"/>
      <c r="K79" s="270">
        <f t="shared" si="12"/>
        <v>328018.78000000003</v>
      </c>
      <c r="L79" s="7"/>
      <c r="M79" s="7"/>
      <c r="N79" s="7"/>
      <c r="O79" s="7"/>
      <c r="P79" s="7"/>
      <c r="Q79" s="7"/>
      <c r="R79" s="7"/>
      <c r="S79" s="236"/>
      <c r="T79" s="390">
        <v>279</v>
      </c>
      <c r="U79" s="7">
        <f t="shared" si="16"/>
        <v>279</v>
      </c>
      <c r="V79" s="391"/>
      <c r="W79" s="390"/>
      <c r="X79" s="11"/>
      <c r="Y79" s="391"/>
      <c r="Z79" s="11"/>
      <c r="AA79" s="236"/>
      <c r="AB79" s="390"/>
      <c r="AC79" s="7"/>
      <c r="AD79" s="391"/>
      <c r="AE79" s="11"/>
      <c r="AF79" s="7"/>
      <c r="AG79" s="7"/>
      <c r="AH79" s="7"/>
      <c r="AI79" s="7"/>
      <c r="AJ79" s="7"/>
      <c r="AK79" s="7"/>
      <c r="AL79" s="236"/>
      <c r="AM79" s="390"/>
      <c r="AN79" s="7"/>
      <c r="AO79" s="391"/>
      <c r="AP79" s="11"/>
      <c r="AQ79" s="7"/>
      <c r="AR79" s="7"/>
      <c r="AS79" s="236"/>
      <c r="AT79" s="242">
        <v>279</v>
      </c>
      <c r="AU79" s="7">
        <f>AT79</f>
        <v>279</v>
      </c>
      <c r="AV79" s="11"/>
      <c r="AW79" s="242"/>
      <c r="AX79" s="7"/>
      <c r="AY79" s="11"/>
      <c r="AZ79" s="242"/>
      <c r="BA79" s="11"/>
      <c r="BB79" s="243"/>
      <c r="BC79" s="242"/>
      <c r="BD79" s="11"/>
      <c r="BE79" s="243"/>
      <c r="BF79" s="242"/>
      <c r="BG79" s="11"/>
      <c r="BH79" s="243"/>
      <c r="BI79" s="11"/>
      <c r="BJ79" s="7"/>
    </row>
    <row r="80" spans="1:62" x14ac:dyDescent="0.25">
      <c r="A80" s="71">
        <f t="shared" si="14"/>
        <v>76</v>
      </c>
      <c r="B80" s="1" t="s">
        <v>608</v>
      </c>
      <c r="C80" s="1" t="s">
        <v>1792</v>
      </c>
      <c r="D80" s="1" t="s">
        <v>2180</v>
      </c>
      <c r="E80" s="1" t="s">
        <v>2181</v>
      </c>
      <c r="F80" s="1" t="s">
        <v>2051</v>
      </c>
      <c r="G80" s="12">
        <v>43100</v>
      </c>
      <c r="H80" s="271">
        <f t="shared" si="10"/>
        <v>924684.34899999993</v>
      </c>
      <c r="I80" s="271">
        <v>1087863.94</v>
      </c>
      <c r="J80" s="270"/>
      <c r="K80" s="270">
        <f t="shared" si="12"/>
        <v>1087863.94</v>
      </c>
      <c r="L80" s="7"/>
      <c r="M80" s="7"/>
      <c r="N80" s="7"/>
      <c r="O80" s="7"/>
      <c r="P80" s="7"/>
      <c r="Q80" s="7"/>
      <c r="R80" s="7"/>
      <c r="S80" s="236"/>
      <c r="T80" s="390">
        <v>980.22</v>
      </c>
      <c r="U80" s="7">
        <f t="shared" si="16"/>
        <v>980.22</v>
      </c>
      <c r="V80" s="391"/>
      <c r="W80" s="390"/>
      <c r="X80" s="11"/>
      <c r="Y80" s="391"/>
      <c r="Z80" s="11"/>
      <c r="AA80" s="236"/>
      <c r="AB80" s="390">
        <v>500</v>
      </c>
      <c r="AC80" s="7">
        <f t="shared" si="15"/>
        <v>500</v>
      </c>
      <c r="AD80" s="391"/>
      <c r="AE80" s="11"/>
      <c r="AF80" s="7"/>
      <c r="AG80" s="7"/>
      <c r="AH80" s="7"/>
      <c r="AI80" s="7"/>
      <c r="AJ80" s="7"/>
      <c r="AK80" s="7"/>
      <c r="AL80" s="236"/>
      <c r="AM80" s="390">
        <v>3</v>
      </c>
      <c r="AN80" s="7">
        <f t="shared" ref="AN80:AN135" si="17">AM80</f>
        <v>3</v>
      </c>
      <c r="AO80" s="391"/>
      <c r="AP80" s="11"/>
      <c r="AQ80" s="7"/>
      <c r="AR80" s="7"/>
      <c r="AS80" s="236"/>
      <c r="AT80" s="242">
        <v>980.22</v>
      </c>
      <c r="AU80" s="7">
        <f>AT80</f>
        <v>980.22</v>
      </c>
      <c r="AV80" s="11"/>
      <c r="AW80" s="242"/>
      <c r="AX80" s="7"/>
      <c r="AY80" s="11"/>
      <c r="AZ80" s="242"/>
      <c r="BA80" s="11"/>
      <c r="BB80" s="243"/>
      <c r="BC80" s="242"/>
      <c r="BD80" s="11"/>
      <c r="BE80" s="243"/>
      <c r="BF80" s="242"/>
      <c r="BG80" s="11"/>
      <c r="BH80" s="243"/>
      <c r="BI80" s="11"/>
      <c r="BJ80" s="7"/>
    </row>
    <row r="81" spans="1:62" ht="25.5" x14ac:dyDescent="0.25">
      <c r="A81" s="71">
        <f t="shared" si="14"/>
        <v>77</v>
      </c>
      <c r="B81" s="1" t="s">
        <v>562</v>
      </c>
      <c r="C81" s="1" t="s">
        <v>1707</v>
      </c>
      <c r="D81" s="1" t="s">
        <v>2182</v>
      </c>
      <c r="E81" s="1" t="s">
        <v>2183</v>
      </c>
      <c r="F81" s="1" t="s">
        <v>2051</v>
      </c>
      <c r="G81" s="12">
        <v>43100</v>
      </c>
      <c r="H81" s="271">
        <f t="shared" si="10"/>
        <v>766872.59250000003</v>
      </c>
      <c r="I81" s="271">
        <v>902203.05</v>
      </c>
      <c r="J81" s="270"/>
      <c r="K81" s="270">
        <f>I81</f>
        <v>902203.05</v>
      </c>
      <c r="L81" s="7"/>
      <c r="M81" s="7"/>
      <c r="N81" s="7"/>
      <c r="O81" s="7"/>
      <c r="P81" s="7"/>
      <c r="Q81" s="7"/>
      <c r="R81" s="7"/>
      <c r="S81" s="236"/>
      <c r="T81" s="390"/>
      <c r="U81" s="7">
        <f t="shared" si="16"/>
        <v>0</v>
      </c>
      <c r="V81" s="391"/>
      <c r="W81" s="390">
        <v>1350</v>
      </c>
      <c r="X81" s="11">
        <f t="shared" si="8"/>
        <v>1350</v>
      </c>
      <c r="Y81" s="391"/>
      <c r="Z81" s="11"/>
      <c r="AA81" s="236"/>
      <c r="AB81" s="390"/>
      <c r="AC81" s="7"/>
      <c r="AD81" s="391"/>
      <c r="AE81" s="11"/>
      <c r="AF81" s="7"/>
      <c r="AG81" s="7"/>
      <c r="AH81" s="7"/>
      <c r="AI81" s="7"/>
      <c r="AJ81" s="7"/>
      <c r="AK81" s="7"/>
      <c r="AL81" s="236"/>
      <c r="AM81" s="390"/>
      <c r="AN81" s="7"/>
      <c r="AO81" s="391"/>
      <c r="AP81" s="11"/>
      <c r="AQ81" s="7"/>
      <c r="AR81" s="7"/>
      <c r="AS81" s="236"/>
      <c r="AT81" s="242"/>
      <c r="AU81" s="7"/>
      <c r="AV81" s="11"/>
      <c r="AW81" s="242">
        <v>1900</v>
      </c>
      <c r="AX81" s="7">
        <f>AW81</f>
        <v>1900</v>
      </c>
      <c r="AY81" s="11"/>
      <c r="AZ81" s="242"/>
      <c r="BA81" s="11"/>
      <c r="BB81" s="243"/>
      <c r="BC81" s="242"/>
      <c r="BD81" s="11"/>
      <c r="BE81" s="243"/>
      <c r="BF81" s="242"/>
      <c r="BG81" s="11"/>
      <c r="BH81" s="243"/>
      <c r="BI81" s="11"/>
      <c r="BJ81" s="7"/>
    </row>
    <row r="82" spans="1:62" x14ac:dyDescent="0.25">
      <c r="A82" s="71">
        <f t="shared" si="14"/>
        <v>78</v>
      </c>
      <c r="B82" s="1" t="s">
        <v>609</v>
      </c>
      <c r="C82" s="1" t="s">
        <v>1792</v>
      </c>
      <c r="D82" s="1" t="s">
        <v>2184</v>
      </c>
      <c r="E82" s="1" t="s">
        <v>2185</v>
      </c>
      <c r="F82" s="1" t="s">
        <v>2051</v>
      </c>
      <c r="G82" s="12">
        <v>43100</v>
      </c>
      <c r="H82" s="271">
        <f t="shared" si="10"/>
        <v>397049.62849999999</v>
      </c>
      <c r="I82" s="271">
        <v>467117.21</v>
      </c>
      <c r="J82" s="270"/>
      <c r="K82" s="270">
        <f t="shared" ref="K82:K102" si="18">I82</f>
        <v>467117.21</v>
      </c>
      <c r="L82" s="7"/>
      <c r="M82" s="7"/>
      <c r="N82" s="7"/>
      <c r="O82" s="7"/>
      <c r="P82" s="7"/>
      <c r="Q82" s="7"/>
      <c r="R82" s="7"/>
      <c r="S82" s="236"/>
      <c r="T82" s="390">
        <v>516.69000000000005</v>
      </c>
      <c r="U82" s="7">
        <f t="shared" si="16"/>
        <v>516.69000000000005</v>
      </c>
      <c r="V82" s="391"/>
      <c r="W82" s="390"/>
      <c r="X82" s="11"/>
      <c r="Y82" s="391"/>
      <c r="Z82" s="11"/>
      <c r="AA82" s="236"/>
      <c r="AB82" s="390"/>
      <c r="AC82" s="7"/>
      <c r="AD82" s="391"/>
      <c r="AE82" s="11"/>
      <c r="AF82" s="7"/>
      <c r="AG82" s="7"/>
      <c r="AH82" s="7"/>
      <c r="AI82" s="7"/>
      <c r="AJ82" s="7"/>
      <c r="AK82" s="7"/>
      <c r="AL82" s="236"/>
      <c r="AM82" s="390"/>
      <c r="AN82" s="7"/>
      <c r="AO82" s="391"/>
      <c r="AP82" s="11"/>
      <c r="AQ82" s="7"/>
      <c r="AR82" s="7"/>
      <c r="AS82" s="236"/>
      <c r="AT82" s="242">
        <v>516.69000000000005</v>
      </c>
      <c r="AU82" s="7">
        <f>AT82</f>
        <v>516.69000000000005</v>
      </c>
      <c r="AV82" s="11"/>
      <c r="AW82" s="242"/>
      <c r="AX82" s="7"/>
      <c r="AY82" s="11"/>
      <c r="AZ82" s="242"/>
      <c r="BA82" s="11"/>
      <c r="BB82" s="243"/>
      <c r="BC82" s="242"/>
      <c r="BD82" s="11"/>
      <c r="BE82" s="243"/>
      <c r="BF82" s="242"/>
      <c r="BG82" s="11"/>
      <c r="BH82" s="243"/>
      <c r="BI82" s="11"/>
      <c r="BJ82" s="7"/>
    </row>
    <row r="83" spans="1:62" x14ac:dyDescent="0.25">
      <c r="A83" s="71">
        <f t="shared" si="14"/>
        <v>79</v>
      </c>
      <c r="B83" s="1" t="s">
        <v>610</v>
      </c>
      <c r="C83" s="1" t="s">
        <v>1707</v>
      </c>
      <c r="D83" s="1" t="s">
        <v>2180</v>
      </c>
      <c r="E83" s="1" t="s">
        <v>2186</v>
      </c>
      <c r="F83" s="1" t="s">
        <v>2051</v>
      </c>
      <c r="G83" s="12">
        <v>43100</v>
      </c>
      <c r="H83" s="271">
        <f t="shared" si="10"/>
        <v>346547.10799999995</v>
      </c>
      <c r="I83" s="271">
        <v>407702.48</v>
      </c>
      <c r="J83" s="270"/>
      <c r="K83" s="270">
        <f t="shared" si="18"/>
        <v>407702.48</v>
      </c>
      <c r="L83" s="7"/>
      <c r="M83" s="7"/>
      <c r="N83" s="7"/>
      <c r="O83" s="7"/>
      <c r="P83" s="7"/>
      <c r="Q83" s="7"/>
      <c r="R83" s="7"/>
      <c r="S83" s="236"/>
      <c r="T83" s="390"/>
      <c r="U83" s="7">
        <f t="shared" si="16"/>
        <v>0</v>
      </c>
      <c r="V83" s="391"/>
      <c r="W83" s="390">
        <v>680</v>
      </c>
      <c r="X83" s="11">
        <f t="shared" si="8"/>
        <v>680</v>
      </c>
      <c r="Y83" s="391"/>
      <c r="Z83" s="11"/>
      <c r="AA83" s="236"/>
      <c r="AB83" s="390"/>
      <c r="AC83" s="7"/>
      <c r="AD83" s="391"/>
      <c r="AE83" s="11"/>
      <c r="AF83" s="7"/>
      <c r="AG83" s="7"/>
      <c r="AH83" s="7"/>
      <c r="AI83" s="7"/>
      <c r="AJ83" s="7"/>
      <c r="AK83" s="7"/>
      <c r="AL83" s="236"/>
      <c r="AM83" s="390"/>
      <c r="AN83" s="7"/>
      <c r="AO83" s="391"/>
      <c r="AP83" s="11"/>
      <c r="AQ83" s="7"/>
      <c r="AR83" s="7"/>
      <c r="AS83" s="236"/>
      <c r="AT83" s="242"/>
      <c r="AU83" s="7"/>
      <c r="AV83" s="11"/>
      <c r="AW83" s="242">
        <v>700</v>
      </c>
      <c r="AX83" s="7">
        <f>AW83</f>
        <v>700</v>
      </c>
      <c r="AY83" s="11"/>
      <c r="AZ83" s="242"/>
      <c r="BA83" s="11"/>
      <c r="BB83" s="243"/>
      <c r="BC83" s="242"/>
      <c r="BD83" s="11"/>
      <c r="BE83" s="243"/>
      <c r="BF83" s="242"/>
      <c r="BG83" s="11"/>
      <c r="BH83" s="243"/>
      <c r="BI83" s="11"/>
      <c r="BJ83" s="7"/>
    </row>
    <row r="84" spans="1:62" ht="25.5" x14ac:dyDescent="0.25">
      <c r="A84" s="71">
        <f t="shared" si="14"/>
        <v>80</v>
      </c>
      <c r="B84" s="1" t="s">
        <v>665</v>
      </c>
      <c r="C84" s="1" t="s">
        <v>1792</v>
      </c>
      <c r="D84" s="1" t="s">
        <v>2187</v>
      </c>
      <c r="E84" s="1" t="s">
        <v>2188</v>
      </c>
      <c r="F84" s="1" t="s">
        <v>2051</v>
      </c>
      <c r="G84" s="12">
        <v>43100</v>
      </c>
      <c r="H84" s="271">
        <f t="shared" si="10"/>
        <v>1157372.9454999999</v>
      </c>
      <c r="I84" s="271">
        <v>1361615.23</v>
      </c>
      <c r="J84" s="270"/>
      <c r="K84" s="270">
        <f t="shared" si="18"/>
        <v>1361615.23</v>
      </c>
      <c r="L84" s="7"/>
      <c r="M84" s="7"/>
      <c r="N84" s="7"/>
      <c r="O84" s="7"/>
      <c r="P84" s="7"/>
      <c r="Q84" s="7"/>
      <c r="R84" s="7"/>
      <c r="S84" s="236"/>
      <c r="T84" s="390">
        <v>1266.8800000000001</v>
      </c>
      <c r="U84" s="7">
        <f t="shared" si="16"/>
        <v>1266.8800000000001</v>
      </c>
      <c r="V84" s="391"/>
      <c r="W84" s="390"/>
      <c r="X84" s="11"/>
      <c r="Y84" s="391"/>
      <c r="Z84" s="11"/>
      <c r="AA84" s="236"/>
      <c r="AB84" s="390"/>
      <c r="AC84" s="7"/>
      <c r="AD84" s="391"/>
      <c r="AE84" s="11"/>
      <c r="AF84" s="7"/>
      <c r="AG84" s="7"/>
      <c r="AH84" s="7"/>
      <c r="AI84" s="7"/>
      <c r="AJ84" s="7"/>
      <c r="AK84" s="7"/>
      <c r="AL84" s="236"/>
      <c r="AM84" s="390"/>
      <c r="AN84" s="7"/>
      <c r="AO84" s="391"/>
      <c r="AP84" s="11"/>
      <c r="AQ84" s="7"/>
      <c r="AR84" s="7"/>
      <c r="AS84" s="236"/>
      <c r="AT84" s="242">
        <v>1266.8800000000001</v>
      </c>
      <c r="AU84" s="7">
        <f>AT84</f>
        <v>1266.8800000000001</v>
      </c>
      <c r="AV84" s="11"/>
      <c r="AW84" s="242"/>
      <c r="AX84" s="7"/>
      <c r="AY84" s="11"/>
      <c r="AZ84" s="242"/>
      <c r="BA84" s="11"/>
      <c r="BB84" s="243"/>
      <c r="BC84" s="242"/>
      <c r="BD84" s="11"/>
      <c r="BE84" s="243"/>
      <c r="BF84" s="242"/>
      <c r="BG84" s="11"/>
      <c r="BH84" s="243"/>
      <c r="BI84" s="11"/>
      <c r="BJ84" s="7"/>
    </row>
    <row r="85" spans="1:62" ht="25.5" x14ac:dyDescent="0.25">
      <c r="A85" s="71">
        <f t="shared" si="14"/>
        <v>81</v>
      </c>
      <c r="B85" s="1" t="s">
        <v>681</v>
      </c>
      <c r="C85" s="1" t="s">
        <v>1792</v>
      </c>
      <c r="D85" s="1" t="s">
        <v>2189</v>
      </c>
      <c r="E85" s="1" t="s">
        <v>2190</v>
      </c>
      <c r="F85" s="1" t="s">
        <v>2051</v>
      </c>
      <c r="G85" s="12">
        <v>43100</v>
      </c>
      <c r="H85" s="271">
        <f t="shared" si="10"/>
        <v>89146.3</v>
      </c>
      <c r="I85" s="271">
        <v>104878</v>
      </c>
      <c r="J85" s="270"/>
      <c r="K85" s="270">
        <f t="shared" si="18"/>
        <v>104878</v>
      </c>
      <c r="L85" s="7"/>
      <c r="M85" s="7"/>
      <c r="N85" s="7"/>
      <c r="O85" s="7"/>
      <c r="P85" s="7"/>
      <c r="Q85" s="7"/>
      <c r="R85" s="7"/>
      <c r="S85" s="236"/>
      <c r="T85" s="390">
        <v>330</v>
      </c>
      <c r="U85" s="7">
        <f t="shared" si="16"/>
        <v>330</v>
      </c>
      <c r="V85" s="391"/>
      <c r="W85" s="390"/>
      <c r="X85" s="11"/>
      <c r="Y85" s="391"/>
      <c r="Z85" s="11"/>
      <c r="AA85" s="236"/>
      <c r="AB85" s="390"/>
      <c r="AC85" s="7"/>
      <c r="AD85" s="391"/>
      <c r="AE85" s="11"/>
      <c r="AF85" s="7"/>
      <c r="AG85" s="7"/>
      <c r="AH85" s="7"/>
      <c r="AI85" s="7"/>
      <c r="AJ85" s="7"/>
      <c r="AK85" s="7"/>
      <c r="AL85" s="236"/>
      <c r="AM85" s="390"/>
      <c r="AN85" s="7"/>
      <c r="AO85" s="391"/>
      <c r="AP85" s="11"/>
      <c r="AQ85" s="7"/>
      <c r="AR85" s="7"/>
      <c r="AS85" s="236"/>
      <c r="AT85" s="242">
        <v>330</v>
      </c>
      <c r="AU85" s="7">
        <f>AT85</f>
        <v>330</v>
      </c>
      <c r="AV85" s="11"/>
      <c r="AW85" s="242"/>
      <c r="AX85" s="7"/>
      <c r="AY85" s="11"/>
      <c r="AZ85" s="242"/>
      <c r="BA85" s="11"/>
      <c r="BB85" s="243"/>
      <c r="BC85" s="242"/>
      <c r="BD85" s="11"/>
      <c r="BE85" s="243"/>
      <c r="BF85" s="242"/>
      <c r="BG85" s="11"/>
      <c r="BH85" s="243"/>
      <c r="BI85" s="11"/>
      <c r="BJ85" s="7"/>
    </row>
    <row r="86" spans="1:62" x14ac:dyDescent="0.25">
      <c r="A86" s="71">
        <f t="shared" si="14"/>
        <v>82</v>
      </c>
      <c r="B86" s="1" t="s">
        <v>672</v>
      </c>
      <c r="C86" s="1" t="s">
        <v>1792</v>
      </c>
      <c r="D86" s="1" t="s">
        <v>2191</v>
      </c>
      <c r="E86" s="1" t="s">
        <v>2192</v>
      </c>
      <c r="F86" s="1" t="s">
        <v>2051</v>
      </c>
      <c r="G86" s="273">
        <v>43131</v>
      </c>
      <c r="H86" s="274">
        <v>338882.87</v>
      </c>
      <c r="I86" s="274">
        <v>398685.73</v>
      </c>
      <c r="J86" s="304"/>
      <c r="K86" s="270">
        <f t="shared" si="18"/>
        <v>398685.73</v>
      </c>
      <c r="L86" s="7"/>
      <c r="M86" s="7"/>
      <c r="N86" s="7"/>
      <c r="O86" s="7"/>
      <c r="P86" s="7"/>
      <c r="Q86" s="7"/>
      <c r="R86" s="7"/>
      <c r="S86" s="236"/>
      <c r="T86" s="390">
        <v>310.7</v>
      </c>
      <c r="U86" s="7">
        <f t="shared" si="16"/>
        <v>310.7</v>
      </c>
      <c r="V86" s="391"/>
      <c r="W86" s="390"/>
      <c r="X86" s="11"/>
      <c r="Y86" s="391"/>
      <c r="Z86" s="11"/>
      <c r="AA86" s="236"/>
      <c r="AB86" s="390">
        <v>600</v>
      </c>
      <c r="AC86" s="7">
        <f t="shared" si="15"/>
        <v>600</v>
      </c>
      <c r="AD86" s="391"/>
      <c r="AE86" s="11"/>
      <c r="AF86" s="7"/>
      <c r="AG86" s="7"/>
      <c r="AH86" s="7"/>
      <c r="AI86" s="7"/>
      <c r="AJ86" s="7"/>
      <c r="AK86" s="7"/>
      <c r="AL86" s="236"/>
      <c r="AM86" s="390">
        <v>4</v>
      </c>
      <c r="AN86" s="7">
        <f t="shared" si="17"/>
        <v>4</v>
      </c>
      <c r="AO86" s="391"/>
      <c r="AP86" s="11"/>
      <c r="AQ86" s="7"/>
      <c r="AR86" s="7"/>
      <c r="AS86" s="236"/>
      <c r="AT86" s="242">
        <v>310.7</v>
      </c>
      <c r="AU86" s="7">
        <f>AT86</f>
        <v>310.7</v>
      </c>
      <c r="AV86" s="11"/>
      <c r="AW86" s="242"/>
      <c r="AX86" s="7"/>
      <c r="AY86" s="11"/>
      <c r="AZ86" s="242"/>
      <c r="BA86" s="11"/>
      <c r="BB86" s="243"/>
      <c r="BC86" s="242"/>
      <c r="BD86" s="11"/>
      <c r="BE86" s="243"/>
      <c r="BF86" s="242"/>
      <c r="BG86" s="11"/>
      <c r="BH86" s="243"/>
      <c r="BI86" s="11"/>
      <c r="BJ86" s="7"/>
    </row>
    <row r="87" spans="1:62" x14ac:dyDescent="0.25">
      <c r="A87" s="71">
        <f t="shared" si="14"/>
        <v>83</v>
      </c>
      <c r="B87" s="1" t="s">
        <v>571</v>
      </c>
      <c r="C87" s="1" t="s">
        <v>1792</v>
      </c>
      <c r="D87" s="1" t="s">
        <v>1442</v>
      </c>
      <c r="E87" s="1" t="s">
        <v>2193</v>
      </c>
      <c r="F87" s="1" t="s">
        <v>2051</v>
      </c>
      <c r="G87" s="12">
        <v>43131</v>
      </c>
      <c r="H87" s="271">
        <f t="shared" ref="H87:H97" si="19">I87*0.85</f>
        <v>335035.32</v>
      </c>
      <c r="I87" s="271">
        <v>394159.2</v>
      </c>
      <c r="J87" s="270"/>
      <c r="K87" s="270">
        <f t="shared" si="18"/>
        <v>394159.2</v>
      </c>
      <c r="L87" s="7"/>
      <c r="M87" s="7"/>
      <c r="N87" s="7"/>
      <c r="O87" s="7"/>
      <c r="P87" s="7"/>
      <c r="Q87" s="7"/>
      <c r="R87" s="7"/>
      <c r="S87" s="236"/>
      <c r="T87" s="390">
        <v>454.05</v>
      </c>
      <c r="U87" s="7">
        <f t="shared" si="16"/>
        <v>454.05</v>
      </c>
      <c r="V87" s="391"/>
      <c r="W87" s="390"/>
      <c r="X87" s="11"/>
      <c r="Y87" s="391"/>
      <c r="Z87" s="11"/>
      <c r="AA87" s="236"/>
      <c r="AB87" s="390"/>
      <c r="AC87" s="7"/>
      <c r="AD87" s="391"/>
      <c r="AE87" s="11"/>
      <c r="AF87" s="7"/>
      <c r="AG87" s="7"/>
      <c r="AH87" s="7"/>
      <c r="AI87" s="7"/>
      <c r="AJ87" s="7"/>
      <c r="AK87" s="7"/>
      <c r="AL87" s="236"/>
      <c r="AM87" s="390"/>
      <c r="AN87" s="7"/>
      <c r="AO87" s="391"/>
      <c r="AP87" s="11"/>
      <c r="AQ87" s="7"/>
      <c r="AR87" s="7"/>
      <c r="AS87" s="236"/>
      <c r="AT87" s="242">
        <v>454.05</v>
      </c>
      <c r="AU87" s="7"/>
      <c r="AV87" s="11"/>
      <c r="AW87" s="242"/>
      <c r="AX87" s="7"/>
      <c r="AY87" s="11"/>
      <c r="AZ87" s="242"/>
      <c r="BA87" s="11"/>
      <c r="BB87" s="243"/>
      <c r="BC87" s="242"/>
      <c r="BD87" s="11"/>
      <c r="BE87" s="243"/>
      <c r="BF87" s="242"/>
      <c r="BG87" s="11"/>
      <c r="BH87" s="243"/>
      <c r="BI87" s="11"/>
      <c r="BJ87" s="7"/>
    </row>
    <row r="88" spans="1:62" x14ac:dyDescent="0.25">
      <c r="A88" s="71">
        <f t="shared" si="14"/>
        <v>84</v>
      </c>
      <c r="B88" s="1" t="s">
        <v>687</v>
      </c>
      <c r="C88" s="1" t="s">
        <v>1792</v>
      </c>
      <c r="D88" s="1" t="s">
        <v>2194</v>
      </c>
      <c r="E88" s="1" t="s">
        <v>2195</v>
      </c>
      <c r="F88" s="1" t="s">
        <v>2051</v>
      </c>
      <c r="G88" s="12">
        <v>43131</v>
      </c>
      <c r="H88" s="271">
        <f t="shared" si="19"/>
        <v>365208.11</v>
      </c>
      <c r="I88" s="271">
        <v>429656.6</v>
      </c>
      <c r="J88" s="270"/>
      <c r="K88" s="270">
        <f t="shared" si="18"/>
        <v>429656.6</v>
      </c>
      <c r="L88" s="7"/>
      <c r="M88" s="7"/>
      <c r="N88" s="7"/>
      <c r="O88" s="7"/>
      <c r="P88" s="7"/>
      <c r="Q88" s="7"/>
      <c r="R88" s="7"/>
      <c r="S88" s="236"/>
      <c r="T88" s="390">
        <v>150</v>
      </c>
      <c r="U88" s="7">
        <f t="shared" si="16"/>
        <v>150</v>
      </c>
      <c r="V88" s="391"/>
      <c r="W88" s="390"/>
      <c r="X88" s="11"/>
      <c r="Y88" s="391"/>
      <c r="Z88" s="11"/>
      <c r="AA88" s="236"/>
      <c r="AB88" s="390"/>
      <c r="AC88" s="7"/>
      <c r="AD88" s="391"/>
      <c r="AE88" s="11"/>
      <c r="AF88" s="7"/>
      <c r="AG88" s="7"/>
      <c r="AH88" s="7"/>
      <c r="AI88" s="7"/>
      <c r="AJ88" s="7"/>
      <c r="AK88" s="7"/>
      <c r="AL88" s="236"/>
      <c r="AM88" s="390"/>
      <c r="AN88" s="7"/>
      <c r="AO88" s="391"/>
      <c r="AP88" s="11"/>
      <c r="AQ88" s="7"/>
      <c r="AR88" s="7"/>
      <c r="AS88" s="236"/>
      <c r="AT88" s="242">
        <v>150</v>
      </c>
      <c r="AU88" s="7"/>
      <c r="AV88" s="11"/>
      <c r="AW88" s="242"/>
      <c r="AX88" s="7"/>
      <c r="AY88" s="11"/>
      <c r="AZ88" s="242"/>
      <c r="BA88" s="11"/>
      <c r="BB88" s="243"/>
      <c r="BC88" s="242"/>
      <c r="BD88" s="11"/>
      <c r="BE88" s="243"/>
      <c r="BF88" s="242"/>
      <c r="BG88" s="11"/>
      <c r="BH88" s="243"/>
      <c r="BI88" s="11"/>
      <c r="BJ88" s="7"/>
    </row>
    <row r="89" spans="1:62" ht="25.5" x14ac:dyDescent="0.25">
      <c r="A89" s="71">
        <f t="shared" si="14"/>
        <v>85</v>
      </c>
      <c r="B89" s="1" t="s">
        <v>579</v>
      </c>
      <c r="C89" s="1" t="s">
        <v>1792</v>
      </c>
      <c r="D89" s="1" t="s">
        <v>2196</v>
      </c>
      <c r="E89" s="1" t="s">
        <v>2197</v>
      </c>
      <c r="F89" s="1" t="s">
        <v>2051</v>
      </c>
      <c r="G89" s="12">
        <v>43131</v>
      </c>
      <c r="H89" s="271">
        <f t="shared" si="19"/>
        <v>198567.39500000002</v>
      </c>
      <c r="I89" s="271">
        <v>233608.7</v>
      </c>
      <c r="J89" s="270"/>
      <c r="K89" s="270">
        <f t="shared" si="18"/>
        <v>233608.7</v>
      </c>
      <c r="L89" s="7"/>
      <c r="M89" s="7"/>
      <c r="N89" s="7"/>
      <c r="O89" s="7"/>
      <c r="P89" s="7"/>
      <c r="Q89" s="7"/>
      <c r="R89" s="7"/>
      <c r="S89" s="236"/>
      <c r="T89" s="390">
        <v>68</v>
      </c>
      <c r="U89" s="7">
        <f t="shared" si="16"/>
        <v>68</v>
      </c>
      <c r="V89" s="391"/>
      <c r="W89" s="390"/>
      <c r="X89" s="11"/>
      <c r="Y89" s="391"/>
      <c r="Z89" s="11"/>
      <c r="AA89" s="236"/>
      <c r="AB89" s="390"/>
      <c r="AC89" s="7"/>
      <c r="AD89" s="391"/>
      <c r="AE89" s="11"/>
      <c r="AF89" s="7"/>
      <c r="AG89" s="7"/>
      <c r="AH89" s="7"/>
      <c r="AI89" s="7"/>
      <c r="AJ89" s="7"/>
      <c r="AK89" s="7"/>
      <c r="AL89" s="236"/>
      <c r="AM89" s="390"/>
      <c r="AN89" s="7"/>
      <c r="AO89" s="391"/>
      <c r="AP89" s="11"/>
      <c r="AQ89" s="7"/>
      <c r="AR89" s="7"/>
      <c r="AS89" s="236"/>
      <c r="AT89" s="242">
        <v>68</v>
      </c>
      <c r="AU89" s="7">
        <f t="shared" ref="AU89:AU116" si="20">AT89</f>
        <v>68</v>
      </c>
      <c r="AV89" s="11"/>
      <c r="AW89" s="242"/>
      <c r="AX89" s="7"/>
      <c r="AY89" s="11"/>
      <c r="AZ89" s="242"/>
      <c r="BA89" s="11"/>
      <c r="BB89" s="243"/>
      <c r="BC89" s="242"/>
      <c r="BD89" s="11"/>
      <c r="BE89" s="243"/>
      <c r="BF89" s="242"/>
      <c r="BG89" s="11"/>
      <c r="BH89" s="243"/>
      <c r="BI89" s="11"/>
      <c r="BJ89" s="7"/>
    </row>
    <row r="90" spans="1:62" x14ac:dyDescent="0.25">
      <c r="A90" s="71">
        <f t="shared" si="14"/>
        <v>86</v>
      </c>
      <c r="B90" s="1" t="s">
        <v>631</v>
      </c>
      <c r="C90" s="1" t="s">
        <v>1792</v>
      </c>
      <c r="D90" s="1" t="s">
        <v>2198</v>
      </c>
      <c r="E90" s="1" t="s">
        <v>2199</v>
      </c>
      <c r="F90" s="1" t="s">
        <v>2051</v>
      </c>
      <c r="G90" s="12">
        <v>43131</v>
      </c>
      <c r="H90" s="271">
        <f t="shared" si="19"/>
        <v>239504.823</v>
      </c>
      <c r="I90" s="271">
        <v>281770.38</v>
      </c>
      <c r="J90" s="270"/>
      <c r="K90" s="270">
        <f t="shared" si="18"/>
        <v>281770.38</v>
      </c>
      <c r="L90" s="7"/>
      <c r="M90" s="7"/>
      <c r="N90" s="7"/>
      <c r="O90" s="7"/>
      <c r="P90" s="7"/>
      <c r="Q90" s="7"/>
      <c r="R90" s="7"/>
      <c r="S90" s="236"/>
      <c r="T90" s="390">
        <v>100</v>
      </c>
      <c r="U90" s="7">
        <f t="shared" si="16"/>
        <v>100</v>
      </c>
      <c r="V90" s="391"/>
      <c r="W90" s="390"/>
      <c r="X90" s="11"/>
      <c r="Y90" s="391"/>
      <c r="Z90" s="11"/>
      <c r="AA90" s="236"/>
      <c r="AB90" s="390"/>
      <c r="AC90" s="7"/>
      <c r="AD90" s="391"/>
      <c r="AE90" s="11"/>
      <c r="AF90" s="7"/>
      <c r="AG90" s="7"/>
      <c r="AH90" s="7"/>
      <c r="AI90" s="7"/>
      <c r="AJ90" s="7"/>
      <c r="AK90" s="7"/>
      <c r="AL90" s="236"/>
      <c r="AM90" s="390"/>
      <c r="AN90" s="7"/>
      <c r="AO90" s="391"/>
      <c r="AP90" s="11"/>
      <c r="AQ90" s="7"/>
      <c r="AR90" s="7"/>
      <c r="AS90" s="236"/>
      <c r="AT90" s="242">
        <v>100</v>
      </c>
      <c r="AU90" s="7">
        <f t="shared" si="20"/>
        <v>100</v>
      </c>
      <c r="AV90" s="11"/>
      <c r="AW90" s="242"/>
      <c r="AX90" s="7"/>
      <c r="AY90" s="11"/>
      <c r="AZ90" s="242"/>
      <c r="BA90" s="11"/>
      <c r="BB90" s="243"/>
      <c r="BC90" s="242"/>
      <c r="BD90" s="11"/>
      <c r="BE90" s="243"/>
      <c r="BF90" s="242"/>
      <c r="BG90" s="11"/>
      <c r="BH90" s="243"/>
      <c r="BI90" s="11"/>
      <c r="BJ90" s="7"/>
    </row>
    <row r="91" spans="1:62" x14ac:dyDescent="0.25">
      <c r="A91" s="71">
        <f t="shared" si="14"/>
        <v>87</v>
      </c>
      <c r="B91" s="1" t="s">
        <v>632</v>
      </c>
      <c r="C91" s="1" t="s">
        <v>1792</v>
      </c>
      <c r="D91" s="1" t="s">
        <v>2200</v>
      </c>
      <c r="E91" s="1" t="s">
        <v>2201</v>
      </c>
      <c r="F91" s="1" t="s">
        <v>2051</v>
      </c>
      <c r="G91" s="12">
        <v>43131</v>
      </c>
      <c r="H91" s="271">
        <f t="shared" si="19"/>
        <v>362246.81199999998</v>
      </c>
      <c r="I91" s="271">
        <v>426172.72</v>
      </c>
      <c r="J91" s="270"/>
      <c r="K91" s="270">
        <f t="shared" si="18"/>
        <v>426172.72</v>
      </c>
      <c r="L91" s="7"/>
      <c r="M91" s="7"/>
      <c r="N91" s="7"/>
      <c r="O91" s="7"/>
      <c r="P91" s="7"/>
      <c r="Q91" s="7"/>
      <c r="R91" s="7"/>
      <c r="S91" s="236"/>
      <c r="T91" s="390">
        <v>125</v>
      </c>
      <c r="U91" s="7">
        <f t="shared" si="16"/>
        <v>125</v>
      </c>
      <c r="V91" s="391"/>
      <c r="W91" s="390"/>
      <c r="X91" s="11"/>
      <c r="Y91" s="391"/>
      <c r="Z91" s="11"/>
      <c r="AA91" s="236"/>
      <c r="AB91" s="390"/>
      <c r="AC91" s="7"/>
      <c r="AD91" s="391"/>
      <c r="AE91" s="11"/>
      <c r="AF91" s="7"/>
      <c r="AG91" s="7"/>
      <c r="AH91" s="7"/>
      <c r="AI91" s="7"/>
      <c r="AJ91" s="7"/>
      <c r="AK91" s="7"/>
      <c r="AL91" s="236"/>
      <c r="AM91" s="390"/>
      <c r="AN91" s="7"/>
      <c r="AO91" s="391"/>
      <c r="AP91" s="11"/>
      <c r="AQ91" s="7"/>
      <c r="AR91" s="7"/>
      <c r="AS91" s="236"/>
      <c r="AT91" s="242">
        <v>125</v>
      </c>
      <c r="AU91" s="7">
        <f t="shared" si="20"/>
        <v>125</v>
      </c>
      <c r="AV91" s="11"/>
      <c r="AW91" s="242"/>
      <c r="AX91" s="7"/>
      <c r="AY91" s="11"/>
      <c r="AZ91" s="242"/>
      <c r="BA91" s="11"/>
      <c r="BB91" s="243"/>
      <c r="BC91" s="242"/>
      <c r="BD91" s="11"/>
      <c r="BE91" s="243"/>
      <c r="BF91" s="242"/>
      <c r="BG91" s="11"/>
      <c r="BH91" s="243"/>
      <c r="BI91" s="11"/>
      <c r="BJ91" s="7"/>
    </row>
    <row r="92" spans="1:62" x14ac:dyDescent="0.25">
      <c r="A92" s="71">
        <f t="shared" si="14"/>
        <v>88</v>
      </c>
      <c r="B92" s="1" t="s">
        <v>591</v>
      </c>
      <c r="C92" s="1" t="s">
        <v>1792</v>
      </c>
      <c r="D92" s="1" t="s">
        <v>2202</v>
      </c>
      <c r="E92" s="1" t="s">
        <v>2203</v>
      </c>
      <c r="F92" s="1" t="s">
        <v>2051</v>
      </c>
      <c r="G92" s="12">
        <v>43131</v>
      </c>
      <c r="H92" s="271">
        <f t="shared" si="19"/>
        <v>215024.72099999999</v>
      </c>
      <c r="I92" s="271">
        <v>252970.26</v>
      </c>
      <c r="J92" s="270"/>
      <c r="K92" s="270">
        <f t="shared" si="18"/>
        <v>252970.26</v>
      </c>
      <c r="L92" s="7"/>
      <c r="M92" s="7"/>
      <c r="N92" s="7"/>
      <c r="O92" s="7"/>
      <c r="P92" s="7"/>
      <c r="Q92" s="7"/>
      <c r="R92" s="7"/>
      <c r="S92" s="236"/>
      <c r="T92" s="390">
        <v>199.46</v>
      </c>
      <c r="U92" s="7">
        <f t="shared" si="16"/>
        <v>199.46</v>
      </c>
      <c r="V92" s="391"/>
      <c r="W92" s="390"/>
      <c r="X92" s="11"/>
      <c r="Y92" s="391"/>
      <c r="Z92" s="11"/>
      <c r="AA92" s="236"/>
      <c r="AB92" s="390">
        <v>500</v>
      </c>
      <c r="AC92" s="7">
        <f t="shared" si="15"/>
        <v>500</v>
      </c>
      <c r="AD92" s="391"/>
      <c r="AE92" s="11"/>
      <c r="AF92" s="7"/>
      <c r="AG92" s="7"/>
      <c r="AH92" s="7"/>
      <c r="AI92" s="7"/>
      <c r="AJ92" s="7"/>
      <c r="AK92" s="7"/>
      <c r="AL92" s="236"/>
      <c r="AM92" s="390">
        <v>4</v>
      </c>
      <c r="AN92" s="7">
        <f t="shared" si="17"/>
        <v>4</v>
      </c>
      <c r="AO92" s="391"/>
      <c r="AP92" s="11"/>
      <c r="AQ92" s="7"/>
      <c r="AR92" s="7"/>
      <c r="AS92" s="236"/>
      <c r="AT92" s="242">
        <v>199.46</v>
      </c>
      <c r="AU92" s="7">
        <f t="shared" si="20"/>
        <v>199.46</v>
      </c>
      <c r="AV92" s="11"/>
      <c r="AW92" s="242"/>
      <c r="AX92" s="7"/>
      <c r="AY92" s="11"/>
      <c r="AZ92" s="242"/>
      <c r="BA92" s="11"/>
      <c r="BB92" s="243"/>
      <c r="BC92" s="242"/>
      <c r="BD92" s="11"/>
      <c r="BE92" s="243"/>
      <c r="BF92" s="242"/>
      <c r="BG92" s="11"/>
      <c r="BH92" s="243"/>
      <c r="BI92" s="11"/>
      <c r="BJ92" s="7"/>
    </row>
    <row r="93" spans="1:62" ht="25.5" x14ac:dyDescent="0.25">
      <c r="A93" s="71">
        <f t="shared" si="14"/>
        <v>89</v>
      </c>
      <c r="B93" s="1" t="s">
        <v>636</v>
      </c>
      <c r="C93" s="1" t="s">
        <v>1792</v>
      </c>
      <c r="D93" s="1" t="s">
        <v>959</v>
      </c>
      <c r="E93" s="1" t="s">
        <v>2204</v>
      </c>
      <c r="F93" s="1" t="s">
        <v>2051</v>
      </c>
      <c r="G93" s="12">
        <v>43131</v>
      </c>
      <c r="H93" s="271">
        <f t="shared" si="19"/>
        <v>501285.54499999993</v>
      </c>
      <c r="I93" s="271">
        <v>589747.69999999995</v>
      </c>
      <c r="J93" s="270"/>
      <c r="K93" s="270">
        <f t="shared" si="18"/>
        <v>589747.69999999995</v>
      </c>
      <c r="L93" s="7"/>
      <c r="M93" s="7"/>
      <c r="N93" s="7"/>
      <c r="O93" s="7"/>
      <c r="P93" s="7"/>
      <c r="Q93" s="7"/>
      <c r="R93" s="7"/>
      <c r="S93" s="236"/>
      <c r="T93" s="390">
        <v>165.81</v>
      </c>
      <c r="U93" s="7">
        <f t="shared" si="16"/>
        <v>165.81</v>
      </c>
      <c r="V93" s="391"/>
      <c r="W93" s="390"/>
      <c r="X93" s="11"/>
      <c r="Y93" s="391"/>
      <c r="Z93" s="11"/>
      <c r="AA93" s="236"/>
      <c r="AB93" s="390">
        <v>1500</v>
      </c>
      <c r="AC93" s="7">
        <f t="shared" si="15"/>
        <v>1500</v>
      </c>
      <c r="AD93" s="391"/>
      <c r="AE93" s="11"/>
      <c r="AF93" s="7"/>
      <c r="AG93" s="7"/>
      <c r="AH93" s="7"/>
      <c r="AI93" s="7"/>
      <c r="AJ93" s="7"/>
      <c r="AK93" s="7"/>
      <c r="AL93" s="236"/>
      <c r="AM93" s="390">
        <v>1</v>
      </c>
      <c r="AN93" s="7">
        <f t="shared" si="17"/>
        <v>1</v>
      </c>
      <c r="AO93" s="391"/>
      <c r="AP93" s="11"/>
      <c r="AQ93" s="7"/>
      <c r="AR93" s="7"/>
      <c r="AS93" s="236"/>
      <c r="AT93" s="242">
        <v>165.81</v>
      </c>
      <c r="AU93" s="7">
        <f t="shared" si="20"/>
        <v>165.81</v>
      </c>
      <c r="AV93" s="11"/>
      <c r="AW93" s="242"/>
      <c r="AX93" s="7"/>
      <c r="AY93" s="11"/>
      <c r="AZ93" s="242"/>
      <c r="BA93" s="11"/>
      <c r="BB93" s="243"/>
      <c r="BC93" s="242"/>
      <c r="BD93" s="11"/>
      <c r="BE93" s="243"/>
      <c r="BF93" s="242"/>
      <c r="BG93" s="11"/>
      <c r="BH93" s="243"/>
      <c r="BI93" s="11"/>
      <c r="BJ93" s="7"/>
    </row>
    <row r="94" spans="1:62" x14ac:dyDescent="0.25">
      <c r="A94" s="71">
        <f t="shared" si="14"/>
        <v>90</v>
      </c>
      <c r="B94" s="1" t="s">
        <v>604</v>
      </c>
      <c r="C94" s="1" t="s">
        <v>1792</v>
      </c>
      <c r="D94" s="1" t="s">
        <v>2205</v>
      </c>
      <c r="E94" s="1" t="s">
        <v>2206</v>
      </c>
      <c r="F94" s="1" t="s">
        <v>2051</v>
      </c>
      <c r="G94" s="12">
        <v>43131</v>
      </c>
      <c r="H94" s="271">
        <f t="shared" si="19"/>
        <v>376325.34499999997</v>
      </c>
      <c r="I94" s="271">
        <v>442735.7</v>
      </c>
      <c r="J94" s="270"/>
      <c r="K94" s="270">
        <f t="shared" si="18"/>
        <v>442735.7</v>
      </c>
      <c r="L94" s="7"/>
      <c r="M94" s="7"/>
      <c r="N94" s="7"/>
      <c r="O94" s="7"/>
      <c r="P94" s="7"/>
      <c r="Q94" s="7"/>
      <c r="R94" s="7"/>
      <c r="S94" s="236"/>
      <c r="T94" s="390">
        <v>294.7</v>
      </c>
      <c r="U94" s="7">
        <f>T94</f>
        <v>294.7</v>
      </c>
      <c r="V94" s="391"/>
      <c r="W94" s="390"/>
      <c r="X94" s="11"/>
      <c r="Y94" s="391"/>
      <c r="Z94" s="11"/>
      <c r="AA94" s="236"/>
      <c r="AB94" s="390">
        <v>600</v>
      </c>
      <c r="AC94" s="7">
        <f t="shared" si="15"/>
        <v>600</v>
      </c>
      <c r="AD94" s="391"/>
      <c r="AE94" s="11"/>
      <c r="AF94" s="7"/>
      <c r="AG94" s="7"/>
      <c r="AH94" s="7"/>
      <c r="AI94" s="7"/>
      <c r="AJ94" s="7"/>
      <c r="AK94" s="7"/>
      <c r="AL94" s="236"/>
      <c r="AM94" s="390">
        <v>1</v>
      </c>
      <c r="AN94" s="7">
        <f t="shared" si="17"/>
        <v>1</v>
      </c>
      <c r="AO94" s="391"/>
      <c r="AP94" s="11"/>
      <c r="AQ94" s="7"/>
      <c r="AR94" s="7"/>
      <c r="AS94" s="236"/>
      <c r="AT94" s="242">
        <v>294.7</v>
      </c>
      <c r="AU94" s="7">
        <f t="shared" si="20"/>
        <v>294.7</v>
      </c>
      <c r="AV94" s="11"/>
      <c r="AW94" s="242"/>
      <c r="AX94" s="7"/>
      <c r="AY94" s="11"/>
      <c r="AZ94" s="242"/>
      <c r="BA94" s="11"/>
      <c r="BB94" s="243"/>
      <c r="BC94" s="242"/>
      <c r="BD94" s="11"/>
      <c r="BE94" s="243"/>
      <c r="BF94" s="242"/>
      <c r="BG94" s="11"/>
      <c r="BH94" s="243"/>
      <c r="BI94" s="11"/>
      <c r="BJ94" s="7"/>
    </row>
    <row r="95" spans="1:62" ht="25.5" x14ac:dyDescent="0.25">
      <c r="A95" s="71">
        <f t="shared" si="14"/>
        <v>91</v>
      </c>
      <c r="B95" s="1" t="s">
        <v>640</v>
      </c>
      <c r="C95" s="1" t="s">
        <v>1792</v>
      </c>
      <c r="D95" s="1" t="s">
        <v>1050</v>
      </c>
      <c r="E95" s="1" t="s">
        <v>2207</v>
      </c>
      <c r="F95" s="1" t="s">
        <v>2051</v>
      </c>
      <c r="G95" s="12">
        <v>43131</v>
      </c>
      <c r="H95" s="271">
        <f t="shared" si="19"/>
        <v>414161.82</v>
      </c>
      <c r="I95" s="271">
        <v>487249.2</v>
      </c>
      <c r="J95" s="270"/>
      <c r="K95" s="270">
        <f t="shared" si="18"/>
        <v>487249.2</v>
      </c>
      <c r="L95" s="7"/>
      <c r="M95" s="7"/>
      <c r="N95" s="7"/>
      <c r="O95" s="7"/>
      <c r="P95" s="7"/>
      <c r="Q95" s="7"/>
      <c r="R95" s="7"/>
      <c r="S95" s="236"/>
      <c r="T95" s="390">
        <v>655.22</v>
      </c>
      <c r="U95" s="7">
        <f t="shared" ref="U95:U108" si="21">T95</f>
        <v>655.22</v>
      </c>
      <c r="V95" s="391"/>
      <c r="W95" s="390"/>
      <c r="X95" s="11"/>
      <c r="Y95" s="391"/>
      <c r="Z95" s="11"/>
      <c r="AA95" s="236"/>
      <c r="AB95" s="390"/>
      <c r="AC95" s="7"/>
      <c r="AD95" s="391"/>
      <c r="AE95" s="11"/>
      <c r="AF95" s="7"/>
      <c r="AG95" s="7"/>
      <c r="AH95" s="7"/>
      <c r="AI95" s="7"/>
      <c r="AJ95" s="7"/>
      <c r="AK95" s="7"/>
      <c r="AL95" s="236"/>
      <c r="AM95" s="390"/>
      <c r="AN95" s="7"/>
      <c r="AO95" s="391"/>
      <c r="AP95" s="11"/>
      <c r="AQ95" s="7"/>
      <c r="AR95" s="7"/>
      <c r="AS95" s="236"/>
      <c r="AT95" s="242">
        <v>655.22</v>
      </c>
      <c r="AU95" s="7">
        <f t="shared" si="20"/>
        <v>655.22</v>
      </c>
      <c r="AV95" s="11"/>
      <c r="AW95" s="242"/>
      <c r="AX95" s="7"/>
      <c r="AY95" s="11"/>
      <c r="AZ95" s="242"/>
      <c r="BA95" s="11"/>
      <c r="BB95" s="243"/>
      <c r="BC95" s="242"/>
      <c r="BD95" s="11"/>
      <c r="BE95" s="243"/>
      <c r="BF95" s="242"/>
      <c r="BG95" s="11"/>
      <c r="BH95" s="243"/>
      <c r="BI95" s="11"/>
      <c r="BJ95" s="7"/>
    </row>
    <row r="96" spans="1:62" x14ac:dyDescent="0.25">
      <c r="A96" s="71">
        <f t="shared" si="14"/>
        <v>92</v>
      </c>
      <c r="B96" s="1" t="s">
        <v>652</v>
      </c>
      <c r="C96" s="1" t="s">
        <v>1792</v>
      </c>
      <c r="D96" s="1" t="s">
        <v>2208</v>
      </c>
      <c r="E96" s="1" t="s">
        <v>2209</v>
      </c>
      <c r="F96" s="1" t="s">
        <v>2051</v>
      </c>
      <c r="G96" s="12">
        <v>43131</v>
      </c>
      <c r="H96" s="271">
        <f t="shared" si="19"/>
        <v>345406.22100000002</v>
      </c>
      <c r="I96" s="271">
        <v>406360.26</v>
      </c>
      <c r="J96" s="270"/>
      <c r="K96" s="270">
        <f t="shared" si="18"/>
        <v>406360.26</v>
      </c>
      <c r="L96" s="7"/>
      <c r="M96" s="7"/>
      <c r="N96" s="7"/>
      <c r="O96" s="7"/>
      <c r="P96" s="7"/>
      <c r="Q96" s="7"/>
      <c r="R96" s="7"/>
      <c r="S96" s="236"/>
      <c r="T96" s="390">
        <v>120</v>
      </c>
      <c r="U96" s="7">
        <f t="shared" si="21"/>
        <v>120</v>
      </c>
      <c r="V96" s="391"/>
      <c r="W96" s="390"/>
      <c r="X96" s="11"/>
      <c r="Y96" s="391"/>
      <c r="Z96" s="11"/>
      <c r="AA96" s="236"/>
      <c r="AB96" s="390"/>
      <c r="AC96" s="7"/>
      <c r="AD96" s="391"/>
      <c r="AE96" s="11"/>
      <c r="AF96" s="7"/>
      <c r="AG96" s="7"/>
      <c r="AH96" s="7"/>
      <c r="AI96" s="7"/>
      <c r="AJ96" s="7"/>
      <c r="AK96" s="7"/>
      <c r="AL96" s="236"/>
      <c r="AM96" s="390"/>
      <c r="AN96" s="7"/>
      <c r="AO96" s="391"/>
      <c r="AP96" s="11"/>
      <c r="AQ96" s="7"/>
      <c r="AR96" s="7"/>
      <c r="AS96" s="236"/>
      <c r="AT96" s="242">
        <v>120</v>
      </c>
      <c r="AU96" s="7">
        <f t="shared" si="20"/>
        <v>120</v>
      </c>
      <c r="AV96" s="11"/>
      <c r="AW96" s="242"/>
      <c r="AX96" s="7"/>
      <c r="AY96" s="11"/>
      <c r="AZ96" s="242"/>
      <c r="BA96" s="11"/>
      <c r="BB96" s="243"/>
      <c r="BC96" s="242"/>
      <c r="BD96" s="11"/>
      <c r="BE96" s="243"/>
      <c r="BF96" s="242"/>
      <c r="BG96" s="11"/>
      <c r="BH96" s="243"/>
      <c r="BI96" s="11"/>
      <c r="BJ96" s="7"/>
    </row>
    <row r="97" spans="1:62" x14ac:dyDescent="0.25">
      <c r="A97" s="71">
        <f t="shared" si="14"/>
        <v>93</v>
      </c>
      <c r="B97" s="1" t="s">
        <v>611</v>
      </c>
      <c r="C97" s="1" t="s">
        <v>1792</v>
      </c>
      <c r="D97" s="1" t="s">
        <v>2210</v>
      </c>
      <c r="E97" s="1" t="s">
        <v>2211</v>
      </c>
      <c r="F97" s="1" t="s">
        <v>2051</v>
      </c>
      <c r="G97" s="12">
        <v>43131</v>
      </c>
      <c r="H97" s="271">
        <f t="shared" si="19"/>
        <v>211321.14349999998</v>
      </c>
      <c r="I97" s="271">
        <v>248613.11</v>
      </c>
      <c r="J97" s="270"/>
      <c r="K97" s="270">
        <f t="shared" si="18"/>
        <v>248613.11</v>
      </c>
      <c r="L97" s="7"/>
      <c r="M97" s="7"/>
      <c r="N97" s="7"/>
      <c r="O97" s="7"/>
      <c r="P97" s="7"/>
      <c r="Q97" s="7"/>
      <c r="R97" s="7"/>
      <c r="S97" s="236"/>
      <c r="T97" s="390">
        <v>72</v>
      </c>
      <c r="U97" s="7">
        <f t="shared" si="21"/>
        <v>72</v>
      </c>
      <c r="V97" s="391"/>
      <c r="W97" s="390"/>
      <c r="X97" s="11"/>
      <c r="Y97" s="391"/>
      <c r="Z97" s="11"/>
      <c r="AA97" s="236"/>
      <c r="AB97" s="390"/>
      <c r="AC97" s="7"/>
      <c r="AD97" s="391"/>
      <c r="AE97" s="11"/>
      <c r="AF97" s="7"/>
      <c r="AG97" s="7"/>
      <c r="AH97" s="7"/>
      <c r="AI97" s="7"/>
      <c r="AJ97" s="7"/>
      <c r="AK97" s="7"/>
      <c r="AL97" s="236"/>
      <c r="AM97" s="390"/>
      <c r="AN97" s="7"/>
      <c r="AO97" s="391"/>
      <c r="AP97" s="11"/>
      <c r="AQ97" s="7"/>
      <c r="AR97" s="7"/>
      <c r="AS97" s="236"/>
      <c r="AT97" s="242">
        <v>72</v>
      </c>
      <c r="AU97" s="7">
        <f t="shared" si="20"/>
        <v>72</v>
      </c>
      <c r="AV97" s="11"/>
      <c r="AW97" s="242"/>
      <c r="AX97" s="7"/>
      <c r="AY97" s="11"/>
      <c r="AZ97" s="242"/>
      <c r="BA97" s="11"/>
      <c r="BB97" s="243"/>
      <c r="BC97" s="242"/>
      <c r="BD97" s="11"/>
      <c r="BE97" s="243"/>
      <c r="BF97" s="242"/>
      <c r="BG97" s="11"/>
      <c r="BH97" s="243"/>
      <c r="BI97" s="11"/>
      <c r="BJ97" s="7"/>
    </row>
    <row r="98" spans="1:62" x14ac:dyDescent="0.25">
      <c r="A98" s="71">
        <f t="shared" si="14"/>
        <v>94</v>
      </c>
      <c r="B98" s="1" t="s">
        <v>620</v>
      </c>
      <c r="C98" s="1" t="s">
        <v>1792</v>
      </c>
      <c r="D98" s="1" t="s">
        <v>2212</v>
      </c>
      <c r="E98" s="1" t="s">
        <v>2213</v>
      </c>
      <c r="F98" s="1" t="s">
        <v>2051</v>
      </c>
      <c r="G98" s="273">
        <v>43159</v>
      </c>
      <c r="H98" s="274">
        <v>140899.74</v>
      </c>
      <c r="I98" s="274">
        <v>165764.4</v>
      </c>
      <c r="J98" s="304"/>
      <c r="K98" s="270">
        <f t="shared" si="18"/>
        <v>165764.4</v>
      </c>
      <c r="L98" s="7"/>
      <c r="M98" s="7"/>
      <c r="N98" s="7"/>
      <c r="O98" s="7"/>
      <c r="P98" s="7"/>
      <c r="Q98" s="7"/>
      <c r="R98" s="7"/>
      <c r="S98" s="236"/>
      <c r="T98" s="390">
        <v>47.64</v>
      </c>
      <c r="U98" s="7">
        <f t="shared" si="21"/>
        <v>47.64</v>
      </c>
      <c r="V98" s="391"/>
      <c r="W98" s="390"/>
      <c r="X98" s="11"/>
      <c r="Y98" s="391"/>
      <c r="Z98" s="11"/>
      <c r="AA98" s="236"/>
      <c r="AB98" s="390"/>
      <c r="AC98" s="7"/>
      <c r="AD98" s="391"/>
      <c r="AE98" s="11"/>
      <c r="AF98" s="7"/>
      <c r="AG98" s="7"/>
      <c r="AH98" s="7"/>
      <c r="AI98" s="7"/>
      <c r="AJ98" s="7"/>
      <c r="AK98" s="7"/>
      <c r="AL98" s="236"/>
      <c r="AM98" s="390"/>
      <c r="AN98" s="7"/>
      <c r="AO98" s="391"/>
      <c r="AP98" s="11"/>
      <c r="AQ98" s="7"/>
      <c r="AR98" s="7"/>
      <c r="AS98" s="236"/>
      <c r="AT98" s="242">
        <v>47.64</v>
      </c>
      <c r="AU98" s="7">
        <f t="shared" si="20"/>
        <v>47.64</v>
      </c>
      <c r="AV98" s="11"/>
      <c r="AW98" s="242"/>
      <c r="AX98" s="7"/>
      <c r="AY98" s="11"/>
      <c r="AZ98" s="242"/>
      <c r="BA98" s="11"/>
      <c r="BB98" s="243"/>
      <c r="BC98" s="242"/>
      <c r="BD98" s="11"/>
      <c r="BE98" s="243"/>
      <c r="BF98" s="242"/>
      <c r="BG98" s="11"/>
      <c r="BH98" s="243"/>
      <c r="BI98" s="11"/>
      <c r="BJ98" s="7"/>
    </row>
    <row r="99" spans="1:62" x14ac:dyDescent="0.25">
      <c r="A99" s="71">
        <f t="shared" si="14"/>
        <v>95</v>
      </c>
      <c r="B99" s="1" t="s">
        <v>583</v>
      </c>
      <c r="C99" s="1" t="s">
        <v>1792</v>
      </c>
      <c r="D99" s="1" t="s">
        <v>2214</v>
      </c>
      <c r="E99" s="1" t="s">
        <v>2215</v>
      </c>
      <c r="F99" s="1" t="s">
        <v>2051</v>
      </c>
      <c r="G99" s="12">
        <v>43159</v>
      </c>
      <c r="H99" s="271">
        <f t="shared" ref="H99:H115" si="22">I99*0.85</f>
        <v>710018.63399999996</v>
      </c>
      <c r="I99" s="271">
        <v>835316.04</v>
      </c>
      <c r="J99" s="270"/>
      <c r="K99" s="270">
        <f t="shared" si="18"/>
        <v>835316.04</v>
      </c>
      <c r="L99" s="7"/>
      <c r="M99" s="7"/>
      <c r="N99" s="7"/>
      <c r="O99" s="7"/>
      <c r="P99" s="7"/>
      <c r="Q99" s="7"/>
      <c r="R99" s="7"/>
      <c r="S99" s="236"/>
      <c r="T99" s="392">
        <v>776.5</v>
      </c>
      <c r="U99" s="7">
        <f t="shared" si="21"/>
        <v>776.5</v>
      </c>
      <c r="V99" s="391"/>
      <c r="W99" s="390"/>
      <c r="X99" s="11"/>
      <c r="Y99" s="391"/>
      <c r="Z99" s="11"/>
      <c r="AA99" s="236"/>
      <c r="AB99" s="390"/>
      <c r="AC99" s="7"/>
      <c r="AD99" s="391"/>
      <c r="AE99" s="11"/>
      <c r="AF99" s="7"/>
      <c r="AG99" s="7"/>
      <c r="AH99" s="7"/>
      <c r="AI99" s="7"/>
      <c r="AJ99" s="7"/>
      <c r="AK99" s="7"/>
      <c r="AL99" s="236"/>
      <c r="AM99" s="390"/>
      <c r="AN99" s="7"/>
      <c r="AO99" s="391"/>
      <c r="AP99" s="11"/>
      <c r="AQ99" s="7"/>
      <c r="AR99" s="7"/>
      <c r="AS99" s="236"/>
      <c r="AT99" s="244">
        <v>776.5</v>
      </c>
      <c r="AU99" s="7">
        <f t="shared" si="20"/>
        <v>776.5</v>
      </c>
      <c r="AV99" s="11"/>
      <c r="AW99" s="242"/>
      <c r="AX99" s="7"/>
      <c r="AY99" s="11"/>
      <c r="AZ99" s="242"/>
      <c r="BA99" s="11"/>
      <c r="BB99" s="243"/>
      <c r="BC99" s="242"/>
      <c r="BD99" s="11"/>
      <c r="BE99" s="243"/>
      <c r="BF99" s="242"/>
      <c r="BG99" s="11"/>
      <c r="BH99" s="243"/>
      <c r="BI99" s="11"/>
      <c r="BJ99" s="7"/>
    </row>
    <row r="100" spans="1:62" x14ac:dyDescent="0.25">
      <c r="A100" s="71">
        <f t="shared" si="14"/>
        <v>96</v>
      </c>
      <c r="B100" s="1" t="s">
        <v>682</v>
      </c>
      <c r="C100" s="1" t="s">
        <v>1792</v>
      </c>
      <c r="D100" s="1" t="s">
        <v>2216</v>
      </c>
      <c r="E100" s="1" t="s">
        <v>2217</v>
      </c>
      <c r="F100" s="1" t="s">
        <v>2051</v>
      </c>
      <c r="G100" s="12">
        <v>43159</v>
      </c>
      <c r="H100" s="271">
        <f t="shared" si="22"/>
        <v>310207.64449999999</v>
      </c>
      <c r="I100" s="271">
        <v>364950.17</v>
      </c>
      <c r="J100" s="270"/>
      <c r="K100" s="270">
        <f t="shared" si="18"/>
        <v>364950.17</v>
      </c>
      <c r="L100" s="7"/>
      <c r="M100" s="7"/>
      <c r="N100" s="7"/>
      <c r="O100" s="7"/>
      <c r="P100" s="7"/>
      <c r="Q100" s="7"/>
      <c r="R100" s="7"/>
      <c r="S100" s="236"/>
      <c r="T100" s="390">
        <v>332.12</v>
      </c>
      <c r="U100" s="7">
        <f t="shared" si="21"/>
        <v>332.12</v>
      </c>
      <c r="V100" s="391"/>
      <c r="W100" s="390"/>
      <c r="X100" s="11"/>
      <c r="Y100" s="391"/>
      <c r="Z100" s="11"/>
      <c r="AA100" s="236"/>
      <c r="AB100" s="390">
        <v>400</v>
      </c>
      <c r="AC100" s="7">
        <f t="shared" si="15"/>
        <v>400</v>
      </c>
      <c r="AD100" s="391"/>
      <c r="AE100" s="11"/>
      <c r="AF100" s="7"/>
      <c r="AG100" s="7"/>
      <c r="AH100" s="7"/>
      <c r="AI100" s="7"/>
      <c r="AJ100" s="7"/>
      <c r="AK100" s="7"/>
      <c r="AL100" s="236"/>
      <c r="AM100" s="390">
        <v>4</v>
      </c>
      <c r="AN100" s="7">
        <f t="shared" si="17"/>
        <v>4</v>
      </c>
      <c r="AO100" s="391"/>
      <c r="AP100" s="11"/>
      <c r="AQ100" s="7"/>
      <c r="AR100" s="7"/>
      <c r="AS100" s="236"/>
      <c r="AT100" s="242">
        <v>332.12</v>
      </c>
      <c r="AU100" s="7">
        <f t="shared" si="20"/>
        <v>332.12</v>
      </c>
      <c r="AV100" s="11"/>
      <c r="AW100" s="242"/>
      <c r="AX100" s="7"/>
      <c r="AY100" s="11"/>
      <c r="AZ100" s="242"/>
      <c r="BA100" s="11"/>
      <c r="BB100" s="243"/>
      <c r="BC100" s="242"/>
      <c r="BD100" s="11"/>
      <c r="BE100" s="243"/>
      <c r="BF100" s="242"/>
      <c r="BG100" s="11"/>
      <c r="BH100" s="243"/>
      <c r="BI100" s="11"/>
      <c r="BJ100" s="7"/>
    </row>
    <row r="101" spans="1:62" ht="25.5" x14ac:dyDescent="0.25">
      <c r="A101" s="71">
        <f t="shared" si="14"/>
        <v>97</v>
      </c>
      <c r="B101" s="1" t="s">
        <v>633</v>
      </c>
      <c r="C101" s="1" t="s">
        <v>1792</v>
      </c>
      <c r="D101" s="1" t="s">
        <v>913</v>
      </c>
      <c r="E101" s="1" t="s">
        <v>2218</v>
      </c>
      <c r="F101" s="1" t="s">
        <v>2051</v>
      </c>
      <c r="G101" s="12">
        <v>43159</v>
      </c>
      <c r="H101" s="271">
        <f t="shared" si="22"/>
        <v>196894.01699999999</v>
      </c>
      <c r="I101" s="271">
        <v>231640.02</v>
      </c>
      <c r="J101" s="270"/>
      <c r="K101" s="270">
        <f t="shared" si="18"/>
        <v>231640.02</v>
      </c>
      <c r="L101" s="7"/>
      <c r="M101" s="7"/>
      <c r="N101" s="7"/>
      <c r="O101" s="7"/>
      <c r="P101" s="7"/>
      <c r="Q101" s="7"/>
      <c r="R101" s="7"/>
      <c r="S101" s="236"/>
      <c r="T101" s="390">
        <v>185.7</v>
      </c>
      <c r="U101" s="7">
        <f t="shared" si="21"/>
        <v>185.7</v>
      </c>
      <c r="V101" s="391"/>
      <c r="W101" s="390"/>
      <c r="X101" s="11"/>
      <c r="Y101" s="391"/>
      <c r="Z101" s="11"/>
      <c r="AA101" s="236"/>
      <c r="AB101" s="390">
        <v>250</v>
      </c>
      <c r="AC101" s="7">
        <f t="shared" si="15"/>
        <v>250</v>
      </c>
      <c r="AD101" s="391"/>
      <c r="AE101" s="11"/>
      <c r="AF101" s="7"/>
      <c r="AG101" s="7"/>
      <c r="AH101" s="7"/>
      <c r="AI101" s="7"/>
      <c r="AJ101" s="7"/>
      <c r="AK101" s="7"/>
      <c r="AL101" s="236"/>
      <c r="AM101" s="390">
        <v>3</v>
      </c>
      <c r="AN101" s="7">
        <f t="shared" si="17"/>
        <v>3</v>
      </c>
      <c r="AO101" s="391"/>
      <c r="AP101" s="11"/>
      <c r="AQ101" s="7"/>
      <c r="AR101" s="7"/>
      <c r="AS101" s="236"/>
      <c r="AT101" s="242">
        <v>185.7</v>
      </c>
      <c r="AU101" s="7">
        <f t="shared" si="20"/>
        <v>185.7</v>
      </c>
      <c r="AV101" s="11"/>
      <c r="AW101" s="242"/>
      <c r="AX101" s="7"/>
      <c r="AY101" s="11"/>
      <c r="AZ101" s="242"/>
      <c r="BA101" s="11"/>
      <c r="BB101" s="243"/>
      <c r="BC101" s="242"/>
      <c r="BD101" s="11"/>
      <c r="BE101" s="243"/>
      <c r="BF101" s="242"/>
      <c r="BG101" s="11"/>
      <c r="BH101" s="243"/>
      <c r="BI101" s="11"/>
      <c r="BJ101" s="7"/>
    </row>
    <row r="102" spans="1:62" ht="25.5" x14ac:dyDescent="0.25">
      <c r="A102" s="71">
        <f t="shared" si="14"/>
        <v>98</v>
      </c>
      <c r="B102" s="1" t="s">
        <v>595</v>
      </c>
      <c r="C102" s="1" t="s">
        <v>1792</v>
      </c>
      <c r="D102" s="1" t="s">
        <v>2219</v>
      </c>
      <c r="E102" s="1" t="s">
        <v>2220</v>
      </c>
      <c r="F102" s="1" t="s">
        <v>2051</v>
      </c>
      <c r="G102" s="12">
        <v>43159</v>
      </c>
      <c r="H102" s="271">
        <f t="shared" si="22"/>
        <v>240844.1</v>
      </c>
      <c r="I102" s="271">
        <v>283346</v>
      </c>
      <c r="J102" s="270"/>
      <c r="K102" s="270">
        <f t="shared" si="18"/>
        <v>283346</v>
      </c>
      <c r="L102" s="7"/>
      <c r="M102" s="7"/>
      <c r="N102" s="7"/>
      <c r="O102" s="7"/>
      <c r="P102" s="7"/>
      <c r="Q102" s="7"/>
      <c r="R102" s="7"/>
      <c r="S102" s="236"/>
      <c r="T102" s="390">
        <v>78</v>
      </c>
      <c r="U102" s="7">
        <f t="shared" si="21"/>
        <v>78</v>
      </c>
      <c r="V102" s="391"/>
      <c r="W102" s="390"/>
      <c r="X102" s="11"/>
      <c r="Y102" s="391"/>
      <c r="Z102" s="11"/>
      <c r="AA102" s="236"/>
      <c r="AB102" s="390"/>
      <c r="AC102" s="7"/>
      <c r="AD102" s="391"/>
      <c r="AE102" s="11"/>
      <c r="AF102" s="7"/>
      <c r="AG102" s="7"/>
      <c r="AH102" s="7"/>
      <c r="AI102" s="7"/>
      <c r="AJ102" s="7"/>
      <c r="AK102" s="7"/>
      <c r="AL102" s="236"/>
      <c r="AM102" s="390"/>
      <c r="AN102" s="7"/>
      <c r="AO102" s="391"/>
      <c r="AP102" s="11"/>
      <c r="AQ102" s="7"/>
      <c r="AR102" s="7"/>
      <c r="AS102" s="236"/>
      <c r="AT102" s="242">
        <v>78</v>
      </c>
      <c r="AU102" s="7">
        <f t="shared" si="20"/>
        <v>78</v>
      </c>
      <c r="AV102" s="11"/>
      <c r="AW102" s="242"/>
      <c r="AX102" s="7"/>
      <c r="AY102" s="11"/>
      <c r="AZ102" s="242"/>
      <c r="BA102" s="11"/>
      <c r="BB102" s="243"/>
      <c r="BC102" s="242"/>
      <c r="BD102" s="11"/>
      <c r="BE102" s="243"/>
      <c r="BF102" s="242"/>
      <c r="BG102" s="11"/>
      <c r="BH102" s="243"/>
      <c r="BI102" s="11"/>
      <c r="BJ102" s="7"/>
    </row>
    <row r="103" spans="1:62" ht="25.5" x14ac:dyDescent="0.25">
      <c r="A103" s="71">
        <f t="shared" si="14"/>
        <v>99</v>
      </c>
      <c r="B103" s="1" t="s">
        <v>659</v>
      </c>
      <c r="C103" s="1" t="s">
        <v>1792</v>
      </c>
      <c r="D103" s="1" t="s">
        <v>2221</v>
      </c>
      <c r="E103" s="1" t="s">
        <v>2222</v>
      </c>
      <c r="F103" s="1" t="s">
        <v>2051</v>
      </c>
      <c r="G103" s="12">
        <v>43159</v>
      </c>
      <c r="H103" s="271">
        <f t="shared" si="22"/>
        <v>765489.94</v>
      </c>
      <c r="I103" s="271">
        <v>900576.4</v>
      </c>
      <c r="J103" s="270"/>
      <c r="K103" s="270">
        <f>I103</f>
        <v>900576.4</v>
      </c>
      <c r="L103" s="7"/>
      <c r="M103" s="7"/>
      <c r="N103" s="7"/>
      <c r="O103" s="7"/>
      <c r="P103" s="7"/>
      <c r="Q103" s="7"/>
      <c r="R103" s="7"/>
      <c r="S103" s="236"/>
      <c r="T103" s="390">
        <v>250</v>
      </c>
      <c r="U103" s="7">
        <f t="shared" si="21"/>
        <v>250</v>
      </c>
      <c r="V103" s="391"/>
      <c r="W103" s="390"/>
      <c r="X103" s="11"/>
      <c r="Y103" s="391"/>
      <c r="Z103" s="11"/>
      <c r="AA103" s="236"/>
      <c r="AB103" s="390"/>
      <c r="AC103" s="7"/>
      <c r="AD103" s="391"/>
      <c r="AE103" s="11"/>
      <c r="AF103" s="7"/>
      <c r="AG103" s="7"/>
      <c r="AH103" s="7"/>
      <c r="AI103" s="7"/>
      <c r="AJ103" s="7"/>
      <c r="AK103" s="7"/>
      <c r="AL103" s="236"/>
      <c r="AM103" s="390"/>
      <c r="AN103" s="7"/>
      <c r="AO103" s="391"/>
      <c r="AP103" s="11"/>
      <c r="AQ103" s="7"/>
      <c r="AR103" s="7"/>
      <c r="AS103" s="236"/>
      <c r="AT103" s="242">
        <v>250</v>
      </c>
      <c r="AU103" s="7">
        <f t="shared" si="20"/>
        <v>250</v>
      </c>
      <c r="AV103" s="11"/>
      <c r="AW103" s="242"/>
      <c r="AX103" s="7"/>
      <c r="AY103" s="11"/>
      <c r="AZ103" s="242"/>
      <c r="BA103" s="11"/>
      <c r="BB103" s="243"/>
      <c r="BC103" s="242"/>
      <c r="BD103" s="11"/>
      <c r="BE103" s="243"/>
      <c r="BF103" s="242"/>
      <c r="BG103" s="11"/>
      <c r="BH103" s="243"/>
      <c r="BI103" s="11"/>
      <c r="BJ103" s="7"/>
    </row>
    <row r="104" spans="1:62" x14ac:dyDescent="0.25">
      <c r="A104" s="71">
        <f t="shared" si="14"/>
        <v>100</v>
      </c>
      <c r="B104" s="1" t="s">
        <v>600</v>
      </c>
      <c r="C104" s="1" t="s">
        <v>1792</v>
      </c>
      <c r="D104" s="1" t="s">
        <v>1008</v>
      </c>
      <c r="E104" s="1" t="s">
        <v>2223</v>
      </c>
      <c r="F104" s="1" t="s">
        <v>2051</v>
      </c>
      <c r="G104" s="12">
        <v>43159</v>
      </c>
      <c r="H104" s="271">
        <f t="shared" si="22"/>
        <v>310693.01150000002</v>
      </c>
      <c r="I104" s="271">
        <v>365521.19</v>
      </c>
      <c r="J104" s="270"/>
      <c r="K104" s="270">
        <f t="shared" ref="K104:K117" si="23">I104</f>
        <v>365521.19</v>
      </c>
      <c r="L104" s="7"/>
      <c r="M104" s="7"/>
      <c r="N104" s="7"/>
      <c r="O104" s="7"/>
      <c r="P104" s="7"/>
      <c r="Q104" s="7"/>
      <c r="R104" s="7"/>
      <c r="S104" s="236"/>
      <c r="T104" s="390">
        <v>298.69</v>
      </c>
      <c r="U104" s="7">
        <f t="shared" si="21"/>
        <v>298.69</v>
      </c>
      <c r="V104" s="391"/>
      <c r="W104" s="390"/>
      <c r="X104" s="11"/>
      <c r="Y104" s="391"/>
      <c r="Z104" s="11"/>
      <c r="AA104" s="236"/>
      <c r="AB104" s="390">
        <v>500</v>
      </c>
      <c r="AC104" s="7">
        <f t="shared" si="15"/>
        <v>500</v>
      </c>
      <c r="AD104" s="391"/>
      <c r="AE104" s="11"/>
      <c r="AF104" s="7"/>
      <c r="AG104" s="7"/>
      <c r="AH104" s="7"/>
      <c r="AI104" s="7"/>
      <c r="AJ104" s="7"/>
      <c r="AK104" s="7"/>
      <c r="AL104" s="236"/>
      <c r="AM104" s="390">
        <v>4</v>
      </c>
      <c r="AN104" s="7">
        <f t="shared" si="17"/>
        <v>4</v>
      </c>
      <c r="AO104" s="391"/>
      <c r="AP104" s="11"/>
      <c r="AQ104" s="7"/>
      <c r="AR104" s="7"/>
      <c r="AS104" s="236"/>
      <c r="AT104" s="242">
        <v>298.69</v>
      </c>
      <c r="AU104" s="7">
        <f t="shared" si="20"/>
        <v>298.69</v>
      </c>
      <c r="AV104" s="11"/>
      <c r="AW104" s="242"/>
      <c r="AX104" s="7"/>
      <c r="AY104" s="11"/>
      <c r="AZ104" s="242"/>
      <c r="BA104" s="11"/>
      <c r="BB104" s="243"/>
      <c r="BC104" s="242"/>
      <c r="BD104" s="11"/>
      <c r="BE104" s="243"/>
      <c r="BF104" s="242"/>
      <c r="BG104" s="11"/>
      <c r="BH104" s="243"/>
      <c r="BI104" s="11"/>
      <c r="BJ104" s="7"/>
    </row>
    <row r="105" spans="1:62" x14ac:dyDescent="0.25">
      <c r="A105" s="71">
        <f t="shared" si="14"/>
        <v>101</v>
      </c>
      <c r="B105" s="1" t="s">
        <v>648</v>
      </c>
      <c r="C105" s="1" t="s">
        <v>1792</v>
      </c>
      <c r="D105" s="1" t="s">
        <v>2224</v>
      </c>
      <c r="E105" s="1" t="s">
        <v>2225</v>
      </c>
      <c r="F105" s="1" t="s">
        <v>2051</v>
      </c>
      <c r="G105" s="12">
        <v>43159</v>
      </c>
      <c r="H105" s="271">
        <f t="shared" si="22"/>
        <v>316231.49249999999</v>
      </c>
      <c r="I105" s="271">
        <v>372037.05</v>
      </c>
      <c r="J105" s="270"/>
      <c r="K105" s="270">
        <f t="shared" si="23"/>
        <v>372037.05</v>
      </c>
      <c r="L105" s="7"/>
      <c r="M105" s="7"/>
      <c r="N105" s="7"/>
      <c r="O105" s="7"/>
      <c r="P105" s="7"/>
      <c r="Q105" s="7"/>
      <c r="R105" s="7"/>
      <c r="S105" s="236"/>
      <c r="T105" s="390">
        <v>295.56</v>
      </c>
      <c r="U105" s="7">
        <f t="shared" si="21"/>
        <v>295.56</v>
      </c>
      <c r="V105" s="391"/>
      <c r="W105" s="390"/>
      <c r="X105" s="11"/>
      <c r="Y105" s="391"/>
      <c r="Z105" s="11"/>
      <c r="AA105" s="236"/>
      <c r="AB105" s="390">
        <v>600</v>
      </c>
      <c r="AC105" s="7">
        <f t="shared" si="15"/>
        <v>600</v>
      </c>
      <c r="AD105" s="391"/>
      <c r="AE105" s="11"/>
      <c r="AF105" s="7"/>
      <c r="AG105" s="7"/>
      <c r="AH105" s="7"/>
      <c r="AI105" s="7"/>
      <c r="AJ105" s="7"/>
      <c r="AK105" s="7"/>
      <c r="AL105" s="236"/>
      <c r="AM105" s="390">
        <v>4</v>
      </c>
      <c r="AN105" s="7">
        <f t="shared" si="17"/>
        <v>4</v>
      </c>
      <c r="AO105" s="391"/>
      <c r="AP105" s="11"/>
      <c r="AQ105" s="7"/>
      <c r="AR105" s="7"/>
      <c r="AS105" s="236"/>
      <c r="AT105" s="242">
        <v>295.56</v>
      </c>
      <c r="AU105" s="7">
        <f t="shared" si="20"/>
        <v>295.56</v>
      </c>
      <c r="AV105" s="11"/>
      <c r="AW105" s="242"/>
      <c r="AX105" s="7"/>
      <c r="AY105" s="11"/>
      <c r="AZ105" s="242"/>
      <c r="BA105" s="11"/>
      <c r="BB105" s="243"/>
      <c r="BC105" s="242"/>
      <c r="BD105" s="11"/>
      <c r="BE105" s="243"/>
      <c r="BF105" s="242"/>
      <c r="BG105" s="11"/>
      <c r="BH105" s="243"/>
      <c r="BI105" s="11"/>
      <c r="BJ105" s="7"/>
    </row>
    <row r="106" spans="1:62" x14ac:dyDescent="0.25">
      <c r="A106" s="71">
        <f t="shared" si="14"/>
        <v>102</v>
      </c>
      <c r="B106" s="1" t="s">
        <v>679</v>
      </c>
      <c r="C106" s="1" t="s">
        <v>1792</v>
      </c>
      <c r="D106" s="1" t="s">
        <v>2226</v>
      </c>
      <c r="E106" s="1" t="s">
        <v>2227</v>
      </c>
      <c r="F106" s="1" t="s">
        <v>2051</v>
      </c>
      <c r="G106" s="12">
        <v>43159</v>
      </c>
      <c r="H106" s="271">
        <f t="shared" si="22"/>
        <v>344841.70199999999</v>
      </c>
      <c r="I106" s="271">
        <v>405696.12</v>
      </c>
      <c r="J106" s="270"/>
      <c r="K106" s="270">
        <f t="shared" si="23"/>
        <v>405696.12</v>
      </c>
      <c r="L106" s="7"/>
      <c r="M106" s="7"/>
      <c r="N106" s="7"/>
      <c r="O106" s="7"/>
      <c r="P106" s="7"/>
      <c r="Q106" s="7"/>
      <c r="R106" s="7"/>
      <c r="S106" s="236"/>
      <c r="T106" s="390">
        <v>330</v>
      </c>
      <c r="U106" s="7">
        <f t="shared" si="21"/>
        <v>330</v>
      </c>
      <c r="V106" s="391"/>
      <c r="W106" s="390"/>
      <c r="X106" s="11"/>
      <c r="Y106" s="391"/>
      <c r="Z106" s="11"/>
      <c r="AA106" s="236"/>
      <c r="AB106" s="390">
        <v>500</v>
      </c>
      <c r="AC106" s="7">
        <f t="shared" si="15"/>
        <v>500</v>
      </c>
      <c r="AD106" s="391"/>
      <c r="AE106" s="11"/>
      <c r="AF106" s="7"/>
      <c r="AG106" s="7"/>
      <c r="AH106" s="7"/>
      <c r="AI106" s="7"/>
      <c r="AJ106" s="7"/>
      <c r="AK106" s="7"/>
      <c r="AL106" s="236"/>
      <c r="AM106" s="390">
        <v>4</v>
      </c>
      <c r="AN106" s="7">
        <f t="shared" si="17"/>
        <v>4</v>
      </c>
      <c r="AO106" s="391"/>
      <c r="AP106" s="11"/>
      <c r="AQ106" s="7"/>
      <c r="AR106" s="7"/>
      <c r="AS106" s="236"/>
      <c r="AT106" s="242">
        <v>330</v>
      </c>
      <c r="AU106" s="7">
        <f t="shared" si="20"/>
        <v>330</v>
      </c>
      <c r="AV106" s="11"/>
      <c r="AW106" s="242"/>
      <c r="AX106" s="7"/>
      <c r="AY106" s="11"/>
      <c r="AZ106" s="242"/>
      <c r="BA106" s="11"/>
      <c r="BB106" s="243"/>
      <c r="BC106" s="242"/>
      <c r="BD106" s="11"/>
      <c r="BE106" s="243"/>
      <c r="BF106" s="242"/>
      <c r="BG106" s="11"/>
      <c r="BH106" s="243"/>
      <c r="BI106" s="11"/>
      <c r="BJ106" s="7"/>
    </row>
    <row r="107" spans="1:62" x14ac:dyDescent="0.25">
      <c r="A107" s="71">
        <f t="shared" si="14"/>
        <v>103</v>
      </c>
      <c r="B107" s="1" t="s">
        <v>671</v>
      </c>
      <c r="C107" s="1" t="s">
        <v>1792</v>
      </c>
      <c r="D107" s="1" t="s">
        <v>2228</v>
      </c>
      <c r="E107" s="1" t="s">
        <v>2229</v>
      </c>
      <c r="F107" s="1" t="s">
        <v>2051</v>
      </c>
      <c r="G107" s="12">
        <v>43159</v>
      </c>
      <c r="H107" s="271">
        <f t="shared" si="22"/>
        <v>561725.30500000005</v>
      </c>
      <c r="I107" s="271">
        <v>660853.30000000005</v>
      </c>
      <c r="J107" s="270"/>
      <c r="K107" s="270">
        <f t="shared" si="23"/>
        <v>660853.30000000005</v>
      </c>
      <c r="L107" s="7"/>
      <c r="M107" s="7"/>
      <c r="N107" s="7"/>
      <c r="O107" s="7"/>
      <c r="P107" s="7"/>
      <c r="Q107" s="7"/>
      <c r="R107" s="7"/>
      <c r="S107" s="236"/>
      <c r="T107" s="390">
        <v>610.97</v>
      </c>
      <c r="U107" s="7">
        <f t="shared" si="21"/>
        <v>610.97</v>
      </c>
      <c r="V107" s="391"/>
      <c r="W107" s="390"/>
      <c r="X107" s="11"/>
      <c r="Y107" s="391"/>
      <c r="Z107" s="11"/>
      <c r="AA107" s="236"/>
      <c r="AB107" s="390">
        <v>1224</v>
      </c>
      <c r="AC107" s="7">
        <f t="shared" si="15"/>
        <v>1224</v>
      </c>
      <c r="AD107" s="391"/>
      <c r="AE107" s="11"/>
      <c r="AF107" s="7"/>
      <c r="AG107" s="7"/>
      <c r="AH107" s="7"/>
      <c r="AI107" s="7"/>
      <c r="AJ107" s="7"/>
      <c r="AK107" s="7"/>
      <c r="AL107" s="236"/>
      <c r="AM107" s="390">
        <v>4</v>
      </c>
      <c r="AN107" s="7">
        <f t="shared" si="17"/>
        <v>4</v>
      </c>
      <c r="AO107" s="391"/>
      <c r="AP107" s="11"/>
      <c r="AQ107" s="7"/>
      <c r="AR107" s="7"/>
      <c r="AS107" s="236"/>
      <c r="AT107" s="242">
        <v>610.97</v>
      </c>
      <c r="AU107" s="7">
        <f t="shared" si="20"/>
        <v>610.97</v>
      </c>
      <c r="AV107" s="11"/>
      <c r="AW107" s="242"/>
      <c r="AX107" s="7"/>
      <c r="AY107" s="11"/>
      <c r="AZ107" s="242"/>
      <c r="BA107" s="11"/>
      <c r="BB107" s="243"/>
      <c r="BC107" s="242"/>
      <c r="BD107" s="11"/>
      <c r="BE107" s="243"/>
      <c r="BF107" s="242"/>
      <c r="BG107" s="11"/>
      <c r="BH107" s="243"/>
      <c r="BI107" s="11"/>
      <c r="BJ107" s="7"/>
    </row>
    <row r="108" spans="1:62" x14ac:dyDescent="0.25">
      <c r="A108" s="71">
        <f t="shared" si="14"/>
        <v>104</v>
      </c>
      <c r="B108" s="1" t="s">
        <v>605</v>
      </c>
      <c r="C108" s="1" t="s">
        <v>1792</v>
      </c>
      <c r="D108" s="1" t="s">
        <v>2230</v>
      </c>
      <c r="E108" s="1" t="s">
        <v>2231</v>
      </c>
      <c r="F108" s="1" t="s">
        <v>2051</v>
      </c>
      <c r="G108" s="12">
        <v>43159</v>
      </c>
      <c r="H108" s="271">
        <f t="shared" si="22"/>
        <v>637869.59699999995</v>
      </c>
      <c r="I108" s="271">
        <v>750434.82</v>
      </c>
      <c r="J108" s="270"/>
      <c r="K108" s="270">
        <f t="shared" si="23"/>
        <v>750434.82</v>
      </c>
      <c r="L108" s="7"/>
      <c r="M108" s="7"/>
      <c r="N108" s="7"/>
      <c r="O108" s="7"/>
      <c r="P108" s="7"/>
      <c r="Q108" s="7"/>
      <c r="R108" s="7"/>
      <c r="S108" s="236"/>
      <c r="T108" s="390">
        <v>376.49</v>
      </c>
      <c r="U108" s="7">
        <f t="shared" si="21"/>
        <v>376.49</v>
      </c>
      <c r="V108" s="391"/>
      <c r="W108" s="390"/>
      <c r="X108" s="11"/>
      <c r="Y108" s="391"/>
      <c r="Z108" s="11"/>
      <c r="AA108" s="236"/>
      <c r="AB108" s="390"/>
      <c r="AC108" s="7"/>
      <c r="AD108" s="391"/>
      <c r="AE108" s="11"/>
      <c r="AF108" s="7"/>
      <c r="AG108" s="7"/>
      <c r="AH108" s="7"/>
      <c r="AI108" s="7"/>
      <c r="AJ108" s="7"/>
      <c r="AK108" s="7"/>
      <c r="AL108" s="236"/>
      <c r="AM108" s="390"/>
      <c r="AN108" s="7"/>
      <c r="AO108" s="391"/>
      <c r="AP108" s="11"/>
      <c r="AQ108" s="7"/>
      <c r="AR108" s="7"/>
      <c r="AS108" s="236"/>
      <c r="AT108" s="242">
        <v>376.49</v>
      </c>
      <c r="AU108" s="7">
        <f t="shared" si="20"/>
        <v>376.49</v>
      </c>
      <c r="AV108" s="11"/>
      <c r="AW108" s="242"/>
      <c r="AX108" s="7"/>
      <c r="AY108" s="11"/>
      <c r="AZ108" s="242"/>
      <c r="BA108" s="11"/>
      <c r="BB108" s="243"/>
      <c r="BC108" s="242"/>
      <c r="BD108" s="11"/>
      <c r="BE108" s="243"/>
      <c r="BF108" s="242"/>
      <c r="BG108" s="11"/>
      <c r="BH108" s="243"/>
      <c r="BI108" s="11"/>
      <c r="BJ108" s="7"/>
    </row>
    <row r="109" spans="1:62" x14ac:dyDescent="0.25">
      <c r="A109" s="71">
        <f t="shared" si="14"/>
        <v>105</v>
      </c>
      <c r="B109" s="1" t="s">
        <v>650</v>
      </c>
      <c r="C109" s="1" t="s">
        <v>1792</v>
      </c>
      <c r="D109" s="1" t="s">
        <v>1765</v>
      </c>
      <c r="E109" s="1" t="s">
        <v>2232</v>
      </c>
      <c r="F109" s="1" t="s">
        <v>2051</v>
      </c>
      <c r="G109" s="12">
        <v>43159</v>
      </c>
      <c r="H109" s="271">
        <f t="shared" si="22"/>
        <v>1323861.196</v>
      </c>
      <c r="I109" s="271">
        <v>1557483.76</v>
      </c>
      <c r="J109" s="270"/>
      <c r="K109" s="270">
        <f t="shared" si="23"/>
        <v>1557483.76</v>
      </c>
      <c r="L109" s="7"/>
      <c r="M109" s="7"/>
      <c r="N109" s="7"/>
      <c r="O109" s="7"/>
      <c r="P109" s="7"/>
      <c r="Q109" s="7"/>
      <c r="R109" s="7"/>
      <c r="S109" s="236"/>
      <c r="T109" s="390">
        <v>2275.2399999999998</v>
      </c>
      <c r="U109" s="7">
        <f>T109</f>
        <v>2275.2399999999998</v>
      </c>
      <c r="V109" s="391"/>
      <c r="W109" s="390"/>
      <c r="X109" s="11"/>
      <c r="Y109" s="391"/>
      <c r="Z109" s="11"/>
      <c r="AA109" s="236"/>
      <c r="AB109" s="390">
        <v>17000</v>
      </c>
      <c r="AC109" s="7">
        <f t="shared" si="15"/>
        <v>17000</v>
      </c>
      <c r="AD109" s="391"/>
      <c r="AE109" s="11"/>
      <c r="AF109" s="7"/>
      <c r="AG109" s="7"/>
      <c r="AH109" s="7"/>
      <c r="AI109" s="7"/>
      <c r="AJ109" s="7"/>
      <c r="AK109" s="7"/>
      <c r="AL109" s="236"/>
      <c r="AM109" s="390">
        <v>1</v>
      </c>
      <c r="AN109" s="7">
        <f t="shared" si="17"/>
        <v>1</v>
      </c>
      <c r="AO109" s="391"/>
      <c r="AP109" s="11"/>
      <c r="AQ109" s="7"/>
      <c r="AR109" s="7"/>
      <c r="AS109" s="236"/>
      <c r="AT109" s="242">
        <v>2275.2399999999998</v>
      </c>
      <c r="AU109" s="7">
        <f t="shared" si="20"/>
        <v>2275.2399999999998</v>
      </c>
      <c r="AV109" s="11"/>
      <c r="AW109" s="242"/>
      <c r="AX109" s="7"/>
      <c r="AY109" s="11"/>
      <c r="AZ109" s="242"/>
      <c r="BA109" s="11"/>
      <c r="BB109" s="243"/>
      <c r="BC109" s="242"/>
      <c r="BD109" s="11"/>
      <c r="BE109" s="243"/>
      <c r="BF109" s="242"/>
      <c r="BG109" s="11"/>
      <c r="BH109" s="243"/>
      <c r="BI109" s="11"/>
      <c r="BJ109" s="7"/>
    </row>
    <row r="110" spans="1:62" ht="25.5" x14ac:dyDescent="0.25">
      <c r="A110" s="71">
        <f t="shared" si="14"/>
        <v>106</v>
      </c>
      <c r="B110" s="1" t="s">
        <v>612</v>
      </c>
      <c r="C110" s="1" t="s">
        <v>1792</v>
      </c>
      <c r="D110" s="1" t="s">
        <v>2233</v>
      </c>
      <c r="E110" s="1" t="s">
        <v>2234</v>
      </c>
      <c r="F110" s="1" t="s">
        <v>2051</v>
      </c>
      <c r="G110" s="12">
        <v>43159</v>
      </c>
      <c r="H110" s="271">
        <f t="shared" si="22"/>
        <v>644258.34149999998</v>
      </c>
      <c r="I110" s="271">
        <v>757950.99</v>
      </c>
      <c r="J110" s="270"/>
      <c r="K110" s="270">
        <f t="shared" si="23"/>
        <v>757950.99</v>
      </c>
      <c r="L110" s="7"/>
      <c r="M110" s="7"/>
      <c r="N110" s="7"/>
      <c r="O110" s="7"/>
      <c r="P110" s="7"/>
      <c r="Q110" s="7"/>
      <c r="R110" s="7"/>
      <c r="S110" s="236"/>
      <c r="T110" s="390">
        <v>250</v>
      </c>
      <c r="U110" s="7">
        <f t="shared" ref="U110:U125" si="24">T110</f>
        <v>250</v>
      </c>
      <c r="V110" s="391"/>
      <c r="W110" s="390"/>
      <c r="X110" s="11"/>
      <c r="Y110" s="391"/>
      <c r="Z110" s="11"/>
      <c r="AA110" s="236"/>
      <c r="AB110" s="390"/>
      <c r="AC110" s="7"/>
      <c r="AD110" s="391"/>
      <c r="AE110" s="11"/>
      <c r="AF110" s="7"/>
      <c r="AG110" s="7"/>
      <c r="AH110" s="7"/>
      <c r="AI110" s="7"/>
      <c r="AJ110" s="7"/>
      <c r="AK110" s="7"/>
      <c r="AL110" s="236"/>
      <c r="AM110" s="390"/>
      <c r="AN110" s="7"/>
      <c r="AO110" s="391"/>
      <c r="AP110" s="11"/>
      <c r="AQ110" s="7"/>
      <c r="AR110" s="7"/>
      <c r="AS110" s="236"/>
      <c r="AT110" s="242">
        <v>250</v>
      </c>
      <c r="AU110" s="7">
        <f t="shared" si="20"/>
        <v>250</v>
      </c>
      <c r="AV110" s="11"/>
      <c r="AW110" s="242"/>
      <c r="AX110" s="7"/>
      <c r="AY110" s="11"/>
      <c r="AZ110" s="242"/>
      <c r="BA110" s="11"/>
      <c r="BB110" s="243"/>
      <c r="BC110" s="242"/>
      <c r="BD110" s="11"/>
      <c r="BE110" s="243"/>
      <c r="BF110" s="242"/>
      <c r="BG110" s="11"/>
      <c r="BH110" s="243"/>
      <c r="BI110" s="11"/>
      <c r="BJ110" s="7"/>
    </row>
    <row r="111" spans="1:62" x14ac:dyDescent="0.25">
      <c r="A111" s="71">
        <f t="shared" si="14"/>
        <v>107</v>
      </c>
      <c r="B111" s="1" t="s">
        <v>668</v>
      </c>
      <c r="C111" s="1" t="s">
        <v>1792</v>
      </c>
      <c r="D111" s="1" t="s">
        <v>2235</v>
      </c>
      <c r="E111" s="1" t="s">
        <v>2236</v>
      </c>
      <c r="F111" s="1" t="s">
        <v>2051</v>
      </c>
      <c r="G111" s="12">
        <v>43159</v>
      </c>
      <c r="H111" s="271">
        <f t="shared" si="22"/>
        <v>428320.20199999999</v>
      </c>
      <c r="I111" s="271">
        <v>503906.12</v>
      </c>
      <c r="J111" s="270"/>
      <c r="K111" s="270">
        <f t="shared" si="23"/>
        <v>503906.12</v>
      </c>
      <c r="L111" s="7"/>
      <c r="M111" s="7"/>
      <c r="N111" s="7"/>
      <c r="O111" s="7"/>
      <c r="P111" s="7"/>
      <c r="Q111" s="7"/>
      <c r="R111" s="7"/>
      <c r="S111" s="236"/>
      <c r="T111" s="390">
        <v>63.3</v>
      </c>
      <c r="U111" s="7">
        <f t="shared" si="24"/>
        <v>63.3</v>
      </c>
      <c r="V111" s="391"/>
      <c r="W111" s="390"/>
      <c r="X111" s="11"/>
      <c r="Y111" s="391"/>
      <c r="Z111" s="11"/>
      <c r="AA111" s="236"/>
      <c r="AB111" s="390"/>
      <c r="AC111" s="7"/>
      <c r="AD111" s="391"/>
      <c r="AE111" s="11"/>
      <c r="AF111" s="7"/>
      <c r="AG111" s="7"/>
      <c r="AH111" s="7"/>
      <c r="AI111" s="7"/>
      <c r="AJ111" s="7"/>
      <c r="AK111" s="7"/>
      <c r="AL111" s="236"/>
      <c r="AM111" s="390"/>
      <c r="AN111" s="7"/>
      <c r="AO111" s="391"/>
      <c r="AP111" s="11"/>
      <c r="AQ111" s="7"/>
      <c r="AR111" s="7"/>
      <c r="AS111" s="236"/>
      <c r="AT111" s="242">
        <v>63.3</v>
      </c>
      <c r="AU111" s="7">
        <f t="shared" si="20"/>
        <v>63.3</v>
      </c>
      <c r="AV111" s="11"/>
      <c r="AW111" s="242"/>
      <c r="AX111" s="7"/>
      <c r="AY111" s="11"/>
      <c r="AZ111" s="242"/>
      <c r="BA111" s="11"/>
      <c r="BB111" s="243"/>
      <c r="BC111" s="242"/>
      <c r="BD111" s="11"/>
      <c r="BE111" s="243"/>
      <c r="BF111" s="242"/>
      <c r="BG111" s="11"/>
      <c r="BH111" s="243"/>
      <c r="BI111" s="11"/>
      <c r="BJ111" s="7"/>
    </row>
    <row r="112" spans="1:62" x14ac:dyDescent="0.25">
      <c r="A112" s="71">
        <f t="shared" si="14"/>
        <v>108</v>
      </c>
      <c r="B112" s="1" t="s">
        <v>613</v>
      </c>
      <c r="C112" s="1" t="s">
        <v>1792</v>
      </c>
      <c r="D112" s="1" t="s">
        <v>2237</v>
      </c>
      <c r="E112" s="1" t="s">
        <v>2238</v>
      </c>
      <c r="F112" s="1" t="s">
        <v>2051</v>
      </c>
      <c r="G112" s="12">
        <v>43159</v>
      </c>
      <c r="H112" s="271">
        <f t="shared" si="22"/>
        <v>187930.23999999999</v>
      </c>
      <c r="I112" s="271">
        <v>221094.39999999999</v>
      </c>
      <c r="J112" s="270"/>
      <c r="K112" s="270">
        <f t="shared" si="23"/>
        <v>221094.39999999999</v>
      </c>
      <c r="L112" s="7"/>
      <c r="M112" s="7"/>
      <c r="N112" s="7"/>
      <c r="O112" s="7"/>
      <c r="P112" s="7"/>
      <c r="Q112" s="7"/>
      <c r="R112" s="7"/>
      <c r="S112" s="236"/>
      <c r="T112" s="390">
        <v>48</v>
      </c>
      <c r="U112" s="7">
        <f t="shared" si="24"/>
        <v>48</v>
      </c>
      <c r="V112" s="391"/>
      <c r="W112" s="390"/>
      <c r="X112" s="11"/>
      <c r="Y112" s="391"/>
      <c r="Z112" s="11"/>
      <c r="AA112" s="236"/>
      <c r="AB112" s="390"/>
      <c r="AC112" s="7"/>
      <c r="AD112" s="391"/>
      <c r="AE112" s="11"/>
      <c r="AF112" s="7"/>
      <c r="AG112" s="7"/>
      <c r="AH112" s="7"/>
      <c r="AI112" s="7"/>
      <c r="AJ112" s="7"/>
      <c r="AK112" s="7"/>
      <c r="AL112" s="236"/>
      <c r="AM112" s="390"/>
      <c r="AN112" s="7"/>
      <c r="AO112" s="391"/>
      <c r="AP112" s="11"/>
      <c r="AQ112" s="7"/>
      <c r="AR112" s="7"/>
      <c r="AS112" s="236"/>
      <c r="AT112" s="242">
        <v>48</v>
      </c>
      <c r="AU112" s="7">
        <f t="shared" si="20"/>
        <v>48</v>
      </c>
      <c r="AV112" s="11"/>
      <c r="AW112" s="242"/>
      <c r="AX112" s="7"/>
      <c r="AY112" s="11"/>
      <c r="AZ112" s="242"/>
      <c r="BA112" s="11"/>
      <c r="BB112" s="243"/>
      <c r="BC112" s="242"/>
      <c r="BD112" s="11"/>
      <c r="BE112" s="243"/>
      <c r="BF112" s="242"/>
      <c r="BG112" s="11"/>
      <c r="BH112" s="243"/>
      <c r="BI112" s="11"/>
      <c r="BJ112" s="7"/>
    </row>
    <row r="113" spans="1:62" x14ac:dyDescent="0.25">
      <c r="A113" s="71">
        <f t="shared" si="14"/>
        <v>109</v>
      </c>
      <c r="B113" s="1" t="s">
        <v>638</v>
      </c>
      <c r="C113" s="1" t="s">
        <v>1792</v>
      </c>
      <c r="D113" s="1" t="s">
        <v>2239</v>
      </c>
      <c r="E113" s="1" t="s">
        <v>2240</v>
      </c>
      <c r="F113" s="1" t="s">
        <v>2051</v>
      </c>
      <c r="G113" s="12">
        <v>43159</v>
      </c>
      <c r="H113" s="271">
        <f t="shared" si="22"/>
        <v>117973.2</v>
      </c>
      <c r="I113" s="271">
        <v>138792</v>
      </c>
      <c r="J113" s="270"/>
      <c r="K113" s="270">
        <f t="shared" si="23"/>
        <v>138792</v>
      </c>
      <c r="L113" s="7"/>
      <c r="M113" s="7"/>
      <c r="N113" s="7"/>
      <c r="O113" s="7"/>
      <c r="P113" s="7"/>
      <c r="Q113" s="7"/>
      <c r="R113" s="7"/>
      <c r="S113" s="236"/>
      <c r="T113" s="390">
        <v>88</v>
      </c>
      <c r="U113" s="7">
        <f t="shared" si="24"/>
        <v>88</v>
      </c>
      <c r="V113" s="391"/>
      <c r="W113" s="390"/>
      <c r="X113" s="11"/>
      <c r="Y113" s="391"/>
      <c r="Z113" s="11"/>
      <c r="AA113" s="236"/>
      <c r="AB113" s="390"/>
      <c r="AC113" s="7"/>
      <c r="AD113" s="391"/>
      <c r="AE113" s="11"/>
      <c r="AF113" s="7"/>
      <c r="AG113" s="7"/>
      <c r="AH113" s="7"/>
      <c r="AI113" s="7"/>
      <c r="AJ113" s="7"/>
      <c r="AK113" s="7"/>
      <c r="AL113" s="236"/>
      <c r="AM113" s="390"/>
      <c r="AN113" s="7"/>
      <c r="AO113" s="391"/>
      <c r="AP113" s="11"/>
      <c r="AQ113" s="7"/>
      <c r="AR113" s="7"/>
      <c r="AS113" s="236"/>
      <c r="AT113" s="242">
        <v>88</v>
      </c>
      <c r="AU113" s="7">
        <f t="shared" si="20"/>
        <v>88</v>
      </c>
      <c r="AV113" s="11"/>
      <c r="AW113" s="242"/>
      <c r="AX113" s="7"/>
      <c r="AY113" s="11"/>
      <c r="AZ113" s="242"/>
      <c r="BA113" s="11"/>
      <c r="BB113" s="243"/>
      <c r="BC113" s="242"/>
      <c r="BD113" s="11"/>
      <c r="BE113" s="243"/>
      <c r="BF113" s="242"/>
      <c r="BG113" s="11"/>
      <c r="BH113" s="243"/>
      <c r="BI113" s="11"/>
      <c r="BJ113" s="7"/>
    </row>
    <row r="114" spans="1:62" x14ac:dyDescent="0.25">
      <c r="A114" s="71">
        <f t="shared" si="14"/>
        <v>110</v>
      </c>
      <c r="B114" s="1" t="s">
        <v>639</v>
      </c>
      <c r="C114" s="1" t="s">
        <v>1792</v>
      </c>
      <c r="D114" s="1" t="s">
        <v>2241</v>
      </c>
      <c r="E114" s="1" t="s">
        <v>2242</v>
      </c>
      <c r="F114" s="1" t="s">
        <v>2051</v>
      </c>
      <c r="G114" s="12">
        <v>43159</v>
      </c>
      <c r="H114" s="271">
        <f t="shared" si="22"/>
        <v>332797.90750000003</v>
      </c>
      <c r="I114" s="271">
        <v>391526.95</v>
      </c>
      <c r="J114" s="270"/>
      <c r="K114" s="270">
        <f t="shared" si="23"/>
        <v>391526.95</v>
      </c>
      <c r="L114" s="7"/>
      <c r="M114" s="7"/>
      <c r="N114" s="7"/>
      <c r="O114" s="7"/>
      <c r="P114" s="7"/>
      <c r="Q114" s="7"/>
      <c r="R114" s="7"/>
      <c r="S114" s="236"/>
      <c r="T114" s="390">
        <v>315.5</v>
      </c>
      <c r="U114" s="7">
        <f t="shared" si="24"/>
        <v>315.5</v>
      </c>
      <c r="V114" s="391"/>
      <c r="W114" s="390"/>
      <c r="X114" s="11"/>
      <c r="Y114" s="391"/>
      <c r="Z114" s="11"/>
      <c r="AA114" s="236"/>
      <c r="AB114" s="390">
        <v>500</v>
      </c>
      <c r="AC114" s="7">
        <f t="shared" si="15"/>
        <v>500</v>
      </c>
      <c r="AD114" s="391"/>
      <c r="AE114" s="11"/>
      <c r="AF114" s="7"/>
      <c r="AG114" s="7"/>
      <c r="AH114" s="7"/>
      <c r="AI114" s="7"/>
      <c r="AJ114" s="7"/>
      <c r="AK114" s="7"/>
      <c r="AL114" s="236"/>
      <c r="AM114" s="390">
        <v>3</v>
      </c>
      <c r="AN114" s="7">
        <f t="shared" si="17"/>
        <v>3</v>
      </c>
      <c r="AO114" s="391"/>
      <c r="AP114" s="11"/>
      <c r="AQ114" s="7"/>
      <c r="AR114" s="7"/>
      <c r="AS114" s="236"/>
      <c r="AT114" s="242">
        <v>315.5</v>
      </c>
      <c r="AU114" s="7">
        <f t="shared" si="20"/>
        <v>315.5</v>
      </c>
      <c r="AV114" s="11"/>
      <c r="AW114" s="242"/>
      <c r="AX114" s="7"/>
      <c r="AY114" s="11"/>
      <c r="AZ114" s="242"/>
      <c r="BA114" s="11"/>
      <c r="BB114" s="243"/>
      <c r="BC114" s="242"/>
      <c r="BD114" s="11"/>
      <c r="BE114" s="243"/>
      <c r="BF114" s="242"/>
      <c r="BG114" s="11"/>
      <c r="BH114" s="243"/>
      <c r="BI114" s="11"/>
      <c r="BJ114" s="7"/>
    </row>
    <row r="115" spans="1:62" ht="25.5" x14ac:dyDescent="0.25">
      <c r="A115" s="71">
        <f t="shared" si="14"/>
        <v>111</v>
      </c>
      <c r="B115" s="1" t="s">
        <v>669</v>
      </c>
      <c r="C115" s="1" t="s">
        <v>1792</v>
      </c>
      <c r="D115" s="1" t="s">
        <v>2243</v>
      </c>
      <c r="E115" s="1" t="s">
        <v>2244</v>
      </c>
      <c r="F115" s="1" t="s">
        <v>2051</v>
      </c>
      <c r="G115" s="12">
        <v>43159</v>
      </c>
      <c r="H115" s="271">
        <f t="shared" si="22"/>
        <v>72842.65400000001</v>
      </c>
      <c r="I115" s="271">
        <v>85697.24</v>
      </c>
      <c r="J115" s="270"/>
      <c r="K115" s="270">
        <f t="shared" si="23"/>
        <v>85697.24</v>
      </c>
      <c r="L115" s="7"/>
      <c r="M115" s="7"/>
      <c r="N115" s="7"/>
      <c r="O115" s="7"/>
      <c r="P115" s="7"/>
      <c r="Q115" s="7"/>
      <c r="R115" s="7"/>
      <c r="S115" s="236"/>
      <c r="T115" s="390">
        <v>78.62</v>
      </c>
      <c r="U115" s="7">
        <f t="shared" si="24"/>
        <v>78.62</v>
      </c>
      <c r="V115" s="391"/>
      <c r="W115" s="390"/>
      <c r="X115" s="11"/>
      <c r="Y115" s="391"/>
      <c r="Z115" s="11"/>
      <c r="AA115" s="236"/>
      <c r="AB115" s="390"/>
      <c r="AC115" s="7"/>
      <c r="AD115" s="391"/>
      <c r="AE115" s="11"/>
      <c r="AF115" s="7"/>
      <c r="AG115" s="7"/>
      <c r="AH115" s="7"/>
      <c r="AI115" s="7"/>
      <c r="AJ115" s="7"/>
      <c r="AK115" s="7"/>
      <c r="AL115" s="236"/>
      <c r="AM115" s="390"/>
      <c r="AN115" s="7"/>
      <c r="AO115" s="391"/>
      <c r="AP115" s="11"/>
      <c r="AQ115" s="7"/>
      <c r="AR115" s="7"/>
      <c r="AS115" s="236"/>
      <c r="AT115" s="242">
        <v>78.62</v>
      </c>
      <c r="AU115" s="7">
        <f t="shared" si="20"/>
        <v>78.62</v>
      </c>
      <c r="AV115" s="11"/>
      <c r="AW115" s="242"/>
      <c r="AX115" s="7"/>
      <c r="AY115" s="11"/>
      <c r="AZ115" s="242"/>
      <c r="BA115" s="11"/>
      <c r="BB115" s="243"/>
      <c r="BC115" s="242"/>
      <c r="BD115" s="11"/>
      <c r="BE115" s="243"/>
      <c r="BF115" s="242"/>
      <c r="BG115" s="11"/>
      <c r="BH115" s="243"/>
      <c r="BI115" s="11"/>
      <c r="BJ115" s="7"/>
    </row>
    <row r="116" spans="1:62" ht="25.5" x14ac:dyDescent="0.25">
      <c r="A116" s="71">
        <f t="shared" si="14"/>
        <v>112</v>
      </c>
      <c r="B116" s="1" t="s">
        <v>685</v>
      </c>
      <c r="C116" s="1" t="s">
        <v>1792</v>
      </c>
      <c r="D116" s="1" t="s">
        <v>985</v>
      </c>
      <c r="E116" s="1" t="s">
        <v>2245</v>
      </c>
      <c r="F116" s="1" t="s">
        <v>2051</v>
      </c>
      <c r="G116" s="273">
        <v>43190</v>
      </c>
      <c r="H116" s="274">
        <v>318863.31</v>
      </c>
      <c r="I116" s="274">
        <v>375133.31</v>
      </c>
      <c r="J116" s="304"/>
      <c r="K116" s="270">
        <f t="shared" si="23"/>
        <v>375133.31</v>
      </c>
      <c r="L116" s="7"/>
      <c r="M116" s="7"/>
      <c r="N116" s="7"/>
      <c r="O116" s="7"/>
      <c r="P116" s="7"/>
      <c r="Q116" s="7"/>
      <c r="R116" s="7"/>
      <c r="S116" s="236"/>
      <c r="T116" s="390">
        <v>106</v>
      </c>
      <c r="U116" s="7">
        <f t="shared" si="24"/>
        <v>106</v>
      </c>
      <c r="V116" s="391"/>
      <c r="W116" s="390"/>
      <c r="X116" s="11"/>
      <c r="Y116" s="391"/>
      <c r="Z116" s="11"/>
      <c r="AA116" s="236"/>
      <c r="AB116" s="390"/>
      <c r="AC116" s="7"/>
      <c r="AD116" s="391"/>
      <c r="AE116" s="11"/>
      <c r="AF116" s="7"/>
      <c r="AG116" s="7"/>
      <c r="AH116" s="7"/>
      <c r="AI116" s="7"/>
      <c r="AJ116" s="7"/>
      <c r="AK116" s="7"/>
      <c r="AL116" s="236"/>
      <c r="AM116" s="390"/>
      <c r="AN116" s="7"/>
      <c r="AO116" s="391"/>
      <c r="AP116" s="11"/>
      <c r="AQ116" s="7"/>
      <c r="AR116" s="7"/>
      <c r="AS116" s="236"/>
      <c r="AT116" s="242">
        <v>106</v>
      </c>
      <c r="AU116" s="7">
        <f t="shared" si="20"/>
        <v>106</v>
      </c>
      <c r="AV116" s="11"/>
      <c r="AW116" s="242"/>
      <c r="AX116" s="7"/>
      <c r="AY116" s="11"/>
      <c r="AZ116" s="242"/>
      <c r="BA116" s="11"/>
      <c r="BB116" s="243"/>
      <c r="BC116" s="242"/>
      <c r="BD116" s="11"/>
      <c r="BE116" s="243"/>
      <c r="BF116" s="242"/>
      <c r="BG116" s="11"/>
      <c r="BH116" s="243"/>
      <c r="BI116" s="11"/>
      <c r="BJ116" s="7"/>
    </row>
    <row r="117" spans="1:62" x14ac:dyDescent="0.25">
      <c r="A117" s="71">
        <f t="shared" si="14"/>
        <v>113</v>
      </c>
      <c r="B117" s="1" t="s">
        <v>554</v>
      </c>
      <c r="C117" s="1" t="s">
        <v>1707</v>
      </c>
      <c r="D117" s="1" t="s">
        <v>871</v>
      </c>
      <c r="E117" s="1" t="s">
        <v>2246</v>
      </c>
      <c r="F117" s="1" t="s">
        <v>2051</v>
      </c>
      <c r="G117" s="12">
        <v>43190</v>
      </c>
      <c r="H117" s="271">
        <f t="shared" ref="H117:H130" si="25">I117*0.85</f>
        <v>445534.48699999996</v>
      </c>
      <c r="I117" s="271">
        <v>524158.22</v>
      </c>
      <c r="J117" s="270"/>
      <c r="K117" s="270">
        <f t="shared" si="23"/>
        <v>524158.22</v>
      </c>
      <c r="L117" s="7"/>
      <c r="M117" s="7"/>
      <c r="N117" s="7"/>
      <c r="O117" s="7"/>
      <c r="P117" s="7"/>
      <c r="Q117" s="7"/>
      <c r="R117" s="7"/>
      <c r="S117" s="236"/>
      <c r="T117" s="390"/>
      <c r="U117" s="7">
        <f t="shared" si="24"/>
        <v>0</v>
      </c>
      <c r="V117" s="391"/>
      <c r="W117" s="390">
        <v>450</v>
      </c>
      <c r="X117" s="11">
        <f t="shared" ref="X117:X123" si="26">W117</f>
        <v>450</v>
      </c>
      <c r="Y117" s="391"/>
      <c r="Z117" s="11"/>
      <c r="AA117" s="236"/>
      <c r="AB117" s="390"/>
      <c r="AC117" s="7"/>
      <c r="AD117" s="391"/>
      <c r="AE117" s="11"/>
      <c r="AF117" s="7"/>
      <c r="AG117" s="7"/>
      <c r="AH117" s="7"/>
      <c r="AI117" s="7"/>
      <c r="AJ117" s="7"/>
      <c r="AK117" s="7"/>
      <c r="AL117" s="236"/>
      <c r="AM117" s="390"/>
      <c r="AN117" s="7"/>
      <c r="AO117" s="391"/>
      <c r="AP117" s="11"/>
      <c r="AQ117" s="7"/>
      <c r="AR117" s="7"/>
      <c r="AS117" s="236"/>
      <c r="AT117" s="242"/>
      <c r="AU117" s="7"/>
      <c r="AV117" s="11"/>
      <c r="AW117" s="242">
        <v>450</v>
      </c>
      <c r="AX117" s="7">
        <f>AW117</f>
        <v>450</v>
      </c>
      <c r="AY117" s="11"/>
      <c r="AZ117" s="242"/>
      <c r="BA117" s="11"/>
      <c r="BB117" s="243"/>
      <c r="BC117" s="242"/>
      <c r="BD117" s="11"/>
      <c r="BE117" s="243"/>
      <c r="BF117" s="242"/>
      <c r="BG117" s="11"/>
      <c r="BH117" s="243"/>
      <c r="BI117" s="11"/>
      <c r="BJ117" s="7"/>
    </row>
    <row r="118" spans="1:62" ht="25.5" x14ac:dyDescent="0.25">
      <c r="A118" s="71">
        <f t="shared" si="14"/>
        <v>114</v>
      </c>
      <c r="B118" s="1" t="s">
        <v>660</v>
      </c>
      <c r="C118" s="1" t="s">
        <v>1792</v>
      </c>
      <c r="D118" s="1" t="s">
        <v>2247</v>
      </c>
      <c r="E118" s="1" t="s">
        <v>2248</v>
      </c>
      <c r="F118" s="1" t="s">
        <v>2051</v>
      </c>
      <c r="G118" s="12">
        <v>43190</v>
      </c>
      <c r="H118" s="271">
        <f t="shared" si="25"/>
        <v>354487.17049999995</v>
      </c>
      <c r="I118" s="271">
        <v>417043.73</v>
      </c>
      <c r="J118" s="270"/>
      <c r="K118" s="270">
        <f>I118</f>
        <v>417043.73</v>
      </c>
      <c r="L118" s="7"/>
      <c r="M118" s="7"/>
      <c r="N118" s="7"/>
      <c r="O118" s="7"/>
      <c r="P118" s="7"/>
      <c r="Q118" s="7"/>
      <c r="R118" s="7"/>
      <c r="S118" s="236"/>
      <c r="T118" s="392">
        <v>336.51</v>
      </c>
      <c r="U118" s="7">
        <f t="shared" si="24"/>
        <v>336.51</v>
      </c>
      <c r="V118" s="391"/>
      <c r="W118" s="390"/>
      <c r="X118" s="11"/>
      <c r="Y118" s="391"/>
      <c r="Z118" s="11"/>
      <c r="AA118" s="236"/>
      <c r="AB118" s="390">
        <v>3500</v>
      </c>
      <c r="AC118" s="7">
        <f t="shared" si="15"/>
        <v>3500</v>
      </c>
      <c r="AD118" s="391"/>
      <c r="AE118" s="11"/>
      <c r="AF118" s="7"/>
      <c r="AG118" s="7"/>
      <c r="AH118" s="7"/>
      <c r="AI118" s="7"/>
      <c r="AJ118" s="7"/>
      <c r="AK118" s="7"/>
      <c r="AL118" s="236"/>
      <c r="AM118" s="390">
        <v>4</v>
      </c>
      <c r="AN118" s="7">
        <f t="shared" si="17"/>
        <v>4</v>
      </c>
      <c r="AO118" s="391"/>
      <c r="AP118" s="11"/>
      <c r="AQ118" s="7"/>
      <c r="AR118" s="7"/>
      <c r="AS118" s="236"/>
      <c r="AT118" s="244">
        <v>336.51</v>
      </c>
      <c r="AU118" s="7">
        <f>AT118</f>
        <v>336.51</v>
      </c>
      <c r="AV118" s="11"/>
      <c r="AW118" s="242"/>
      <c r="AX118" s="7"/>
      <c r="AY118" s="11"/>
      <c r="AZ118" s="242"/>
      <c r="BA118" s="11"/>
      <c r="BB118" s="243"/>
      <c r="BC118" s="242"/>
      <c r="BD118" s="11"/>
      <c r="BE118" s="243"/>
      <c r="BF118" s="242"/>
      <c r="BG118" s="11"/>
      <c r="BH118" s="243"/>
      <c r="BI118" s="11"/>
      <c r="BJ118" s="7"/>
    </row>
    <row r="119" spans="1:62" x14ac:dyDescent="0.25">
      <c r="A119" s="71">
        <f t="shared" si="14"/>
        <v>115</v>
      </c>
      <c r="B119" s="1" t="s">
        <v>599</v>
      </c>
      <c r="C119" s="1" t="s">
        <v>1792</v>
      </c>
      <c r="D119" s="1" t="s">
        <v>2249</v>
      </c>
      <c r="E119" s="1" t="s">
        <v>2250</v>
      </c>
      <c r="F119" s="1" t="s">
        <v>2051</v>
      </c>
      <c r="G119" s="12">
        <v>43190</v>
      </c>
      <c r="H119" s="271">
        <f t="shared" si="25"/>
        <v>477232.54250000004</v>
      </c>
      <c r="I119" s="271">
        <v>561450.05000000005</v>
      </c>
      <c r="J119" s="270"/>
      <c r="K119" s="270">
        <f t="shared" ref="K119:K135" si="27">I119</f>
        <v>561450.05000000005</v>
      </c>
      <c r="L119" s="7"/>
      <c r="M119" s="7"/>
      <c r="N119" s="7"/>
      <c r="O119" s="7"/>
      <c r="P119" s="7"/>
      <c r="Q119" s="7"/>
      <c r="R119" s="7"/>
      <c r="S119" s="236"/>
      <c r="T119" s="390">
        <v>596.5</v>
      </c>
      <c r="U119" s="7">
        <f t="shared" si="24"/>
        <v>596.5</v>
      </c>
      <c r="V119" s="391"/>
      <c r="W119" s="390"/>
      <c r="X119" s="11"/>
      <c r="Y119" s="391"/>
      <c r="Z119" s="11"/>
      <c r="AA119" s="236"/>
      <c r="AB119" s="390"/>
      <c r="AC119" s="7"/>
      <c r="AD119" s="391"/>
      <c r="AE119" s="11"/>
      <c r="AF119" s="7"/>
      <c r="AG119" s="7"/>
      <c r="AH119" s="7"/>
      <c r="AI119" s="7"/>
      <c r="AJ119" s="7"/>
      <c r="AK119" s="7"/>
      <c r="AL119" s="236"/>
      <c r="AM119" s="390"/>
      <c r="AN119" s="7"/>
      <c r="AO119" s="391"/>
      <c r="AP119" s="11"/>
      <c r="AQ119" s="7"/>
      <c r="AR119" s="7"/>
      <c r="AS119" s="236"/>
      <c r="AT119" s="242">
        <v>596.5</v>
      </c>
      <c r="AU119" s="7">
        <f>AT119</f>
        <v>596.5</v>
      </c>
      <c r="AV119" s="11"/>
      <c r="AW119" s="242"/>
      <c r="AX119" s="7"/>
      <c r="AY119" s="11"/>
      <c r="AZ119" s="242"/>
      <c r="BA119" s="11"/>
      <c r="BB119" s="243"/>
      <c r="BC119" s="242"/>
      <c r="BD119" s="11"/>
      <c r="BE119" s="243"/>
      <c r="BF119" s="242"/>
      <c r="BG119" s="11"/>
      <c r="BH119" s="243"/>
      <c r="BI119" s="11"/>
      <c r="BJ119" s="7"/>
    </row>
    <row r="120" spans="1:62" x14ac:dyDescent="0.25">
      <c r="A120" s="71">
        <f t="shared" si="14"/>
        <v>116</v>
      </c>
      <c r="B120" s="1" t="s">
        <v>607</v>
      </c>
      <c r="C120" s="1" t="s">
        <v>1792</v>
      </c>
      <c r="D120" s="1" t="s">
        <v>951</v>
      </c>
      <c r="E120" s="1" t="s">
        <v>2251</v>
      </c>
      <c r="F120" s="1" t="s">
        <v>2051</v>
      </c>
      <c r="G120" s="12">
        <v>43190</v>
      </c>
      <c r="H120" s="271">
        <f t="shared" si="25"/>
        <v>679361.45449999999</v>
      </c>
      <c r="I120" s="271">
        <v>799248.77</v>
      </c>
      <c r="J120" s="270"/>
      <c r="K120" s="270">
        <f t="shared" si="27"/>
        <v>799248.77</v>
      </c>
      <c r="L120" s="7"/>
      <c r="M120" s="7"/>
      <c r="N120" s="7"/>
      <c r="O120" s="7"/>
      <c r="P120" s="7"/>
      <c r="Q120" s="7"/>
      <c r="R120" s="7"/>
      <c r="S120" s="236"/>
      <c r="T120" s="390">
        <v>327</v>
      </c>
      <c r="U120" s="7">
        <f t="shared" si="24"/>
        <v>327</v>
      </c>
      <c r="V120" s="391"/>
      <c r="W120" s="390"/>
      <c r="X120" s="11"/>
      <c r="Y120" s="391"/>
      <c r="Z120" s="11"/>
      <c r="AA120" s="236"/>
      <c r="AB120" s="390">
        <v>2100</v>
      </c>
      <c r="AC120" s="7">
        <f t="shared" si="15"/>
        <v>2100</v>
      </c>
      <c r="AD120" s="391"/>
      <c r="AE120" s="11"/>
      <c r="AF120" s="7"/>
      <c r="AG120" s="7"/>
      <c r="AH120" s="7"/>
      <c r="AI120" s="7"/>
      <c r="AJ120" s="7"/>
      <c r="AK120" s="7"/>
      <c r="AL120" s="236"/>
      <c r="AM120" s="390">
        <v>1</v>
      </c>
      <c r="AN120" s="7">
        <f t="shared" si="17"/>
        <v>1</v>
      </c>
      <c r="AO120" s="391"/>
      <c r="AP120" s="11"/>
      <c r="AQ120" s="7"/>
      <c r="AR120" s="7"/>
      <c r="AS120" s="236"/>
      <c r="AT120" s="242">
        <v>327</v>
      </c>
      <c r="AU120" s="7">
        <f>AT120</f>
        <v>327</v>
      </c>
      <c r="AV120" s="11"/>
      <c r="AW120" s="242"/>
      <c r="AX120" s="7"/>
      <c r="AY120" s="11"/>
      <c r="AZ120" s="242"/>
      <c r="BA120" s="11"/>
      <c r="BB120" s="243"/>
      <c r="BC120" s="242"/>
      <c r="BD120" s="11"/>
      <c r="BE120" s="243"/>
      <c r="BF120" s="242"/>
      <c r="BG120" s="11"/>
      <c r="BH120" s="243"/>
      <c r="BI120" s="11"/>
      <c r="BJ120" s="7"/>
    </row>
    <row r="121" spans="1:62" x14ac:dyDescent="0.25">
      <c r="A121" s="71">
        <f t="shared" si="14"/>
        <v>117</v>
      </c>
      <c r="B121" s="1" t="s">
        <v>586</v>
      </c>
      <c r="C121" s="1" t="s">
        <v>1792</v>
      </c>
      <c r="D121" s="1" t="s">
        <v>2252</v>
      </c>
      <c r="E121" s="1" t="s">
        <v>2253</v>
      </c>
      <c r="F121" s="1" t="s">
        <v>2051</v>
      </c>
      <c r="G121" s="12">
        <v>43220</v>
      </c>
      <c r="H121" s="271">
        <f t="shared" si="25"/>
        <v>157724.24049999999</v>
      </c>
      <c r="I121" s="271">
        <v>185557.93</v>
      </c>
      <c r="J121" s="270"/>
      <c r="K121" s="270">
        <f t="shared" si="27"/>
        <v>185557.93</v>
      </c>
      <c r="L121" s="7"/>
      <c r="M121" s="7"/>
      <c r="N121" s="7"/>
      <c r="O121" s="7"/>
      <c r="P121" s="7"/>
      <c r="Q121" s="7"/>
      <c r="R121" s="7"/>
      <c r="S121" s="236"/>
      <c r="T121" s="390">
        <v>50.4</v>
      </c>
      <c r="U121" s="7">
        <f t="shared" si="24"/>
        <v>50.4</v>
      </c>
      <c r="V121" s="391"/>
      <c r="W121" s="390"/>
      <c r="X121" s="11"/>
      <c r="Y121" s="391"/>
      <c r="Z121" s="11"/>
      <c r="AA121" s="236"/>
      <c r="AB121" s="390"/>
      <c r="AC121" s="7"/>
      <c r="AD121" s="391"/>
      <c r="AE121" s="11"/>
      <c r="AF121" s="7"/>
      <c r="AG121" s="7"/>
      <c r="AH121" s="7"/>
      <c r="AI121" s="7"/>
      <c r="AJ121" s="7"/>
      <c r="AK121" s="7"/>
      <c r="AL121" s="236"/>
      <c r="AM121" s="390"/>
      <c r="AN121" s="7"/>
      <c r="AO121" s="391"/>
      <c r="AP121" s="11"/>
      <c r="AQ121" s="7"/>
      <c r="AR121" s="7"/>
      <c r="AS121" s="236"/>
      <c r="AT121" s="242">
        <v>50.4</v>
      </c>
      <c r="AU121" s="7">
        <f>AT121</f>
        <v>50.4</v>
      </c>
      <c r="AV121" s="11"/>
      <c r="AW121" s="242"/>
      <c r="AX121" s="7"/>
      <c r="AY121" s="11"/>
      <c r="AZ121" s="242"/>
      <c r="BA121" s="11"/>
      <c r="BB121" s="243"/>
      <c r="BC121" s="242"/>
      <c r="BD121" s="11"/>
      <c r="BE121" s="243"/>
      <c r="BF121" s="242"/>
      <c r="BG121" s="11"/>
      <c r="BH121" s="243"/>
      <c r="BI121" s="11"/>
      <c r="BJ121" s="7"/>
    </row>
    <row r="122" spans="1:62" ht="25.5" x14ac:dyDescent="0.25">
      <c r="A122" s="71">
        <f t="shared" si="14"/>
        <v>118</v>
      </c>
      <c r="B122" s="1" t="s">
        <v>617</v>
      </c>
      <c r="C122" s="1" t="s">
        <v>1707</v>
      </c>
      <c r="D122" s="1" t="s">
        <v>909</v>
      </c>
      <c r="E122" s="1" t="s">
        <v>2254</v>
      </c>
      <c r="F122" s="1" t="s">
        <v>2051</v>
      </c>
      <c r="G122" s="12">
        <v>43220</v>
      </c>
      <c r="H122" s="271">
        <f t="shared" si="25"/>
        <v>2236842.1074999999</v>
      </c>
      <c r="I122" s="271">
        <v>2631578.9500000002</v>
      </c>
      <c r="J122" s="270"/>
      <c r="K122" s="270">
        <f t="shared" si="27"/>
        <v>2631578.9500000002</v>
      </c>
      <c r="L122" s="7"/>
      <c r="M122" s="7"/>
      <c r="N122" s="7"/>
      <c r="O122" s="7"/>
      <c r="P122" s="7"/>
      <c r="Q122" s="7"/>
      <c r="R122" s="7"/>
      <c r="S122" s="236"/>
      <c r="T122" s="390"/>
      <c r="U122" s="7">
        <f t="shared" si="24"/>
        <v>0</v>
      </c>
      <c r="V122" s="391"/>
      <c r="W122" s="390">
        <v>3000</v>
      </c>
      <c r="X122" s="11">
        <f t="shared" si="26"/>
        <v>3000</v>
      </c>
      <c r="Y122" s="391"/>
      <c r="Z122" s="11"/>
      <c r="AA122" s="236"/>
      <c r="AB122" s="390"/>
      <c r="AC122" s="7"/>
      <c r="AD122" s="391"/>
      <c r="AE122" s="11"/>
      <c r="AF122" s="7"/>
      <c r="AG122" s="7"/>
      <c r="AH122" s="7"/>
      <c r="AI122" s="7"/>
      <c r="AJ122" s="7"/>
      <c r="AK122" s="7"/>
      <c r="AL122" s="236"/>
      <c r="AM122" s="390"/>
      <c r="AN122" s="7"/>
      <c r="AO122" s="391"/>
      <c r="AP122" s="11"/>
      <c r="AQ122" s="7"/>
      <c r="AR122" s="7"/>
      <c r="AS122" s="236"/>
      <c r="AT122" s="242"/>
      <c r="AU122" s="7"/>
      <c r="AV122" s="11"/>
      <c r="AW122" s="242">
        <v>4000</v>
      </c>
      <c r="AX122" s="7">
        <f>AW122</f>
        <v>4000</v>
      </c>
      <c r="AY122" s="11"/>
      <c r="AZ122" s="242"/>
      <c r="BA122" s="11"/>
      <c r="BB122" s="243"/>
      <c r="BC122" s="242"/>
      <c r="BD122" s="11"/>
      <c r="BE122" s="243"/>
      <c r="BF122" s="242"/>
      <c r="BG122" s="11"/>
      <c r="BH122" s="243"/>
      <c r="BI122" s="11"/>
      <c r="BJ122" s="7"/>
    </row>
    <row r="123" spans="1:62" x14ac:dyDescent="0.25">
      <c r="A123" s="71">
        <f t="shared" si="14"/>
        <v>119</v>
      </c>
      <c r="B123" s="1" t="s">
        <v>567</v>
      </c>
      <c r="C123" s="1" t="s">
        <v>1707</v>
      </c>
      <c r="D123" s="1" t="s">
        <v>2255</v>
      </c>
      <c r="E123" s="1" t="s">
        <v>2256</v>
      </c>
      <c r="F123" s="1" t="s">
        <v>2051</v>
      </c>
      <c r="G123" s="273">
        <v>43251</v>
      </c>
      <c r="H123" s="275">
        <f t="shared" si="25"/>
        <v>770073.9219999999</v>
      </c>
      <c r="I123" s="274">
        <v>905969.32</v>
      </c>
      <c r="J123" s="304"/>
      <c r="K123" s="270">
        <f t="shared" si="27"/>
        <v>905969.32</v>
      </c>
      <c r="L123" s="7"/>
      <c r="M123" s="7"/>
      <c r="N123" s="7"/>
      <c r="O123" s="7"/>
      <c r="P123" s="7"/>
      <c r="Q123" s="7"/>
      <c r="R123" s="7"/>
      <c r="S123" s="236"/>
      <c r="T123" s="390"/>
      <c r="U123" s="7">
        <f t="shared" si="24"/>
        <v>0</v>
      </c>
      <c r="V123" s="391"/>
      <c r="W123" s="390">
        <v>1350</v>
      </c>
      <c r="X123" s="11">
        <f t="shared" si="26"/>
        <v>1350</v>
      </c>
      <c r="Y123" s="391"/>
      <c r="Z123" s="11"/>
      <c r="AA123" s="236"/>
      <c r="AB123" s="390"/>
      <c r="AC123" s="7"/>
      <c r="AD123" s="391"/>
      <c r="AE123" s="11"/>
      <c r="AF123" s="7"/>
      <c r="AG123" s="7"/>
      <c r="AH123" s="7"/>
      <c r="AI123" s="7"/>
      <c r="AJ123" s="7"/>
      <c r="AK123" s="7"/>
      <c r="AL123" s="236"/>
      <c r="AM123" s="390"/>
      <c r="AN123" s="7"/>
      <c r="AO123" s="391"/>
      <c r="AP123" s="11"/>
      <c r="AQ123" s="7"/>
      <c r="AR123" s="7"/>
      <c r="AS123" s="236"/>
      <c r="AT123" s="242"/>
      <c r="AU123" s="7"/>
      <c r="AV123" s="11"/>
      <c r="AW123" s="242">
        <v>1350</v>
      </c>
      <c r="AX123" s="7">
        <f>AW123</f>
        <v>1350</v>
      </c>
      <c r="AY123" s="11"/>
      <c r="AZ123" s="242"/>
      <c r="BA123" s="11"/>
      <c r="BB123" s="243"/>
      <c r="BC123" s="242"/>
      <c r="BD123" s="11"/>
      <c r="BE123" s="243"/>
      <c r="BF123" s="242"/>
      <c r="BG123" s="11"/>
      <c r="BH123" s="243"/>
      <c r="BI123" s="11"/>
      <c r="BJ123" s="7"/>
    </row>
    <row r="124" spans="1:62" ht="25.5" x14ac:dyDescent="0.25">
      <c r="A124" s="71">
        <f t="shared" si="14"/>
        <v>120</v>
      </c>
      <c r="B124" s="1" t="s">
        <v>626</v>
      </c>
      <c r="C124" s="1" t="s">
        <v>1792</v>
      </c>
      <c r="D124" s="1" t="s">
        <v>2257</v>
      </c>
      <c r="E124" s="1" t="s">
        <v>2258</v>
      </c>
      <c r="F124" s="1" t="s">
        <v>2051</v>
      </c>
      <c r="G124" s="12">
        <v>43251</v>
      </c>
      <c r="H124" s="271">
        <f t="shared" si="25"/>
        <v>300450.18</v>
      </c>
      <c r="I124" s="271">
        <v>353470.8</v>
      </c>
      <c r="J124" s="270"/>
      <c r="K124" s="270">
        <f t="shared" si="27"/>
        <v>353470.8</v>
      </c>
      <c r="L124" s="7"/>
      <c r="M124" s="7"/>
      <c r="N124" s="7"/>
      <c r="O124" s="7"/>
      <c r="P124" s="7"/>
      <c r="Q124" s="7"/>
      <c r="R124" s="7"/>
      <c r="S124" s="236"/>
      <c r="T124" s="390">
        <v>117</v>
      </c>
      <c r="U124" s="7">
        <f t="shared" si="24"/>
        <v>117</v>
      </c>
      <c r="V124" s="391"/>
      <c r="W124" s="390"/>
      <c r="X124" s="11"/>
      <c r="Y124" s="391"/>
      <c r="Z124" s="11"/>
      <c r="AA124" s="236"/>
      <c r="AB124" s="390"/>
      <c r="AC124" s="7"/>
      <c r="AD124" s="391"/>
      <c r="AE124" s="11"/>
      <c r="AF124" s="7"/>
      <c r="AG124" s="7"/>
      <c r="AH124" s="7"/>
      <c r="AI124" s="7"/>
      <c r="AJ124" s="7"/>
      <c r="AK124" s="7"/>
      <c r="AL124" s="236"/>
      <c r="AM124" s="390"/>
      <c r="AN124" s="7"/>
      <c r="AO124" s="391"/>
      <c r="AP124" s="11"/>
      <c r="AQ124" s="7"/>
      <c r="AR124" s="7"/>
      <c r="AS124" s="236"/>
      <c r="AT124" s="242">
        <v>117</v>
      </c>
      <c r="AU124" s="7">
        <f>AT124</f>
        <v>117</v>
      </c>
      <c r="AV124" s="11"/>
      <c r="AW124" s="242"/>
      <c r="AX124" s="7"/>
      <c r="AY124" s="11"/>
      <c r="AZ124" s="242"/>
      <c r="BA124" s="11"/>
      <c r="BB124" s="243"/>
      <c r="BC124" s="242"/>
      <c r="BD124" s="11"/>
      <c r="BE124" s="243"/>
      <c r="BF124" s="242"/>
      <c r="BG124" s="11"/>
      <c r="BH124" s="243"/>
      <c r="BI124" s="11"/>
      <c r="BJ124" s="7"/>
    </row>
    <row r="125" spans="1:62" x14ac:dyDescent="0.25">
      <c r="A125" s="71">
        <f t="shared" si="14"/>
        <v>121</v>
      </c>
      <c r="B125" s="1" t="s">
        <v>674</v>
      </c>
      <c r="C125" s="1" t="s">
        <v>1792</v>
      </c>
      <c r="D125" s="1" t="s">
        <v>1047</v>
      </c>
      <c r="E125" s="1" t="s">
        <v>2259</v>
      </c>
      <c r="F125" s="1" t="s">
        <v>2051</v>
      </c>
      <c r="G125" s="12">
        <v>43251</v>
      </c>
      <c r="H125" s="271">
        <f t="shared" si="25"/>
        <v>233378.14200000002</v>
      </c>
      <c r="I125" s="271">
        <v>274562.52</v>
      </c>
      <c r="J125" s="270"/>
      <c r="K125" s="270">
        <f t="shared" si="27"/>
        <v>274562.52</v>
      </c>
      <c r="L125" s="7"/>
      <c r="M125" s="7"/>
      <c r="N125" s="7"/>
      <c r="O125" s="7"/>
      <c r="P125" s="7"/>
      <c r="Q125" s="7"/>
      <c r="R125" s="7"/>
      <c r="S125" s="236"/>
      <c r="T125" s="390">
        <v>100</v>
      </c>
      <c r="U125" s="7">
        <f t="shared" si="24"/>
        <v>100</v>
      </c>
      <c r="V125" s="391"/>
      <c r="W125" s="390"/>
      <c r="X125" s="11"/>
      <c r="Y125" s="391"/>
      <c r="Z125" s="11"/>
      <c r="AA125" s="236"/>
      <c r="AB125" s="390"/>
      <c r="AC125" s="7"/>
      <c r="AD125" s="391"/>
      <c r="AE125" s="11"/>
      <c r="AF125" s="7"/>
      <c r="AG125" s="7"/>
      <c r="AH125" s="7"/>
      <c r="AI125" s="7"/>
      <c r="AJ125" s="7"/>
      <c r="AK125" s="7"/>
      <c r="AL125" s="236"/>
      <c r="AM125" s="390"/>
      <c r="AN125" s="7"/>
      <c r="AO125" s="391"/>
      <c r="AP125" s="11"/>
      <c r="AQ125" s="7"/>
      <c r="AR125" s="7"/>
      <c r="AS125" s="236"/>
      <c r="AT125" s="242">
        <v>100</v>
      </c>
      <c r="AU125" s="7">
        <f>AT125</f>
        <v>100</v>
      </c>
      <c r="AV125" s="11"/>
      <c r="AW125" s="242"/>
      <c r="AX125" s="7"/>
      <c r="AY125" s="11"/>
      <c r="AZ125" s="242"/>
      <c r="BA125" s="11"/>
      <c r="BB125" s="243"/>
      <c r="BC125" s="242"/>
      <c r="BD125" s="11"/>
      <c r="BE125" s="243"/>
      <c r="BF125" s="242"/>
      <c r="BG125" s="11"/>
      <c r="BH125" s="243"/>
      <c r="BI125" s="11"/>
      <c r="BJ125" s="7"/>
    </row>
    <row r="126" spans="1:62" x14ac:dyDescent="0.25">
      <c r="A126" s="71">
        <f t="shared" si="14"/>
        <v>122</v>
      </c>
      <c r="B126" s="1" t="s">
        <v>572</v>
      </c>
      <c r="C126" s="1" t="s">
        <v>1792</v>
      </c>
      <c r="D126" s="1" t="s">
        <v>2260</v>
      </c>
      <c r="E126" s="1" t="s">
        <v>2261</v>
      </c>
      <c r="F126" s="1" t="s">
        <v>2051</v>
      </c>
      <c r="G126" s="12">
        <v>43281</v>
      </c>
      <c r="H126" s="271">
        <f t="shared" si="25"/>
        <v>675005.34899999993</v>
      </c>
      <c r="I126" s="271">
        <v>794123.94</v>
      </c>
      <c r="J126" s="270"/>
      <c r="K126" s="270">
        <f t="shared" si="27"/>
        <v>794123.94</v>
      </c>
      <c r="L126" s="7"/>
      <c r="M126" s="7"/>
      <c r="N126" s="7"/>
      <c r="O126" s="7"/>
      <c r="P126" s="7"/>
      <c r="Q126" s="7"/>
      <c r="R126" s="7"/>
      <c r="S126" s="236"/>
      <c r="T126" s="390">
        <v>220</v>
      </c>
      <c r="U126" s="7">
        <f>T126</f>
        <v>220</v>
      </c>
      <c r="V126" s="391"/>
      <c r="W126" s="390"/>
      <c r="X126" s="11"/>
      <c r="Y126" s="391"/>
      <c r="Z126" s="11"/>
      <c r="AA126" s="236"/>
      <c r="AB126" s="390"/>
      <c r="AC126" s="7"/>
      <c r="AD126" s="391"/>
      <c r="AE126" s="11"/>
      <c r="AF126" s="7"/>
      <c r="AG126" s="7"/>
      <c r="AH126" s="7"/>
      <c r="AI126" s="7"/>
      <c r="AJ126" s="7"/>
      <c r="AK126" s="7"/>
      <c r="AL126" s="236"/>
      <c r="AM126" s="390"/>
      <c r="AN126" s="7"/>
      <c r="AO126" s="391"/>
      <c r="AP126" s="11"/>
      <c r="AQ126" s="7"/>
      <c r="AR126" s="7"/>
      <c r="AS126" s="236"/>
      <c r="AT126" s="242">
        <v>220</v>
      </c>
      <c r="AU126" s="7"/>
      <c r="AV126" s="11"/>
      <c r="AW126" s="242"/>
      <c r="AX126" s="7"/>
      <c r="AY126" s="11"/>
      <c r="AZ126" s="242"/>
      <c r="BA126" s="11"/>
      <c r="BB126" s="243"/>
      <c r="BC126" s="242"/>
      <c r="BD126" s="11"/>
      <c r="BE126" s="243"/>
      <c r="BF126" s="242"/>
      <c r="BG126" s="11"/>
      <c r="BH126" s="243"/>
      <c r="BI126" s="11"/>
      <c r="BJ126" s="7"/>
    </row>
    <row r="127" spans="1:62" x14ac:dyDescent="0.25">
      <c r="A127" s="71">
        <f t="shared" si="14"/>
        <v>123</v>
      </c>
      <c r="B127" s="1" t="s">
        <v>692</v>
      </c>
      <c r="C127" s="1" t="s">
        <v>1792</v>
      </c>
      <c r="D127" s="1" t="s">
        <v>2262</v>
      </c>
      <c r="E127" s="1" t="s">
        <v>2263</v>
      </c>
      <c r="F127" s="1" t="s">
        <v>2051</v>
      </c>
      <c r="G127" s="12">
        <v>43281</v>
      </c>
      <c r="H127" s="271">
        <f t="shared" si="25"/>
        <v>316815.76549999998</v>
      </c>
      <c r="I127" s="271">
        <v>372724.43</v>
      </c>
      <c r="J127" s="270"/>
      <c r="K127" s="270">
        <f t="shared" si="27"/>
        <v>372724.43</v>
      </c>
      <c r="L127" s="7"/>
      <c r="M127" s="7"/>
      <c r="N127" s="7"/>
      <c r="O127" s="7"/>
      <c r="P127" s="7"/>
      <c r="Q127" s="7"/>
      <c r="R127" s="7"/>
      <c r="S127" s="236"/>
      <c r="T127" s="390">
        <v>145.5</v>
      </c>
      <c r="U127" s="7">
        <f t="shared" ref="U127:U141" si="28">T127</f>
        <v>145.5</v>
      </c>
      <c r="V127" s="391"/>
      <c r="W127" s="390"/>
      <c r="X127" s="11"/>
      <c r="Y127" s="391"/>
      <c r="Z127" s="11"/>
      <c r="AA127" s="236"/>
      <c r="AB127" s="390"/>
      <c r="AC127" s="7"/>
      <c r="AD127" s="391"/>
      <c r="AE127" s="11"/>
      <c r="AF127" s="7"/>
      <c r="AG127" s="7"/>
      <c r="AH127" s="7"/>
      <c r="AI127" s="7"/>
      <c r="AJ127" s="7"/>
      <c r="AK127" s="7"/>
      <c r="AL127" s="236"/>
      <c r="AM127" s="390"/>
      <c r="AN127" s="7"/>
      <c r="AO127" s="391"/>
      <c r="AP127" s="11"/>
      <c r="AQ127" s="7"/>
      <c r="AR127" s="7"/>
      <c r="AS127" s="236"/>
      <c r="AT127" s="242">
        <v>145.5</v>
      </c>
      <c r="AU127" s="7">
        <f t="shared" ref="AU127:AU141" si="29">AT127</f>
        <v>145.5</v>
      </c>
      <c r="AV127" s="11"/>
      <c r="AW127" s="242"/>
      <c r="AX127" s="7"/>
      <c r="AY127" s="11"/>
      <c r="AZ127" s="242"/>
      <c r="BA127" s="11"/>
      <c r="BB127" s="243"/>
      <c r="BC127" s="242"/>
      <c r="BD127" s="11"/>
      <c r="BE127" s="243"/>
      <c r="BF127" s="242"/>
      <c r="BG127" s="11"/>
      <c r="BH127" s="243"/>
      <c r="BI127" s="11"/>
      <c r="BJ127" s="7"/>
    </row>
    <row r="128" spans="1:62" ht="25.5" x14ac:dyDescent="0.25">
      <c r="A128" s="71">
        <f t="shared" si="14"/>
        <v>124</v>
      </c>
      <c r="B128" s="1" t="s">
        <v>676</v>
      </c>
      <c r="C128" s="1" t="s">
        <v>1792</v>
      </c>
      <c r="D128" s="1" t="s">
        <v>2264</v>
      </c>
      <c r="E128" s="1" t="s">
        <v>2265</v>
      </c>
      <c r="F128" s="1" t="s">
        <v>2051</v>
      </c>
      <c r="G128" s="12">
        <v>43281</v>
      </c>
      <c r="H128" s="271">
        <f t="shared" si="25"/>
        <v>409303.152</v>
      </c>
      <c r="I128" s="271">
        <v>481533.12</v>
      </c>
      <c r="J128" s="270"/>
      <c r="K128" s="270">
        <f t="shared" si="27"/>
        <v>481533.12</v>
      </c>
      <c r="L128" s="7"/>
      <c r="M128" s="7"/>
      <c r="N128" s="7"/>
      <c r="O128" s="7"/>
      <c r="P128" s="7"/>
      <c r="Q128" s="7"/>
      <c r="R128" s="7"/>
      <c r="S128" s="236"/>
      <c r="T128" s="390">
        <v>133</v>
      </c>
      <c r="U128" s="7">
        <f t="shared" si="28"/>
        <v>133</v>
      </c>
      <c r="V128" s="391"/>
      <c r="W128" s="390"/>
      <c r="X128" s="11"/>
      <c r="Y128" s="391"/>
      <c r="Z128" s="11"/>
      <c r="AA128" s="236"/>
      <c r="AB128" s="390"/>
      <c r="AC128" s="7"/>
      <c r="AD128" s="391"/>
      <c r="AE128" s="11"/>
      <c r="AF128" s="7"/>
      <c r="AG128" s="7"/>
      <c r="AH128" s="7"/>
      <c r="AI128" s="7"/>
      <c r="AJ128" s="7"/>
      <c r="AK128" s="7"/>
      <c r="AL128" s="236"/>
      <c r="AM128" s="390"/>
      <c r="AN128" s="7"/>
      <c r="AO128" s="391"/>
      <c r="AP128" s="11"/>
      <c r="AQ128" s="7"/>
      <c r="AR128" s="7"/>
      <c r="AS128" s="236"/>
      <c r="AT128" s="242">
        <v>133</v>
      </c>
      <c r="AU128" s="7">
        <f t="shared" si="29"/>
        <v>133</v>
      </c>
      <c r="AV128" s="11"/>
      <c r="AW128" s="242"/>
      <c r="AX128" s="7"/>
      <c r="AY128" s="11"/>
      <c r="AZ128" s="242"/>
      <c r="BA128" s="11"/>
      <c r="BB128" s="243"/>
      <c r="BC128" s="242"/>
      <c r="BD128" s="11"/>
      <c r="BE128" s="243"/>
      <c r="BF128" s="242"/>
      <c r="BG128" s="11"/>
      <c r="BH128" s="243"/>
      <c r="BI128" s="11"/>
      <c r="BJ128" s="7"/>
    </row>
    <row r="129" spans="1:62" x14ac:dyDescent="0.25">
      <c r="A129" s="71">
        <f t="shared" si="14"/>
        <v>125</v>
      </c>
      <c r="B129" s="1" t="s">
        <v>630</v>
      </c>
      <c r="C129" s="1" t="s">
        <v>1792</v>
      </c>
      <c r="D129" s="1" t="s">
        <v>2266</v>
      </c>
      <c r="E129" s="1" t="s">
        <v>2267</v>
      </c>
      <c r="F129" s="1" t="s">
        <v>2051</v>
      </c>
      <c r="G129" s="12">
        <v>43281</v>
      </c>
      <c r="H129" s="271">
        <f t="shared" si="25"/>
        <v>460769.08799999999</v>
      </c>
      <c r="I129" s="271">
        <v>542081.28000000003</v>
      </c>
      <c r="J129" s="270"/>
      <c r="K129" s="270">
        <f t="shared" si="27"/>
        <v>542081.28000000003</v>
      </c>
      <c r="L129" s="7"/>
      <c r="M129" s="7"/>
      <c r="N129" s="7"/>
      <c r="O129" s="7"/>
      <c r="P129" s="7"/>
      <c r="Q129" s="7"/>
      <c r="R129" s="7"/>
      <c r="S129" s="236"/>
      <c r="T129" s="390">
        <v>850</v>
      </c>
      <c r="U129" s="7">
        <f t="shared" si="28"/>
        <v>850</v>
      </c>
      <c r="V129" s="391"/>
      <c r="W129" s="390"/>
      <c r="X129" s="11"/>
      <c r="Y129" s="391"/>
      <c r="Z129" s="11"/>
      <c r="AA129" s="236"/>
      <c r="AB129" s="390"/>
      <c r="AC129" s="7"/>
      <c r="AD129" s="391"/>
      <c r="AE129" s="11"/>
      <c r="AF129" s="7"/>
      <c r="AG129" s="7"/>
      <c r="AH129" s="7"/>
      <c r="AI129" s="7"/>
      <c r="AJ129" s="7"/>
      <c r="AK129" s="7"/>
      <c r="AL129" s="236"/>
      <c r="AM129" s="390"/>
      <c r="AN129" s="7"/>
      <c r="AO129" s="391"/>
      <c r="AP129" s="11"/>
      <c r="AQ129" s="7"/>
      <c r="AR129" s="7"/>
      <c r="AS129" s="236"/>
      <c r="AT129" s="242">
        <v>850</v>
      </c>
      <c r="AU129" s="7">
        <f t="shared" si="29"/>
        <v>850</v>
      </c>
      <c r="AV129" s="11"/>
      <c r="AW129" s="242"/>
      <c r="AX129" s="7"/>
      <c r="AY129" s="11"/>
      <c r="AZ129" s="242"/>
      <c r="BA129" s="11"/>
      <c r="BB129" s="243"/>
      <c r="BC129" s="242"/>
      <c r="BD129" s="11"/>
      <c r="BE129" s="243"/>
      <c r="BF129" s="242"/>
      <c r="BG129" s="11"/>
      <c r="BH129" s="243"/>
      <c r="BI129" s="11"/>
      <c r="BJ129" s="7"/>
    </row>
    <row r="130" spans="1:62" x14ac:dyDescent="0.25">
      <c r="A130" s="71">
        <f t="shared" si="14"/>
        <v>126</v>
      </c>
      <c r="B130" s="1" t="s">
        <v>594</v>
      </c>
      <c r="C130" s="1" t="s">
        <v>1792</v>
      </c>
      <c r="D130" s="1" t="s">
        <v>2268</v>
      </c>
      <c r="E130" s="1" t="s">
        <v>2269</v>
      </c>
      <c r="F130" s="1" t="s">
        <v>2051</v>
      </c>
      <c r="G130" s="12">
        <v>43281</v>
      </c>
      <c r="H130" s="271">
        <f t="shared" si="25"/>
        <v>250129.177</v>
      </c>
      <c r="I130" s="271">
        <v>294269.62</v>
      </c>
      <c r="J130" s="270"/>
      <c r="K130" s="270">
        <f t="shared" si="27"/>
        <v>294269.62</v>
      </c>
      <c r="L130" s="7"/>
      <c r="M130" s="7"/>
      <c r="N130" s="7"/>
      <c r="O130" s="7"/>
      <c r="P130" s="7"/>
      <c r="Q130" s="7"/>
      <c r="R130" s="7"/>
      <c r="S130" s="236"/>
      <c r="T130" s="390">
        <v>100</v>
      </c>
      <c r="U130" s="7">
        <f t="shared" si="28"/>
        <v>100</v>
      </c>
      <c r="V130" s="391"/>
      <c r="W130" s="390"/>
      <c r="X130" s="11"/>
      <c r="Y130" s="391"/>
      <c r="Z130" s="11"/>
      <c r="AA130" s="236"/>
      <c r="AB130" s="390"/>
      <c r="AC130" s="7"/>
      <c r="AD130" s="391"/>
      <c r="AE130" s="11"/>
      <c r="AF130" s="7"/>
      <c r="AG130" s="7"/>
      <c r="AH130" s="7"/>
      <c r="AI130" s="7"/>
      <c r="AJ130" s="7"/>
      <c r="AK130" s="7"/>
      <c r="AL130" s="236"/>
      <c r="AM130" s="390"/>
      <c r="AN130" s="7"/>
      <c r="AO130" s="391"/>
      <c r="AP130" s="11"/>
      <c r="AQ130" s="7"/>
      <c r="AR130" s="7"/>
      <c r="AS130" s="236"/>
      <c r="AT130" s="242">
        <v>100</v>
      </c>
      <c r="AU130" s="7">
        <f t="shared" si="29"/>
        <v>100</v>
      </c>
      <c r="AV130" s="11"/>
      <c r="AW130" s="242"/>
      <c r="AX130" s="7"/>
      <c r="AY130" s="11"/>
      <c r="AZ130" s="242"/>
      <c r="BA130" s="11"/>
      <c r="BB130" s="243"/>
      <c r="BC130" s="242"/>
      <c r="BD130" s="11"/>
      <c r="BE130" s="243"/>
      <c r="BF130" s="242"/>
      <c r="BG130" s="11"/>
      <c r="BH130" s="243"/>
      <c r="BI130" s="11"/>
      <c r="BJ130" s="7"/>
    </row>
    <row r="131" spans="1:62" ht="25.5" x14ac:dyDescent="0.25">
      <c r="A131" s="71">
        <f t="shared" si="14"/>
        <v>127</v>
      </c>
      <c r="B131" s="1" t="s">
        <v>619</v>
      </c>
      <c r="C131" s="1" t="s">
        <v>1792</v>
      </c>
      <c r="D131" s="1" t="s">
        <v>984</v>
      </c>
      <c r="E131" s="1" t="s">
        <v>2270</v>
      </c>
      <c r="F131" s="1" t="s">
        <v>2051</v>
      </c>
      <c r="G131" s="12">
        <v>43343</v>
      </c>
      <c r="H131" s="271">
        <v>257811.8</v>
      </c>
      <c r="I131" s="271">
        <v>303308</v>
      </c>
      <c r="J131" s="270"/>
      <c r="K131" s="270">
        <f t="shared" si="27"/>
        <v>303308</v>
      </c>
      <c r="L131" s="7"/>
      <c r="M131" s="7"/>
      <c r="N131" s="7"/>
      <c r="O131" s="7"/>
      <c r="P131" s="7"/>
      <c r="Q131" s="7"/>
      <c r="R131" s="7"/>
      <c r="S131" s="236"/>
      <c r="T131" s="390">
        <v>450</v>
      </c>
      <c r="U131" s="7">
        <f t="shared" si="28"/>
        <v>450</v>
      </c>
      <c r="V131" s="391"/>
      <c r="W131" s="390"/>
      <c r="X131" s="11"/>
      <c r="Y131" s="391"/>
      <c r="Z131" s="11"/>
      <c r="AA131" s="236"/>
      <c r="AB131" s="390"/>
      <c r="AC131" s="7"/>
      <c r="AD131" s="391"/>
      <c r="AE131" s="11"/>
      <c r="AF131" s="7"/>
      <c r="AG131" s="7"/>
      <c r="AH131" s="7"/>
      <c r="AI131" s="7"/>
      <c r="AJ131" s="7"/>
      <c r="AK131" s="7"/>
      <c r="AL131" s="236"/>
      <c r="AM131" s="390"/>
      <c r="AN131" s="7"/>
      <c r="AO131" s="391"/>
      <c r="AP131" s="11"/>
      <c r="AQ131" s="7"/>
      <c r="AR131" s="7"/>
      <c r="AS131" s="236"/>
      <c r="AT131" s="242">
        <v>450</v>
      </c>
      <c r="AU131" s="7">
        <f t="shared" si="29"/>
        <v>450</v>
      </c>
      <c r="AV131" s="11"/>
      <c r="AW131" s="242"/>
      <c r="AX131" s="7"/>
      <c r="AY131" s="11"/>
      <c r="AZ131" s="242"/>
      <c r="BA131" s="11"/>
      <c r="BB131" s="243"/>
      <c r="BC131" s="242"/>
      <c r="BD131" s="11"/>
      <c r="BE131" s="243"/>
      <c r="BF131" s="242"/>
      <c r="BG131" s="11"/>
      <c r="BH131" s="243"/>
      <c r="BI131" s="11"/>
      <c r="BJ131" s="7"/>
    </row>
    <row r="132" spans="1:62" x14ac:dyDescent="0.25">
      <c r="A132" s="71">
        <f t="shared" si="14"/>
        <v>128</v>
      </c>
      <c r="B132" s="1" t="s">
        <v>629</v>
      </c>
      <c r="C132" s="1" t="s">
        <v>1792</v>
      </c>
      <c r="D132" s="1" t="s">
        <v>907</v>
      </c>
      <c r="E132" s="1" t="s">
        <v>2271</v>
      </c>
      <c r="F132" s="1" t="s">
        <v>2051</v>
      </c>
      <c r="G132" s="12">
        <v>43343</v>
      </c>
      <c r="H132" s="271">
        <f>I132*0.85</f>
        <v>642330.72</v>
      </c>
      <c r="I132" s="271">
        <v>755683.2</v>
      </c>
      <c r="J132" s="270"/>
      <c r="K132" s="270">
        <f t="shared" si="27"/>
        <v>755683.2</v>
      </c>
      <c r="L132" s="7"/>
      <c r="M132" s="7"/>
      <c r="N132" s="7"/>
      <c r="O132" s="7"/>
      <c r="P132" s="7"/>
      <c r="Q132" s="7"/>
      <c r="R132" s="7"/>
      <c r="S132" s="236"/>
      <c r="T132" s="390">
        <v>1500</v>
      </c>
      <c r="U132" s="7">
        <f t="shared" si="28"/>
        <v>1500</v>
      </c>
      <c r="V132" s="391"/>
      <c r="W132" s="390"/>
      <c r="X132" s="11"/>
      <c r="Y132" s="391"/>
      <c r="Z132" s="11"/>
      <c r="AA132" s="236"/>
      <c r="AB132" s="390"/>
      <c r="AC132" s="7"/>
      <c r="AD132" s="391"/>
      <c r="AE132" s="11"/>
      <c r="AF132" s="7"/>
      <c r="AG132" s="7"/>
      <c r="AH132" s="7"/>
      <c r="AI132" s="7"/>
      <c r="AJ132" s="7"/>
      <c r="AK132" s="7"/>
      <c r="AL132" s="236"/>
      <c r="AM132" s="390"/>
      <c r="AN132" s="7"/>
      <c r="AO132" s="391"/>
      <c r="AP132" s="11"/>
      <c r="AQ132" s="7"/>
      <c r="AR132" s="7"/>
      <c r="AS132" s="236"/>
      <c r="AT132" s="242">
        <v>1500</v>
      </c>
      <c r="AU132" s="7">
        <f t="shared" si="29"/>
        <v>1500</v>
      </c>
      <c r="AV132" s="11"/>
      <c r="AW132" s="242"/>
      <c r="AX132" s="7"/>
      <c r="AY132" s="11"/>
      <c r="AZ132" s="242"/>
      <c r="BA132" s="11"/>
      <c r="BB132" s="243"/>
      <c r="BC132" s="242"/>
      <c r="BD132" s="11"/>
      <c r="BE132" s="243"/>
      <c r="BF132" s="242"/>
      <c r="BG132" s="11"/>
      <c r="BH132" s="243"/>
      <c r="BI132" s="11"/>
      <c r="BJ132" s="7"/>
    </row>
    <row r="133" spans="1:62" x14ac:dyDescent="0.25">
      <c r="A133" s="71">
        <f t="shared" si="14"/>
        <v>129</v>
      </c>
      <c r="B133" s="1" t="s">
        <v>597</v>
      </c>
      <c r="C133" s="1" t="s">
        <v>1707</v>
      </c>
      <c r="D133" s="1" t="s">
        <v>2272</v>
      </c>
      <c r="E133" s="1" t="s">
        <v>2273</v>
      </c>
      <c r="F133" s="1" t="s">
        <v>2051</v>
      </c>
      <c r="G133" s="12">
        <v>43343</v>
      </c>
      <c r="H133" s="271">
        <f>I133*0.85</f>
        <v>958704.23050000006</v>
      </c>
      <c r="I133" s="271">
        <v>1127887.33</v>
      </c>
      <c r="J133" s="270"/>
      <c r="K133" s="270">
        <f t="shared" si="27"/>
        <v>1127887.33</v>
      </c>
      <c r="L133" s="7"/>
      <c r="M133" s="7"/>
      <c r="N133" s="7"/>
      <c r="O133" s="7"/>
      <c r="P133" s="7"/>
      <c r="Q133" s="7"/>
      <c r="R133" s="7"/>
      <c r="S133" s="236"/>
      <c r="T133" s="390">
        <v>2017.17</v>
      </c>
      <c r="U133" s="7">
        <f t="shared" si="28"/>
        <v>2017.17</v>
      </c>
      <c r="V133" s="391"/>
      <c r="W133" s="390"/>
      <c r="X133" s="11"/>
      <c r="Y133" s="391"/>
      <c r="Z133" s="11"/>
      <c r="AA133" s="236"/>
      <c r="AB133" s="390"/>
      <c r="AC133" s="7"/>
      <c r="AD133" s="391"/>
      <c r="AE133" s="11"/>
      <c r="AF133" s="7"/>
      <c r="AG133" s="7"/>
      <c r="AH133" s="7"/>
      <c r="AI133" s="7"/>
      <c r="AJ133" s="7"/>
      <c r="AK133" s="7"/>
      <c r="AL133" s="236"/>
      <c r="AM133" s="390"/>
      <c r="AN133" s="7"/>
      <c r="AO133" s="391"/>
      <c r="AP133" s="11"/>
      <c r="AQ133" s="7"/>
      <c r="AR133" s="7"/>
      <c r="AS133" s="236"/>
      <c r="AT133" s="242">
        <v>2017.17</v>
      </c>
      <c r="AU133" s="7">
        <f t="shared" si="29"/>
        <v>2017.17</v>
      </c>
      <c r="AV133" s="11"/>
      <c r="AW133" s="242"/>
      <c r="AX133" s="7"/>
      <c r="AY133" s="11"/>
      <c r="AZ133" s="242"/>
      <c r="BA133" s="11"/>
      <c r="BB133" s="243"/>
      <c r="BC133" s="242"/>
      <c r="BD133" s="11"/>
      <c r="BE133" s="243"/>
      <c r="BF133" s="242"/>
      <c r="BG133" s="11"/>
      <c r="BH133" s="243"/>
      <c r="BI133" s="11"/>
      <c r="BJ133" s="7"/>
    </row>
    <row r="134" spans="1:62" x14ac:dyDescent="0.25">
      <c r="A134" s="71">
        <f t="shared" si="14"/>
        <v>130</v>
      </c>
      <c r="B134" s="1" t="s">
        <v>664</v>
      </c>
      <c r="C134" s="1" t="s">
        <v>1792</v>
      </c>
      <c r="D134" s="1" t="s">
        <v>2274</v>
      </c>
      <c r="E134" s="1" t="s">
        <v>2275</v>
      </c>
      <c r="F134" s="1" t="s">
        <v>2051</v>
      </c>
      <c r="G134" s="12">
        <v>43343</v>
      </c>
      <c r="H134" s="271">
        <f>I134*0.85</f>
        <v>929701.44</v>
      </c>
      <c r="I134" s="271">
        <v>1093766.3999999999</v>
      </c>
      <c r="J134" s="270"/>
      <c r="K134" s="270">
        <f t="shared" si="27"/>
        <v>1093766.3999999999</v>
      </c>
      <c r="L134" s="7"/>
      <c r="M134" s="7"/>
      <c r="N134" s="7"/>
      <c r="O134" s="7"/>
      <c r="P134" s="7"/>
      <c r="Q134" s="7"/>
      <c r="R134" s="7"/>
      <c r="S134" s="236"/>
      <c r="T134" s="390">
        <v>1880</v>
      </c>
      <c r="U134" s="7">
        <f t="shared" si="28"/>
        <v>1880</v>
      </c>
      <c r="V134" s="391"/>
      <c r="W134" s="390"/>
      <c r="X134" s="11"/>
      <c r="Y134" s="391"/>
      <c r="Z134" s="11"/>
      <c r="AA134" s="236"/>
      <c r="AB134" s="390"/>
      <c r="AC134" s="7"/>
      <c r="AD134" s="391"/>
      <c r="AE134" s="11"/>
      <c r="AF134" s="7"/>
      <c r="AG134" s="7"/>
      <c r="AH134" s="7"/>
      <c r="AI134" s="7"/>
      <c r="AJ134" s="7"/>
      <c r="AK134" s="7"/>
      <c r="AL134" s="236"/>
      <c r="AM134" s="390"/>
      <c r="AN134" s="7"/>
      <c r="AO134" s="391"/>
      <c r="AP134" s="11"/>
      <c r="AQ134" s="7"/>
      <c r="AR134" s="7"/>
      <c r="AS134" s="236"/>
      <c r="AT134" s="242">
        <v>1880</v>
      </c>
      <c r="AU134" s="7">
        <f t="shared" si="29"/>
        <v>1880</v>
      </c>
      <c r="AV134" s="11"/>
      <c r="AW134" s="242"/>
      <c r="AX134" s="7"/>
      <c r="AY134" s="11"/>
      <c r="AZ134" s="242"/>
      <c r="BA134" s="11"/>
      <c r="BB134" s="243"/>
      <c r="BC134" s="242"/>
      <c r="BD134" s="11"/>
      <c r="BE134" s="243"/>
      <c r="BF134" s="242"/>
      <c r="BG134" s="11"/>
      <c r="BH134" s="243"/>
      <c r="BI134" s="11"/>
      <c r="BJ134" s="7"/>
    </row>
    <row r="135" spans="1:62" x14ac:dyDescent="0.25">
      <c r="A135" s="71">
        <f t="shared" ref="A135:A143" si="30">A134+1</f>
        <v>131</v>
      </c>
      <c r="B135" s="1" t="s">
        <v>642</v>
      </c>
      <c r="C135" s="1" t="s">
        <v>1792</v>
      </c>
      <c r="D135" s="1" t="s">
        <v>1055</v>
      </c>
      <c r="E135" s="1" t="s">
        <v>2276</v>
      </c>
      <c r="F135" s="1" t="s">
        <v>2051</v>
      </c>
      <c r="G135" s="12">
        <v>43343</v>
      </c>
      <c r="H135" s="271">
        <f>I135*0.85</f>
        <v>329467.99849999999</v>
      </c>
      <c r="I135" s="271">
        <v>387609.41</v>
      </c>
      <c r="J135" s="270"/>
      <c r="K135" s="270">
        <f t="shared" si="27"/>
        <v>387609.41</v>
      </c>
      <c r="L135" s="7"/>
      <c r="M135" s="7"/>
      <c r="N135" s="7"/>
      <c r="O135" s="7"/>
      <c r="P135" s="7"/>
      <c r="Q135" s="7"/>
      <c r="R135" s="7"/>
      <c r="S135" s="236"/>
      <c r="T135" s="390">
        <v>110</v>
      </c>
      <c r="U135" s="7">
        <f t="shared" si="28"/>
        <v>110</v>
      </c>
      <c r="V135" s="391"/>
      <c r="W135" s="390"/>
      <c r="X135" s="11"/>
      <c r="Y135" s="391"/>
      <c r="Z135" s="11"/>
      <c r="AA135" s="236"/>
      <c r="AB135" s="390">
        <v>400</v>
      </c>
      <c r="AC135" s="7">
        <f t="shared" ref="AC135:AC140" si="31">AB135</f>
        <v>400</v>
      </c>
      <c r="AD135" s="391"/>
      <c r="AE135" s="11"/>
      <c r="AF135" s="7"/>
      <c r="AG135" s="7"/>
      <c r="AH135" s="7"/>
      <c r="AI135" s="7"/>
      <c r="AJ135" s="7"/>
      <c r="AK135" s="7"/>
      <c r="AL135" s="236"/>
      <c r="AM135" s="390">
        <v>7</v>
      </c>
      <c r="AN135" s="7">
        <f t="shared" si="17"/>
        <v>7</v>
      </c>
      <c r="AO135" s="391"/>
      <c r="AP135" s="11"/>
      <c r="AQ135" s="7"/>
      <c r="AR135" s="7"/>
      <c r="AS135" s="236"/>
      <c r="AT135" s="242">
        <v>110</v>
      </c>
      <c r="AU135" s="7">
        <f t="shared" si="29"/>
        <v>110</v>
      </c>
      <c r="AV135" s="11"/>
      <c r="AW135" s="242"/>
      <c r="AX135" s="7"/>
      <c r="AY135" s="11"/>
      <c r="AZ135" s="242"/>
      <c r="BA135" s="11"/>
      <c r="BB135" s="243"/>
      <c r="BC135" s="242"/>
      <c r="BD135" s="11"/>
      <c r="BE135" s="243"/>
      <c r="BF135" s="242"/>
      <c r="BG135" s="11"/>
      <c r="BH135" s="243"/>
      <c r="BI135" s="11"/>
      <c r="BJ135" s="7"/>
    </row>
    <row r="136" spans="1:62" x14ac:dyDescent="0.25">
      <c r="A136" s="71">
        <f t="shared" si="30"/>
        <v>132</v>
      </c>
      <c r="B136" s="1" t="s">
        <v>653</v>
      </c>
      <c r="C136" s="1" t="s">
        <v>1792</v>
      </c>
      <c r="D136" s="1" t="s">
        <v>2277</v>
      </c>
      <c r="E136" s="1" t="s">
        <v>2278</v>
      </c>
      <c r="F136" s="1" t="s">
        <v>2051</v>
      </c>
      <c r="G136" s="273">
        <v>43404</v>
      </c>
      <c r="H136" s="274">
        <v>542637.13</v>
      </c>
      <c r="I136" s="274">
        <v>638396.62</v>
      </c>
      <c r="J136" s="304"/>
      <c r="K136" s="270">
        <f>I136</f>
        <v>638396.62</v>
      </c>
      <c r="L136" s="7"/>
      <c r="M136" s="7"/>
      <c r="N136" s="7"/>
      <c r="O136" s="7"/>
      <c r="P136" s="7"/>
      <c r="Q136" s="7"/>
      <c r="R136" s="7"/>
      <c r="S136" s="236"/>
      <c r="T136" s="390">
        <v>18.8</v>
      </c>
      <c r="U136" s="7">
        <f t="shared" si="28"/>
        <v>18.8</v>
      </c>
      <c r="V136" s="391"/>
      <c r="W136" s="390"/>
      <c r="X136" s="11"/>
      <c r="Y136" s="391"/>
      <c r="Z136" s="11"/>
      <c r="AA136" s="236"/>
      <c r="AB136" s="390"/>
      <c r="AC136" s="7"/>
      <c r="AD136" s="391"/>
      <c r="AE136" s="11"/>
      <c r="AF136" s="7"/>
      <c r="AG136" s="7"/>
      <c r="AH136" s="7"/>
      <c r="AI136" s="7"/>
      <c r="AJ136" s="7"/>
      <c r="AK136" s="7"/>
      <c r="AL136" s="236"/>
      <c r="AM136" s="390"/>
      <c r="AN136" s="7"/>
      <c r="AO136" s="391"/>
      <c r="AP136" s="11"/>
      <c r="AQ136" s="7"/>
      <c r="AR136" s="7"/>
      <c r="AS136" s="236"/>
      <c r="AT136" s="242">
        <v>18.8</v>
      </c>
      <c r="AU136" s="7">
        <f t="shared" si="29"/>
        <v>18.8</v>
      </c>
      <c r="AV136" s="11"/>
      <c r="AW136" s="242"/>
      <c r="AX136" s="7"/>
      <c r="AY136" s="11"/>
      <c r="AZ136" s="242"/>
      <c r="BA136" s="11"/>
      <c r="BB136" s="243"/>
      <c r="BC136" s="242"/>
      <c r="BD136" s="11"/>
      <c r="BE136" s="243"/>
      <c r="BF136" s="242"/>
      <c r="BG136" s="11"/>
      <c r="BH136" s="243"/>
      <c r="BI136" s="11"/>
      <c r="BJ136" s="7"/>
    </row>
    <row r="137" spans="1:62" ht="25.5" x14ac:dyDescent="0.25">
      <c r="A137" s="71">
        <f t="shared" si="30"/>
        <v>133</v>
      </c>
      <c r="B137" s="1" t="s">
        <v>658</v>
      </c>
      <c r="C137" s="1" t="s">
        <v>1792</v>
      </c>
      <c r="D137" s="1" t="s">
        <v>2279</v>
      </c>
      <c r="E137" s="1" t="s">
        <v>2280</v>
      </c>
      <c r="F137" s="1" t="s">
        <v>2051</v>
      </c>
      <c r="G137" s="12">
        <v>43404</v>
      </c>
      <c r="H137" s="271">
        <f>I137*0.85</f>
        <v>529994.80500000005</v>
      </c>
      <c r="I137" s="271">
        <v>623523.30000000005</v>
      </c>
      <c r="J137" s="270"/>
      <c r="K137" s="270">
        <f t="shared" ref="K137:K141" si="32">I137</f>
        <v>623523.30000000005</v>
      </c>
      <c r="L137" s="7"/>
      <c r="M137" s="7"/>
      <c r="N137" s="7"/>
      <c r="O137" s="7"/>
      <c r="P137" s="7"/>
      <c r="Q137" s="7"/>
      <c r="R137" s="7"/>
      <c r="S137" s="236"/>
      <c r="T137" s="390">
        <v>528.76099999999997</v>
      </c>
      <c r="U137" s="7">
        <f t="shared" si="28"/>
        <v>528.76099999999997</v>
      </c>
      <c r="V137" s="391"/>
      <c r="W137" s="390"/>
      <c r="X137" s="11"/>
      <c r="Y137" s="391"/>
      <c r="Z137" s="11"/>
      <c r="AA137" s="236"/>
      <c r="AB137" s="390"/>
      <c r="AC137" s="7"/>
      <c r="AD137" s="391"/>
      <c r="AE137" s="11"/>
      <c r="AF137" s="7"/>
      <c r="AG137" s="7"/>
      <c r="AH137" s="7"/>
      <c r="AI137" s="7"/>
      <c r="AJ137" s="7"/>
      <c r="AK137" s="7"/>
      <c r="AL137" s="236"/>
      <c r="AM137" s="390"/>
      <c r="AN137" s="7"/>
      <c r="AO137" s="391"/>
      <c r="AP137" s="11"/>
      <c r="AQ137" s="7"/>
      <c r="AR137" s="7"/>
      <c r="AS137" s="236"/>
      <c r="AT137" s="242">
        <v>528.76099999999997</v>
      </c>
      <c r="AU137" s="7">
        <f t="shared" si="29"/>
        <v>528.76099999999997</v>
      </c>
      <c r="AV137" s="11"/>
      <c r="AW137" s="242"/>
      <c r="AX137" s="7"/>
      <c r="AY137" s="11"/>
      <c r="AZ137" s="242"/>
      <c r="BA137" s="11"/>
      <c r="BB137" s="243"/>
      <c r="BC137" s="242"/>
      <c r="BD137" s="11"/>
      <c r="BE137" s="243"/>
      <c r="BF137" s="242"/>
      <c r="BG137" s="11"/>
      <c r="BH137" s="243"/>
      <c r="BI137" s="11"/>
      <c r="BJ137" s="7"/>
    </row>
    <row r="138" spans="1:62" x14ac:dyDescent="0.25">
      <c r="A138" s="71">
        <f t="shared" si="30"/>
        <v>134</v>
      </c>
      <c r="B138" s="1" t="s">
        <v>689</v>
      </c>
      <c r="C138" s="1" t="s">
        <v>1792</v>
      </c>
      <c r="D138" s="1" t="s">
        <v>2281</v>
      </c>
      <c r="E138" s="1" t="s">
        <v>2282</v>
      </c>
      <c r="F138" s="1" t="s">
        <v>2051</v>
      </c>
      <c r="G138" s="12">
        <v>43465</v>
      </c>
      <c r="H138" s="271">
        <f>I138*0.85</f>
        <v>928398.56850000005</v>
      </c>
      <c r="I138" s="271">
        <v>1092233.6100000001</v>
      </c>
      <c r="J138" s="270"/>
      <c r="K138" s="270">
        <f t="shared" si="32"/>
        <v>1092233.6100000001</v>
      </c>
      <c r="L138" s="7"/>
      <c r="M138" s="7"/>
      <c r="N138" s="7"/>
      <c r="O138" s="7"/>
      <c r="P138" s="7"/>
      <c r="Q138" s="7"/>
      <c r="R138" s="7"/>
      <c r="S138" s="236"/>
      <c r="T138" s="390">
        <v>92.58</v>
      </c>
      <c r="U138" s="7">
        <f t="shared" si="28"/>
        <v>92.58</v>
      </c>
      <c r="V138" s="391"/>
      <c r="W138" s="390"/>
      <c r="X138" s="11"/>
      <c r="Y138" s="391"/>
      <c r="Z138" s="11"/>
      <c r="AA138" s="236"/>
      <c r="AB138" s="390">
        <v>2279</v>
      </c>
      <c r="AC138" s="7">
        <f t="shared" si="31"/>
        <v>2279</v>
      </c>
      <c r="AD138" s="391"/>
      <c r="AE138" s="11"/>
      <c r="AF138" s="7"/>
      <c r="AG138" s="7"/>
      <c r="AH138" s="7"/>
      <c r="AI138" s="7"/>
      <c r="AJ138" s="7"/>
      <c r="AK138" s="7"/>
      <c r="AL138" s="236"/>
      <c r="AM138" s="390">
        <v>3</v>
      </c>
      <c r="AN138" s="7">
        <f t="shared" ref="AN138:AN140" si="33">AM138</f>
        <v>3</v>
      </c>
      <c r="AO138" s="391"/>
      <c r="AP138" s="11"/>
      <c r="AQ138" s="7"/>
      <c r="AR138" s="7"/>
      <c r="AS138" s="236"/>
      <c r="AT138" s="242">
        <v>92.58</v>
      </c>
      <c r="AU138" s="7">
        <f t="shared" si="29"/>
        <v>92.58</v>
      </c>
      <c r="AV138" s="11"/>
      <c r="AW138" s="242"/>
      <c r="AX138" s="7"/>
      <c r="AY138" s="11"/>
      <c r="AZ138" s="242"/>
      <c r="BA138" s="11"/>
      <c r="BB138" s="243"/>
      <c r="BC138" s="242"/>
      <c r="BD138" s="11"/>
      <c r="BE138" s="243"/>
      <c r="BF138" s="242"/>
      <c r="BG138" s="11"/>
      <c r="BH138" s="243"/>
      <c r="BI138" s="11"/>
      <c r="BJ138" s="7"/>
    </row>
    <row r="139" spans="1:62" x14ac:dyDescent="0.25">
      <c r="A139" s="71">
        <f t="shared" si="30"/>
        <v>135</v>
      </c>
      <c r="B139" s="1" t="s">
        <v>645</v>
      </c>
      <c r="C139" s="1" t="s">
        <v>1792</v>
      </c>
      <c r="D139" s="1" t="s">
        <v>2283</v>
      </c>
      <c r="E139" s="1" t="s">
        <v>2284</v>
      </c>
      <c r="F139" s="1" t="s">
        <v>2051</v>
      </c>
      <c r="G139" s="12">
        <v>43465</v>
      </c>
      <c r="H139" s="271">
        <f>I139*0.85</f>
        <v>447571.54599999997</v>
      </c>
      <c r="I139" s="271">
        <v>526554.76</v>
      </c>
      <c r="J139" s="270"/>
      <c r="K139" s="270">
        <f t="shared" si="32"/>
        <v>526554.76</v>
      </c>
      <c r="L139" s="7"/>
      <c r="M139" s="7"/>
      <c r="N139" s="7"/>
      <c r="O139" s="7"/>
      <c r="P139" s="7"/>
      <c r="Q139" s="7"/>
      <c r="R139" s="7"/>
      <c r="S139" s="236"/>
      <c r="T139" s="390">
        <v>140</v>
      </c>
      <c r="U139" s="7">
        <f t="shared" si="28"/>
        <v>140</v>
      </c>
      <c r="V139" s="391"/>
      <c r="W139" s="390"/>
      <c r="X139" s="11"/>
      <c r="Y139" s="391"/>
      <c r="Z139" s="11"/>
      <c r="AA139" s="236"/>
      <c r="AB139" s="390">
        <v>350</v>
      </c>
      <c r="AC139" s="7">
        <f t="shared" si="31"/>
        <v>350</v>
      </c>
      <c r="AD139" s="391"/>
      <c r="AE139" s="11"/>
      <c r="AF139" s="7"/>
      <c r="AG139" s="7"/>
      <c r="AH139" s="7"/>
      <c r="AI139" s="7"/>
      <c r="AJ139" s="7"/>
      <c r="AK139" s="7"/>
      <c r="AL139" s="236"/>
      <c r="AM139" s="390">
        <v>6</v>
      </c>
      <c r="AN139" s="7">
        <f t="shared" si="33"/>
        <v>6</v>
      </c>
      <c r="AO139" s="391"/>
      <c r="AP139" s="11"/>
      <c r="AQ139" s="7"/>
      <c r="AR139" s="7"/>
      <c r="AS139" s="236"/>
      <c r="AT139" s="242">
        <v>140</v>
      </c>
      <c r="AU139" s="7">
        <f t="shared" si="29"/>
        <v>140</v>
      </c>
      <c r="AV139" s="11"/>
      <c r="AW139" s="242"/>
      <c r="AX139" s="7"/>
      <c r="AY139" s="11"/>
      <c r="AZ139" s="242"/>
      <c r="BA139" s="11"/>
      <c r="BB139" s="243"/>
      <c r="BC139" s="242"/>
      <c r="BD139" s="11"/>
      <c r="BE139" s="243"/>
      <c r="BF139" s="242"/>
      <c r="BG139" s="11"/>
      <c r="BH139" s="243"/>
      <c r="BI139" s="11"/>
      <c r="BJ139" s="7"/>
    </row>
    <row r="140" spans="1:62" x14ac:dyDescent="0.25">
      <c r="A140" s="71">
        <f t="shared" si="30"/>
        <v>136</v>
      </c>
      <c r="B140" s="1" t="s">
        <v>585</v>
      </c>
      <c r="C140" s="1" t="s">
        <v>1792</v>
      </c>
      <c r="D140" s="1" t="s">
        <v>2285</v>
      </c>
      <c r="E140" s="1" t="s">
        <v>2286</v>
      </c>
      <c r="F140" s="1" t="s">
        <v>2051</v>
      </c>
      <c r="G140" s="12">
        <v>43465</v>
      </c>
      <c r="H140" s="271">
        <f>I140*0.85</f>
        <v>474553.76750000002</v>
      </c>
      <c r="I140" s="271">
        <v>558298.55000000005</v>
      </c>
      <c r="J140" s="270"/>
      <c r="K140" s="270">
        <f t="shared" si="32"/>
        <v>558298.55000000005</v>
      </c>
      <c r="L140" s="7"/>
      <c r="M140" s="7"/>
      <c r="N140" s="7"/>
      <c r="O140" s="7"/>
      <c r="P140" s="7"/>
      <c r="Q140" s="7"/>
      <c r="R140" s="7"/>
      <c r="S140" s="236"/>
      <c r="T140" s="390">
        <v>145</v>
      </c>
      <c r="U140" s="7">
        <f t="shared" si="28"/>
        <v>145</v>
      </c>
      <c r="V140" s="391"/>
      <c r="W140" s="390"/>
      <c r="X140" s="11"/>
      <c r="Y140" s="391"/>
      <c r="Z140" s="11"/>
      <c r="AA140" s="236"/>
      <c r="AB140" s="390">
        <v>95</v>
      </c>
      <c r="AC140" s="7">
        <f t="shared" si="31"/>
        <v>95</v>
      </c>
      <c r="AD140" s="391"/>
      <c r="AE140" s="11"/>
      <c r="AF140" s="7"/>
      <c r="AG140" s="7"/>
      <c r="AH140" s="7"/>
      <c r="AI140" s="7"/>
      <c r="AJ140" s="7"/>
      <c r="AK140" s="7"/>
      <c r="AL140" s="236"/>
      <c r="AM140" s="390">
        <v>6</v>
      </c>
      <c r="AN140" s="7">
        <f t="shared" si="33"/>
        <v>6</v>
      </c>
      <c r="AO140" s="391"/>
      <c r="AP140" s="11"/>
      <c r="AQ140" s="7"/>
      <c r="AR140" s="7"/>
      <c r="AS140" s="236"/>
      <c r="AT140" s="242">
        <v>145</v>
      </c>
      <c r="AU140" s="7">
        <f t="shared" si="29"/>
        <v>145</v>
      </c>
      <c r="AV140" s="11"/>
      <c r="AW140" s="242"/>
      <c r="AX140" s="7"/>
      <c r="AY140" s="11"/>
      <c r="AZ140" s="242"/>
      <c r="BA140" s="11"/>
      <c r="BB140" s="243"/>
      <c r="BC140" s="242"/>
      <c r="BD140" s="11"/>
      <c r="BE140" s="243"/>
      <c r="BF140" s="242"/>
      <c r="BG140" s="11"/>
      <c r="BH140" s="243"/>
      <c r="BI140" s="11"/>
      <c r="BJ140" s="7"/>
    </row>
    <row r="141" spans="1:62" x14ac:dyDescent="0.25">
      <c r="A141" s="71">
        <f t="shared" si="30"/>
        <v>137</v>
      </c>
      <c r="B141" s="1" t="s">
        <v>670</v>
      </c>
      <c r="C141" s="1" t="s">
        <v>1792</v>
      </c>
      <c r="D141" s="1" t="s">
        <v>2287</v>
      </c>
      <c r="E141" s="1" t="s">
        <v>2288</v>
      </c>
      <c r="F141" s="1" t="s">
        <v>2051</v>
      </c>
      <c r="G141" s="12">
        <v>43465</v>
      </c>
      <c r="H141" s="271">
        <f>I141*0.85</f>
        <v>108057.15950000001</v>
      </c>
      <c r="I141" s="271">
        <v>127126.07</v>
      </c>
      <c r="J141" s="270"/>
      <c r="K141" s="270">
        <f t="shared" si="32"/>
        <v>127126.07</v>
      </c>
      <c r="L141" s="7"/>
      <c r="M141" s="7"/>
      <c r="N141" s="7"/>
      <c r="O141" s="7"/>
      <c r="P141" s="7"/>
      <c r="Q141" s="7"/>
      <c r="R141" s="7"/>
      <c r="S141" s="236"/>
      <c r="T141" s="390">
        <v>40</v>
      </c>
      <c r="U141" s="7">
        <f t="shared" si="28"/>
        <v>40</v>
      </c>
      <c r="V141" s="391"/>
      <c r="W141" s="390"/>
      <c r="X141" s="11"/>
      <c r="Y141" s="391"/>
      <c r="Z141" s="11"/>
      <c r="AA141" s="236"/>
      <c r="AB141" s="390"/>
      <c r="AC141" s="7"/>
      <c r="AD141" s="391"/>
      <c r="AE141" s="11"/>
      <c r="AF141" s="7"/>
      <c r="AG141" s="7"/>
      <c r="AH141" s="7"/>
      <c r="AI141" s="7"/>
      <c r="AJ141" s="7"/>
      <c r="AK141" s="7"/>
      <c r="AL141" s="236"/>
      <c r="AM141" s="390"/>
      <c r="AN141" s="7"/>
      <c r="AO141" s="391"/>
      <c r="AP141" s="11"/>
      <c r="AQ141" s="7"/>
      <c r="AR141" s="7"/>
      <c r="AS141" s="236"/>
      <c r="AT141" s="242">
        <v>40</v>
      </c>
      <c r="AU141" s="7">
        <f t="shared" si="29"/>
        <v>40</v>
      </c>
      <c r="AV141" s="11"/>
      <c r="AW141" s="242"/>
      <c r="AX141" s="7"/>
      <c r="AY141" s="11"/>
      <c r="AZ141" s="242"/>
      <c r="BA141" s="11"/>
      <c r="BB141" s="243"/>
      <c r="BC141" s="242"/>
      <c r="BD141" s="11"/>
      <c r="BE141" s="243"/>
      <c r="BF141" s="242"/>
      <c r="BG141" s="11"/>
      <c r="BH141" s="243"/>
      <c r="BI141" s="11"/>
      <c r="BJ141" s="7"/>
    </row>
    <row r="142" spans="1:62" x14ac:dyDescent="0.25">
      <c r="A142" s="71">
        <f t="shared" si="30"/>
        <v>138</v>
      </c>
      <c r="B142" s="1" t="s">
        <v>677</v>
      </c>
      <c r="C142" s="1" t="s">
        <v>1792</v>
      </c>
      <c r="D142" s="1" t="s">
        <v>2289</v>
      </c>
      <c r="E142" s="1" t="s">
        <v>2290</v>
      </c>
      <c r="F142" s="1" t="s">
        <v>2051</v>
      </c>
      <c r="G142" s="273">
        <v>43616</v>
      </c>
      <c r="H142" s="274">
        <v>706545.93</v>
      </c>
      <c r="I142" s="274">
        <v>831230.51</v>
      </c>
      <c r="J142" s="274"/>
      <c r="K142" s="274"/>
      <c r="L142" s="7"/>
      <c r="M142" s="7"/>
      <c r="N142" s="7"/>
      <c r="O142" s="7"/>
      <c r="P142" s="7"/>
      <c r="Q142" s="7"/>
      <c r="R142" s="7"/>
      <c r="S142" s="236"/>
      <c r="T142" s="390">
        <v>310.63</v>
      </c>
      <c r="U142" s="7"/>
      <c r="V142" s="391"/>
      <c r="W142" s="390"/>
      <c r="X142" s="11"/>
      <c r="Y142" s="391"/>
      <c r="Z142" s="11"/>
      <c r="AA142" s="236"/>
      <c r="AB142" s="390">
        <v>3175</v>
      </c>
      <c r="AC142" s="7"/>
      <c r="AD142" s="391"/>
      <c r="AE142" s="11"/>
      <c r="AF142" s="7"/>
      <c r="AG142" s="7"/>
      <c r="AH142" s="7"/>
      <c r="AI142" s="7"/>
      <c r="AJ142" s="7"/>
      <c r="AK142" s="7"/>
      <c r="AL142" s="236"/>
      <c r="AM142" s="390">
        <v>3</v>
      </c>
      <c r="AN142" s="7"/>
      <c r="AO142" s="391"/>
      <c r="AP142" s="11"/>
      <c r="AQ142" s="7"/>
      <c r="AR142" s="7"/>
      <c r="AS142" s="236"/>
      <c r="AT142" s="242">
        <v>310.63</v>
      </c>
      <c r="AU142" s="7"/>
      <c r="AV142" s="11"/>
      <c r="AW142" s="242"/>
      <c r="AX142" s="7"/>
      <c r="AY142" s="11"/>
      <c r="AZ142" s="242"/>
      <c r="BA142" s="11"/>
      <c r="BB142" s="243"/>
      <c r="BC142" s="242"/>
      <c r="BD142" s="11"/>
      <c r="BE142" s="243"/>
      <c r="BF142" s="242"/>
      <c r="BG142" s="11"/>
      <c r="BH142" s="243"/>
      <c r="BI142" s="11"/>
      <c r="BJ142" s="7"/>
    </row>
    <row r="143" spans="1:62" x14ac:dyDescent="0.25">
      <c r="A143" s="71">
        <f t="shared" si="30"/>
        <v>139</v>
      </c>
      <c r="B143" s="4" t="s">
        <v>480</v>
      </c>
      <c r="C143" s="1" t="s">
        <v>2291</v>
      </c>
      <c r="D143" s="1" t="s">
        <v>855</v>
      </c>
      <c r="E143" s="1" t="s">
        <v>2292</v>
      </c>
      <c r="F143" s="1" t="s">
        <v>2051</v>
      </c>
      <c r="G143" s="12">
        <v>45291</v>
      </c>
      <c r="H143" s="271">
        <v>57011064</v>
      </c>
      <c r="I143" s="271">
        <v>67071840</v>
      </c>
      <c r="J143" s="271"/>
      <c r="K143" s="271"/>
      <c r="L143" s="7"/>
      <c r="M143" s="7"/>
      <c r="N143" s="7"/>
      <c r="O143" s="7"/>
      <c r="P143" s="7"/>
      <c r="Q143" s="7"/>
      <c r="R143" s="7"/>
      <c r="S143" s="236"/>
      <c r="T143" s="390"/>
      <c r="U143" s="7"/>
      <c r="V143" s="391"/>
      <c r="W143" s="390"/>
      <c r="X143" s="11"/>
      <c r="Y143" s="391"/>
      <c r="Z143" s="11"/>
      <c r="AA143" s="236"/>
      <c r="AB143" s="390"/>
      <c r="AC143" s="7"/>
      <c r="AD143" s="391"/>
      <c r="AE143" s="11"/>
      <c r="AF143" s="7"/>
      <c r="AG143" s="7"/>
      <c r="AH143" s="7"/>
      <c r="AI143" s="7"/>
      <c r="AJ143" s="7"/>
      <c r="AK143" s="7"/>
      <c r="AL143" s="236"/>
      <c r="AM143" s="390"/>
      <c r="AN143" s="7"/>
      <c r="AO143" s="391"/>
      <c r="AP143" s="11"/>
      <c r="AQ143" s="7"/>
      <c r="AR143" s="7"/>
      <c r="AS143" s="236"/>
      <c r="AT143" s="242">
        <v>3571</v>
      </c>
      <c r="AU143" s="7"/>
      <c r="AV143" s="11">
        <v>0</v>
      </c>
      <c r="AW143" s="242">
        <v>26852</v>
      </c>
      <c r="AX143" s="7"/>
      <c r="AY143" s="11">
        <v>0</v>
      </c>
      <c r="AZ143" s="242">
        <v>26852</v>
      </c>
      <c r="BA143" s="11"/>
      <c r="BB143" s="243">
        <v>0</v>
      </c>
      <c r="BC143" s="242">
        <v>16085</v>
      </c>
      <c r="BD143" s="11"/>
      <c r="BE143" s="243">
        <v>0</v>
      </c>
      <c r="BF143" s="242">
        <v>16085</v>
      </c>
      <c r="BG143" s="11"/>
      <c r="BH143" s="243">
        <v>0</v>
      </c>
      <c r="BI143" s="11"/>
      <c r="BJ143" s="7"/>
    </row>
    <row r="144" spans="1:62" s="234" customFormat="1" x14ac:dyDescent="0.25">
      <c r="H144" s="94">
        <f>SUM(H5:H143)</f>
        <v>121307603.00550002</v>
      </c>
      <c r="I144" s="94">
        <f>SUM(I5:I143)</f>
        <v>142714827.06999999</v>
      </c>
      <c r="J144" s="94">
        <v>0</v>
      </c>
      <c r="K144" s="94">
        <f t="shared" ref="K144:BB144" si="34">SUM(K5:K143)</f>
        <v>74811756.559999987</v>
      </c>
      <c r="L144" s="94">
        <f t="shared" si="34"/>
        <v>0</v>
      </c>
      <c r="M144" s="94">
        <f t="shared" si="34"/>
        <v>0</v>
      </c>
      <c r="N144" s="94">
        <f t="shared" si="34"/>
        <v>0</v>
      </c>
      <c r="O144" s="94">
        <f t="shared" si="34"/>
        <v>0</v>
      </c>
      <c r="P144" s="94">
        <f t="shared" si="34"/>
        <v>0</v>
      </c>
      <c r="Q144" s="94">
        <f t="shared" si="34"/>
        <v>0</v>
      </c>
      <c r="R144" s="94">
        <f t="shared" si="34"/>
        <v>0</v>
      </c>
      <c r="S144" s="237">
        <f t="shared" si="34"/>
        <v>0</v>
      </c>
      <c r="T144" s="393">
        <f t="shared" si="34"/>
        <v>45504.859000000011</v>
      </c>
      <c r="U144" s="94">
        <f>SUM(U5:U143)</f>
        <v>45194.229000000014</v>
      </c>
      <c r="V144" s="394">
        <f t="shared" si="34"/>
        <v>0</v>
      </c>
      <c r="W144" s="393">
        <f t="shared" si="34"/>
        <v>22171.5</v>
      </c>
      <c r="X144" s="239">
        <f>SUM(X5:X143)</f>
        <v>22171.5</v>
      </c>
      <c r="Y144" s="394">
        <f t="shared" si="34"/>
        <v>0</v>
      </c>
      <c r="Z144" s="239">
        <f t="shared" si="34"/>
        <v>0</v>
      </c>
      <c r="AA144" s="237">
        <f t="shared" si="34"/>
        <v>0</v>
      </c>
      <c r="AB144" s="393">
        <f t="shared" si="34"/>
        <v>98075</v>
      </c>
      <c r="AC144" s="94">
        <f>SUM(AC5:AC143)</f>
        <v>94900</v>
      </c>
      <c r="AD144" s="394">
        <f t="shared" si="34"/>
        <v>0</v>
      </c>
      <c r="AE144" s="239">
        <f t="shared" si="34"/>
        <v>0</v>
      </c>
      <c r="AF144" s="94">
        <f t="shared" si="34"/>
        <v>0</v>
      </c>
      <c r="AG144" s="94">
        <f t="shared" si="34"/>
        <v>0</v>
      </c>
      <c r="AH144" s="94">
        <f t="shared" si="34"/>
        <v>0</v>
      </c>
      <c r="AI144" s="94">
        <f t="shared" si="34"/>
        <v>0</v>
      </c>
      <c r="AJ144" s="94">
        <f t="shared" si="34"/>
        <v>0</v>
      </c>
      <c r="AK144" s="94">
        <f t="shared" si="34"/>
        <v>0</v>
      </c>
      <c r="AL144" s="237">
        <f t="shared" si="34"/>
        <v>0</v>
      </c>
      <c r="AM144" s="393">
        <f t="shared" si="34"/>
        <v>220</v>
      </c>
      <c r="AN144" s="94">
        <f>SUM(AN5:AN143)</f>
        <v>217</v>
      </c>
      <c r="AO144" s="394">
        <f t="shared" si="34"/>
        <v>0</v>
      </c>
      <c r="AP144" s="239">
        <f t="shared" si="34"/>
        <v>0</v>
      </c>
      <c r="AQ144" s="94">
        <f t="shared" si="34"/>
        <v>0</v>
      </c>
      <c r="AR144" s="94">
        <f t="shared" si="34"/>
        <v>0</v>
      </c>
      <c r="AS144" s="237">
        <f t="shared" si="34"/>
        <v>0</v>
      </c>
      <c r="AT144" s="245">
        <f t="shared" si="34"/>
        <v>49075.859000000011</v>
      </c>
      <c r="AU144" s="94">
        <f>SUM(AU5:AU143)</f>
        <v>43894.179000000018</v>
      </c>
      <c r="AV144" s="239">
        <f t="shared" si="34"/>
        <v>0</v>
      </c>
      <c r="AW144" s="245">
        <f t="shared" si="34"/>
        <v>54384</v>
      </c>
      <c r="AX144" s="94">
        <f>SUM(AX5:AX143)</f>
        <v>27532</v>
      </c>
      <c r="AY144" s="239">
        <f t="shared" si="34"/>
        <v>0</v>
      </c>
      <c r="AZ144" s="245">
        <f t="shared" si="34"/>
        <v>26852</v>
      </c>
      <c r="BA144" s="239">
        <f>SUM(BA5:BA143)</f>
        <v>0</v>
      </c>
      <c r="BB144" s="246">
        <f t="shared" si="34"/>
        <v>0</v>
      </c>
      <c r="BC144" s="245">
        <f t="shared" ref="BC144:BJ144" si="35">SUM(BC5:BC143)</f>
        <v>16085</v>
      </c>
      <c r="BD144" s="239">
        <f>SUM(BD5:BD143)</f>
        <v>0</v>
      </c>
      <c r="BE144" s="246">
        <f>SUM(BE5:BE143)</f>
        <v>0</v>
      </c>
      <c r="BF144" s="245">
        <f t="shared" si="35"/>
        <v>16085</v>
      </c>
      <c r="BG144" s="239">
        <f>SUM(BG5:BG143)</f>
        <v>0</v>
      </c>
      <c r="BH144" s="246">
        <f t="shared" si="35"/>
        <v>0</v>
      </c>
      <c r="BI144" s="239">
        <f t="shared" si="35"/>
        <v>0</v>
      </c>
      <c r="BJ144" s="94">
        <f t="shared" si="35"/>
        <v>0</v>
      </c>
    </row>
  </sheetData>
  <sheetProtection algorithmName="SHA-512" hashValue="kEnui1QDkBAgDHeojYV0R3xI1Txv7rIL/BDrXFO7F4UAuAphKQH9mfGqz4dtN3h15K7B7HE71yKZX9mQccFbKg==" saltValue="Q2iF1xuX9L95D5XZh2pN5A==" spinCount="100000" sheet="1" objects="1" scenarios="1" autoFilter="0"/>
  <autoFilter ref="B4:BJ144">
    <sortState ref="B8:BB144">
      <sortCondition ref="G4:G144"/>
    </sortState>
  </autoFilter>
  <mergeCells count="74">
    <mergeCell ref="A1:A4"/>
    <mergeCell ref="G1:G4"/>
    <mergeCell ref="L3:M3"/>
    <mergeCell ref="L2:M2"/>
    <mergeCell ref="L1:M1"/>
    <mergeCell ref="F1:F4"/>
    <mergeCell ref="E1:E4"/>
    <mergeCell ref="D1:D4"/>
    <mergeCell ref="C1:C4"/>
    <mergeCell ref="B1:B4"/>
    <mergeCell ref="N3:O3"/>
    <mergeCell ref="N2:O2"/>
    <mergeCell ref="N1:O1"/>
    <mergeCell ref="H1:H3"/>
    <mergeCell ref="I1:I3"/>
    <mergeCell ref="K1:K3"/>
    <mergeCell ref="J1:J3"/>
    <mergeCell ref="R3:S3"/>
    <mergeCell ref="R2:S2"/>
    <mergeCell ref="R1:S1"/>
    <mergeCell ref="P3:Q3"/>
    <mergeCell ref="P2:Q2"/>
    <mergeCell ref="P1:Q1"/>
    <mergeCell ref="T3:V3"/>
    <mergeCell ref="T2:V2"/>
    <mergeCell ref="T1:V1"/>
    <mergeCell ref="W1:Y1"/>
    <mergeCell ref="AB3:AD3"/>
    <mergeCell ref="AB2:AD2"/>
    <mergeCell ref="AB1:AD1"/>
    <mergeCell ref="Z3:AA3"/>
    <mergeCell ref="Z2:AA2"/>
    <mergeCell ref="Z1:AA1"/>
    <mergeCell ref="W3:Y3"/>
    <mergeCell ref="W2:Y2"/>
    <mergeCell ref="AG2:AH2"/>
    <mergeCell ref="AG1:AH1"/>
    <mergeCell ref="AM3:AO3"/>
    <mergeCell ref="AM2:AO2"/>
    <mergeCell ref="AM1:AO1"/>
    <mergeCell ref="AK3:AL3"/>
    <mergeCell ref="AK2:AL2"/>
    <mergeCell ref="AK1:AL1"/>
    <mergeCell ref="BC3:BE3"/>
    <mergeCell ref="BC2:BE2"/>
    <mergeCell ref="BC1:BE1"/>
    <mergeCell ref="AE3:AF3"/>
    <mergeCell ref="AE2:AF2"/>
    <mergeCell ref="AE1:AF1"/>
    <mergeCell ref="AP3:AQ3"/>
    <mergeCell ref="AP2:AQ2"/>
    <mergeCell ref="AP1:AQ1"/>
    <mergeCell ref="AR3:AS3"/>
    <mergeCell ref="AR2:AS2"/>
    <mergeCell ref="AR1:AS1"/>
    <mergeCell ref="AI3:AJ3"/>
    <mergeCell ref="AI2:AJ2"/>
    <mergeCell ref="AI1:AJ1"/>
    <mergeCell ref="AG3:AH3"/>
    <mergeCell ref="BI3:BJ3"/>
    <mergeCell ref="BI2:BJ2"/>
    <mergeCell ref="BI1:BJ1"/>
    <mergeCell ref="BF3:BH3"/>
    <mergeCell ref="BF2:BH2"/>
    <mergeCell ref="BF1:BH1"/>
    <mergeCell ref="AZ1:BB1"/>
    <mergeCell ref="AZ2:BB2"/>
    <mergeCell ref="AZ3:BB3"/>
    <mergeCell ref="AT1:AV1"/>
    <mergeCell ref="AT2:AV2"/>
    <mergeCell ref="AT3:AV3"/>
    <mergeCell ref="AW1:AY1"/>
    <mergeCell ref="AW2:AY2"/>
    <mergeCell ref="AW3:AY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V7"/>
  <sheetViews>
    <sheetView workbookViewId="0">
      <selection activeCell="H6" sqref="H6"/>
    </sheetView>
  </sheetViews>
  <sheetFormatPr defaultRowHeight="15" x14ac:dyDescent="0.25"/>
  <cols>
    <col min="2" max="2" width="17.85546875" customWidth="1"/>
    <col min="3" max="3" width="25.85546875" customWidth="1"/>
    <col min="4" max="4" width="16.28515625" customWidth="1"/>
    <col min="5" max="5" width="15.28515625" customWidth="1"/>
    <col min="10" max="10" width="14.140625" customWidth="1"/>
    <col min="16" max="16" width="11.28515625" customWidth="1"/>
  </cols>
  <sheetData>
    <row r="1" spans="1:22" ht="42.75" customHeight="1" x14ac:dyDescent="0.25">
      <c r="A1" s="1555" t="s">
        <v>2412</v>
      </c>
      <c r="B1" s="1548" t="s">
        <v>709</v>
      </c>
      <c r="C1" s="1548" t="s">
        <v>477</v>
      </c>
      <c r="D1" s="1548" t="s">
        <v>710</v>
      </c>
      <c r="E1" s="1548" t="s">
        <v>711</v>
      </c>
      <c r="F1" s="1548" t="s">
        <v>712</v>
      </c>
      <c r="G1" s="1550" t="s">
        <v>684</v>
      </c>
      <c r="H1" s="1550" t="s">
        <v>2020</v>
      </c>
      <c r="I1" s="1550" t="s">
        <v>2021</v>
      </c>
      <c r="J1" s="1550" t="s">
        <v>2022</v>
      </c>
      <c r="K1" s="1559" t="s">
        <v>142</v>
      </c>
      <c r="L1" s="1559"/>
      <c r="M1" s="1559" t="s">
        <v>144</v>
      </c>
      <c r="N1" s="1559"/>
      <c r="O1" s="1559" t="s">
        <v>146</v>
      </c>
      <c r="P1" s="1559"/>
      <c r="Q1" s="1559" t="s">
        <v>152</v>
      </c>
      <c r="R1" s="1559"/>
      <c r="S1" s="1559" t="s">
        <v>27</v>
      </c>
      <c r="T1" s="1559"/>
      <c r="U1" s="1559" t="s">
        <v>29</v>
      </c>
      <c r="V1" s="1559"/>
    </row>
    <row r="2" spans="1:22" x14ac:dyDescent="0.25">
      <c r="A2" s="1556"/>
      <c r="B2" s="1549"/>
      <c r="C2" s="1549"/>
      <c r="D2" s="1549"/>
      <c r="E2" s="1549"/>
      <c r="F2" s="1549"/>
      <c r="G2" s="1550"/>
      <c r="H2" s="1550"/>
      <c r="I2" s="1550"/>
      <c r="J2" s="1550"/>
      <c r="K2" s="1558" t="s">
        <v>141</v>
      </c>
      <c r="L2" s="1558"/>
      <c r="M2" s="1558" t="s">
        <v>143</v>
      </c>
      <c r="N2" s="1558"/>
      <c r="O2" s="1558" t="s">
        <v>145</v>
      </c>
      <c r="P2" s="1558"/>
      <c r="Q2" s="1558" t="s">
        <v>151</v>
      </c>
      <c r="R2" s="1558"/>
      <c r="S2" s="1558" t="s">
        <v>154</v>
      </c>
      <c r="T2" s="1558"/>
      <c r="U2" s="1558" t="s">
        <v>155</v>
      </c>
      <c r="V2" s="1558"/>
    </row>
    <row r="3" spans="1:22" x14ac:dyDescent="0.25">
      <c r="A3" s="1556"/>
      <c r="B3" s="1549"/>
      <c r="C3" s="1549"/>
      <c r="D3" s="1549"/>
      <c r="E3" s="1549"/>
      <c r="F3" s="1549"/>
      <c r="G3" s="1550"/>
      <c r="H3" s="1550"/>
      <c r="I3" s="1550"/>
      <c r="J3" s="1550"/>
      <c r="K3" s="1558" t="s">
        <v>422</v>
      </c>
      <c r="L3" s="1558"/>
      <c r="M3" s="1558" t="s">
        <v>422</v>
      </c>
      <c r="N3" s="1558"/>
      <c r="O3" s="1558" t="s">
        <v>422</v>
      </c>
      <c r="P3" s="1558"/>
      <c r="Q3" s="1558" t="s">
        <v>422</v>
      </c>
      <c r="R3" s="1558"/>
      <c r="S3" s="1558" t="s">
        <v>422</v>
      </c>
      <c r="T3" s="1558"/>
      <c r="U3" s="1558" t="s">
        <v>422</v>
      </c>
      <c r="V3" s="1558"/>
    </row>
    <row r="4" spans="1:22" ht="25.5" x14ac:dyDescent="0.25">
      <c r="A4" s="1557"/>
      <c r="B4" s="1554"/>
      <c r="C4" s="1554"/>
      <c r="D4" s="1554"/>
      <c r="E4" s="1554"/>
      <c r="F4" s="1554"/>
      <c r="G4" s="1550"/>
      <c r="H4" s="229" t="s">
        <v>410</v>
      </c>
      <c r="I4" s="229" t="s">
        <v>410</v>
      </c>
      <c r="J4" s="229" t="s">
        <v>410</v>
      </c>
      <c r="K4" s="91" t="s">
        <v>1605</v>
      </c>
      <c r="L4" s="91" t="s">
        <v>713</v>
      </c>
      <c r="M4" s="91" t="s">
        <v>1605</v>
      </c>
      <c r="N4" s="91" t="s">
        <v>713</v>
      </c>
      <c r="O4" s="91" t="s">
        <v>1605</v>
      </c>
      <c r="P4" s="91" t="s">
        <v>713</v>
      </c>
      <c r="Q4" s="91" t="s">
        <v>1605</v>
      </c>
      <c r="R4" s="91" t="s">
        <v>713</v>
      </c>
      <c r="S4" s="91" t="s">
        <v>1605</v>
      </c>
      <c r="T4" s="91" t="s">
        <v>713</v>
      </c>
      <c r="U4" s="91" t="s">
        <v>1605</v>
      </c>
      <c r="V4" s="91" t="s">
        <v>713</v>
      </c>
    </row>
    <row r="5" spans="1:22" x14ac:dyDescent="0.25">
      <c r="A5" s="71">
        <v>1</v>
      </c>
      <c r="B5" s="59" t="s">
        <v>1791</v>
      </c>
      <c r="C5" s="70" t="s">
        <v>1792</v>
      </c>
      <c r="D5" s="70" t="s">
        <v>1793</v>
      </c>
      <c r="E5" s="70" t="s">
        <v>1794</v>
      </c>
      <c r="F5" s="70" t="s">
        <v>1710</v>
      </c>
      <c r="G5" s="67">
        <v>43070</v>
      </c>
      <c r="H5" s="277">
        <f>I5*0.85</f>
        <v>138549.62599999999</v>
      </c>
      <c r="I5" s="277">
        <v>162999.56</v>
      </c>
      <c r="J5" s="277">
        <f>I5</f>
        <v>162999.56</v>
      </c>
      <c r="K5" s="81" t="s">
        <v>557</v>
      </c>
      <c r="L5" s="81">
        <v>12</v>
      </c>
      <c r="M5" s="81" t="s">
        <v>557</v>
      </c>
      <c r="N5" s="81">
        <v>0</v>
      </c>
      <c r="O5" s="81" t="s">
        <v>557</v>
      </c>
      <c r="P5" s="81">
        <v>0</v>
      </c>
      <c r="Q5" s="81" t="s">
        <v>557</v>
      </c>
      <c r="R5" s="81">
        <v>0</v>
      </c>
      <c r="S5" s="81" t="s">
        <v>557</v>
      </c>
      <c r="T5" s="81">
        <v>12</v>
      </c>
      <c r="U5" s="81" t="s">
        <v>557</v>
      </c>
      <c r="V5" s="81">
        <v>0</v>
      </c>
    </row>
    <row r="6" spans="1:22" x14ac:dyDescent="0.25">
      <c r="A6" s="71">
        <f>A5+1</f>
        <v>2</v>
      </c>
      <c r="B6" s="59" t="s">
        <v>1795</v>
      </c>
      <c r="C6" s="70" t="s">
        <v>1792</v>
      </c>
      <c r="D6" s="70" t="s">
        <v>1796</v>
      </c>
      <c r="E6" s="70" t="s">
        <v>1797</v>
      </c>
      <c r="F6" s="70" t="s">
        <v>1710</v>
      </c>
      <c r="G6" s="86" t="s">
        <v>1775</v>
      </c>
      <c r="H6" s="277">
        <f>I6*0.85</f>
        <v>675537.94200000004</v>
      </c>
      <c r="I6" s="278">
        <v>794750.52</v>
      </c>
      <c r="J6" s="277">
        <f>I6</f>
        <v>794750.52</v>
      </c>
      <c r="K6" s="81" t="s">
        <v>557</v>
      </c>
      <c r="L6" s="81">
        <v>110.79</v>
      </c>
      <c r="M6" s="81" t="s">
        <v>557</v>
      </c>
      <c r="N6" s="81">
        <v>0</v>
      </c>
      <c r="O6" s="81" t="s">
        <v>557</v>
      </c>
      <c r="P6" s="81">
        <v>2000</v>
      </c>
      <c r="Q6" s="81" t="s">
        <v>557</v>
      </c>
      <c r="R6" s="81">
        <v>4</v>
      </c>
      <c r="S6" s="81" t="s">
        <v>557</v>
      </c>
      <c r="T6" s="81">
        <v>110.79</v>
      </c>
      <c r="U6" s="81" t="s">
        <v>557</v>
      </c>
      <c r="V6" s="81">
        <v>0</v>
      </c>
    </row>
    <row r="7" spans="1:22" x14ac:dyDescent="0.25">
      <c r="H7" s="280">
        <f>SUM(H5:H6)</f>
        <v>814087.56799999997</v>
      </c>
      <c r="I7" s="280">
        <f t="shared" ref="I7:J7" si="0">SUM(I5:I6)</f>
        <v>957750.08000000007</v>
      </c>
      <c r="J7" s="280">
        <f t="shared" si="0"/>
        <v>957750.08000000007</v>
      </c>
      <c r="K7" s="93">
        <f>SUM(K5:K6)</f>
        <v>0</v>
      </c>
      <c r="L7" s="93">
        <f t="shared" ref="L7:V7" si="1">SUM(L5:L6)</f>
        <v>122.79</v>
      </c>
      <c r="M7" s="93">
        <f t="shared" si="1"/>
        <v>0</v>
      </c>
      <c r="N7" s="93">
        <f t="shared" si="1"/>
        <v>0</v>
      </c>
      <c r="O7" s="93">
        <f t="shared" si="1"/>
        <v>0</v>
      </c>
      <c r="P7" s="93">
        <f t="shared" si="1"/>
        <v>2000</v>
      </c>
      <c r="Q7" s="93">
        <f t="shared" si="1"/>
        <v>0</v>
      </c>
      <c r="R7" s="93">
        <f t="shared" si="1"/>
        <v>4</v>
      </c>
      <c r="S7" s="93">
        <f t="shared" si="1"/>
        <v>0</v>
      </c>
      <c r="T7" s="93">
        <f t="shared" si="1"/>
        <v>122.79</v>
      </c>
      <c r="U7" s="93">
        <f t="shared" si="1"/>
        <v>0</v>
      </c>
      <c r="V7" s="93">
        <f t="shared" si="1"/>
        <v>0</v>
      </c>
    </row>
  </sheetData>
  <sheetProtection algorithmName="SHA-512" hashValue="dTKfeimliwKpGV3fD2z/ZxzQypPY0gJeSWgcZ34xNV0W5EBmjW/0kanrxJL0oGFw0t+FVnunw7a8HbjEuoAFVg==" saltValue="2SbNQ6526tx30jOWV0t9OA==" spinCount="100000" sheet="1" objects="1" scenarios="1" autoFilter="0"/>
  <mergeCells count="28">
    <mergeCell ref="S1:T1"/>
    <mergeCell ref="U3:V3"/>
    <mergeCell ref="G1:G4"/>
    <mergeCell ref="K1:L1"/>
    <mergeCell ref="M1:N1"/>
    <mergeCell ref="O1:P1"/>
    <mergeCell ref="Q1:R1"/>
    <mergeCell ref="B1:B4"/>
    <mergeCell ref="C1:C4"/>
    <mergeCell ref="D1:D4"/>
    <mergeCell ref="E1:E4"/>
    <mergeCell ref="F1:F4"/>
    <mergeCell ref="A1:A4"/>
    <mergeCell ref="U2:V2"/>
    <mergeCell ref="K3:L3"/>
    <mergeCell ref="M3:N3"/>
    <mergeCell ref="O3:P3"/>
    <mergeCell ref="Q3:R3"/>
    <mergeCell ref="S3:T3"/>
    <mergeCell ref="K2:L2"/>
    <mergeCell ref="M2:N2"/>
    <mergeCell ref="O2:P2"/>
    <mergeCell ref="Q2:R2"/>
    <mergeCell ref="S2:T2"/>
    <mergeCell ref="H1:H3"/>
    <mergeCell ref="I1:I3"/>
    <mergeCell ref="J1:J3"/>
    <mergeCell ref="U1:V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33"/>
  <sheetViews>
    <sheetView zoomScale="90" zoomScaleNormal="90" workbookViewId="0">
      <selection activeCell="I33" sqref="I33"/>
    </sheetView>
  </sheetViews>
  <sheetFormatPr defaultRowHeight="15" x14ac:dyDescent="0.25"/>
  <cols>
    <col min="2" max="2" width="15" customWidth="1"/>
    <col min="3" max="3" width="9" customWidth="1"/>
    <col min="4" max="4" width="48" customWidth="1"/>
    <col min="5" max="5" width="15.42578125" customWidth="1"/>
    <col min="6" max="6" width="16.42578125" hidden="1" customWidth="1"/>
    <col min="7" max="10" width="16.42578125" customWidth="1"/>
    <col min="11" max="13" width="11.42578125" customWidth="1"/>
    <col min="14" max="14" width="12.85546875" customWidth="1"/>
    <col min="15" max="17" width="11.42578125" customWidth="1"/>
    <col min="18" max="18" width="12.42578125" customWidth="1"/>
  </cols>
  <sheetData>
    <row r="1" spans="1:18" ht="58.5" customHeight="1" x14ac:dyDescent="0.25">
      <c r="A1" s="70"/>
      <c r="B1" s="1548" t="s">
        <v>709</v>
      </c>
      <c r="C1" s="1548" t="s">
        <v>477</v>
      </c>
      <c r="D1" s="1548" t="s">
        <v>710</v>
      </c>
      <c r="E1" s="1548" t="s">
        <v>711</v>
      </c>
      <c r="F1" s="1548" t="s">
        <v>712</v>
      </c>
      <c r="G1" s="1550" t="s">
        <v>684</v>
      </c>
      <c r="H1" s="1550" t="s">
        <v>2020</v>
      </c>
      <c r="I1" s="1550" t="s">
        <v>2021</v>
      </c>
      <c r="J1" s="1550" t="s">
        <v>2022</v>
      </c>
      <c r="K1" s="1559" t="s">
        <v>142</v>
      </c>
      <c r="L1" s="1559"/>
      <c r="M1" s="1559" t="s">
        <v>144</v>
      </c>
      <c r="N1" s="1559"/>
      <c r="O1" s="1559" t="s">
        <v>27</v>
      </c>
      <c r="P1" s="1559"/>
      <c r="Q1" s="1559" t="s">
        <v>29</v>
      </c>
      <c r="R1" s="1559"/>
    </row>
    <row r="2" spans="1:18" x14ac:dyDescent="0.25">
      <c r="A2" s="70"/>
      <c r="B2" s="1549"/>
      <c r="C2" s="1549"/>
      <c r="D2" s="1549"/>
      <c r="E2" s="1549"/>
      <c r="F2" s="1549"/>
      <c r="G2" s="1550"/>
      <c r="H2" s="1550"/>
      <c r="I2" s="1550"/>
      <c r="J2" s="1550"/>
      <c r="K2" s="1558" t="s">
        <v>141</v>
      </c>
      <c r="L2" s="1558"/>
      <c r="M2" s="1558" t="s">
        <v>143</v>
      </c>
      <c r="N2" s="1558"/>
      <c r="O2" s="1558" t="s">
        <v>154</v>
      </c>
      <c r="P2" s="1558"/>
      <c r="Q2" s="1558" t="s">
        <v>155</v>
      </c>
      <c r="R2" s="1558"/>
    </row>
    <row r="3" spans="1:18" x14ac:dyDescent="0.25">
      <c r="A3" s="70"/>
      <c r="B3" s="1549"/>
      <c r="C3" s="1549"/>
      <c r="D3" s="1549"/>
      <c r="E3" s="1549"/>
      <c r="F3" s="1549"/>
      <c r="G3" s="1550"/>
      <c r="H3" s="1550"/>
      <c r="I3" s="1550"/>
      <c r="J3" s="1550"/>
      <c r="K3" s="1558" t="s">
        <v>422</v>
      </c>
      <c r="L3" s="1558"/>
      <c r="M3" s="1558" t="s">
        <v>422</v>
      </c>
      <c r="N3" s="1558"/>
      <c r="O3" s="1558" t="s">
        <v>422</v>
      </c>
      <c r="P3" s="1558"/>
      <c r="Q3" s="1558" t="s">
        <v>422</v>
      </c>
      <c r="R3" s="1558"/>
    </row>
    <row r="4" spans="1:18" ht="25.5" x14ac:dyDescent="0.25">
      <c r="A4" s="70"/>
      <c r="B4" s="1554"/>
      <c r="C4" s="1554"/>
      <c r="D4" s="1554"/>
      <c r="E4" s="1554"/>
      <c r="F4" s="1554"/>
      <c r="G4" s="1550"/>
      <c r="H4" s="229" t="s">
        <v>410</v>
      </c>
      <c r="I4" s="229" t="s">
        <v>410</v>
      </c>
      <c r="J4" s="229" t="s">
        <v>410</v>
      </c>
      <c r="K4" s="91" t="s">
        <v>1605</v>
      </c>
      <c r="L4" s="91" t="s">
        <v>713</v>
      </c>
      <c r="M4" s="91" t="s">
        <v>1605</v>
      </c>
      <c r="N4" s="91" t="s">
        <v>713</v>
      </c>
      <c r="O4" s="91" t="s">
        <v>1605</v>
      </c>
      <c r="P4" s="91" t="s">
        <v>713</v>
      </c>
      <c r="Q4" s="91" t="s">
        <v>1605</v>
      </c>
      <c r="R4" s="91" t="s">
        <v>713</v>
      </c>
    </row>
    <row r="5" spans="1:18" x14ac:dyDescent="0.25">
      <c r="A5" s="70">
        <v>1</v>
      </c>
      <c r="B5" s="59" t="s">
        <v>1740</v>
      </c>
      <c r="C5" s="70" t="s">
        <v>1707</v>
      </c>
      <c r="D5" s="70" t="s">
        <v>1741</v>
      </c>
      <c r="E5" s="70" t="s">
        <v>1742</v>
      </c>
      <c r="F5" s="70" t="s">
        <v>1710</v>
      </c>
      <c r="G5" s="67">
        <v>42705</v>
      </c>
      <c r="H5" s="277">
        <f t="shared" ref="H5:H32" si="0">I5*0.85</f>
        <v>158850.97500000001</v>
      </c>
      <c r="I5" s="277">
        <v>186883.5</v>
      </c>
      <c r="J5" s="277">
        <f t="shared" ref="J5:J32" si="1">I5</f>
        <v>186883.5</v>
      </c>
      <c r="K5" s="83" t="s">
        <v>557</v>
      </c>
      <c r="L5" s="81">
        <v>0</v>
      </c>
      <c r="M5" s="83" t="s">
        <v>557</v>
      </c>
      <c r="N5" s="81">
        <v>62</v>
      </c>
      <c r="O5" s="83" t="s">
        <v>557</v>
      </c>
      <c r="P5" s="81">
        <v>0</v>
      </c>
      <c r="Q5" s="83" t="s">
        <v>557</v>
      </c>
      <c r="R5" s="81">
        <v>62</v>
      </c>
    </row>
    <row r="6" spans="1:18" x14ac:dyDescent="0.25">
      <c r="A6" s="71">
        <f>A5+1</f>
        <v>2</v>
      </c>
      <c r="B6" s="59" t="s">
        <v>1746</v>
      </c>
      <c r="C6" s="70" t="s">
        <v>1707</v>
      </c>
      <c r="D6" s="70" t="s">
        <v>1747</v>
      </c>
      <c r="E6" s="70" t="s">
        <v>1748</v>
      </c>
      <c r="F6" s="70" t="s">
        <v>1710</v>
      </c>
      <c r="G6" s="67">
        <v>42887</v>
      </c>
      <c r="H6" s="277">
        <f t="shared" si="0"/>
        <v>442904.39999999997</v>
      </c>
      <c r="I6" s="277">
        <v>521064</v>
      </c>
      <c r="J6" s="277">
        <f t="shared" si="1"/>
        <v>521064</v>
      </c>
      <c r="K6" s="83" t="s">
        <v>557</v>
      </c>
      <c r="L6" s="81">
        <v>0</v>
      </c>
      <c r="M6" s="83" t="s">
        <v>557</v>
      </c>
      <c r="N6" s="81">
        <v>475</v>
      </c>
      <c r="O6" s="83" t="s">
        <v>557</v>
      </c>
      <c r="P6" s="81">
        <v>0</v>
      </c>
      <c r="Q6" s="83" t="s">
        <v>557</v>
      </c>
      <c r="R6" s="81">
        <v>475</v>
      </c>
    </row>
    <row r="7" spans="1:18" x14ac:dyDescent="0.25">
      <c r="A7" s="71">
        <f t="shared" ref="A7:A32" si="2">A6+1</f>
        <v>3</v>
      </c>
      <c r="B7" s="59" t="s">
        <v>1767</v>
      </c>
      <c r="C7" s="70" t="s">
        <v>1707</v>
      </c>
      <c r="D7" s="70" t="s">
        <v>1768</v>
      </c>
      <c r="E7" s="70" t="s">
        <v>1769</v>
      </c>
      <c r="F7" s="70" t="s">
        <v>1710</v>
      </c>
      <c r="G7" s="67">
        <v>42887</v>
      </c>
      <c r="H7" s="277">
        <f t="shared" si="0"/>
        <v>409489.2</v>
      </c>
      <c r="I7" s="277">
        <v>481752</v>
      </c>
      <c r="J7" s="277">
        <f t="shared" si="1"/>
        <v>481752</v>
      </c>
      <c r="K7" s="83" t="s">
        <v>557</v>
      </c>
      <c r="L7" s="83">
        <v>0</v>
      </c>
      <c r="M7" s="83" t="s">
        <v>557</v>
      </c>
      <c r="N7" s="83">
        <v>406</v>
      </c>
      <c r="O7" s="83" t="s">
        <v>557</v>
      </c>
      <c r="P7" s="83">
        <v>0</v>
      </c>
      <c r="Q7" s="83" t="s">
        <v>557</v>
      </c>
      <c r="R7" s="83">
        <v>406</v>
      </c>
    </row>
    <row r="8" spans="1:18" x14ac:dyDescent="0.25">
      <c r="A8" s="71">
        <f t="shared" si="2"/>
        <v>4</v>
      </c>
      <c r="B8" s="59" t="s">
        <v>1723</v>
      </c>
      <c r="C8" s="70" t="s">
        <v>1707</v>
      </c>
      <c r="D8" s="70" t="s">
        <v>1724</v>
      </c>
      <c r="E8" s="70" t="s">
        <v>1725</v>
      </c>
      <c r="F8" s="70" t="s">
        <v>1710</v>
      </c>
      <c r="G8" s="67">
        <v>42917</v>
      </c>
      <c r="H8" s="277">
        <f t="shared" si="0"/>
        <v>73923.488499999992</v>
      </c>
      <c r="I8" s="277">
        <v>86968.81</v>
      </c>
      <c r="J8" s="277">
        <f t="shared" si="1"/>
        <v>86968.81</v>
      </c>
      <c r="K8" s="81" t="s">
        <v>557</v>
      </c>
      <c r="L8" s="81">
        <v>0</v>
      </c>
      <c r="M8" s="81" t="s">
        <v>557</v>
      </c>
      <c r="N8" s="81">
        <v>85</v>
      </c>
      <c r="O8" s="81" t="s">
        <v>557</v>
      </c>
      <c r="P8" s="81">
        <v>0</v>
      </c>
      <c r="Q8" s="81" t="s">
        <v>557</v>
      </c>
      <c r="R8" s="82">
        <v>85</v>
      </c>
    </row>
    <row r="9" spans="1:18" x14ac:dyDescent="0.25">
      <c r="A9" s="71">
        <f t="shared" si="2"/>
        <v>5</v>
      </c>
      <c r="B9" s="59" t="s">
        <v>1752</v>
      </c>
      <c r="C9" s="70" t="s">
        <v>1707</v>
      </c>
      <c r="D9" s="71" t="s">
        <v>1753</v>
      </c>
      <c r="E9" s="71" t="s">
        <v>1754</v>
      </c>
      <c r="F9" s="70" t="s">
        <v>1710</v>
      </c>
      <c r="G9" s="67">
        <v>42917</v>
      </c>
      <c r="H9" s="277">
        <f t="shared" si="0"/>
        <v>1004700.8245</v>
      </c>
      <c r="I9" s="277">
        <v>1182000.97</v>
      </c>
      <c r="J9" s="277">
        <f t="shared" si="1"/>
        <v>1182000.97</v>
      </c>
      <c r="K9" s="83" t="s">
        <v>557</v>
      </c>
      <c r="L9" s="81">
        <v>1225</v>
      </c>
      <c r="M9" s="83" t="s">
        <v>557</v>
      </c>
      <c r="N9" s="81">
        <v>0</v>
      </c>
      <c r="O9" s="83" t="s">
        <v>557</v>
      </c>
      <c r="P9" s="81">
        <v>1225</v>
      </c>
      <c r="Q9" s="83" t="s">
        <v>557</v>
      </c>
      <c r="R9" s="81">
        <v>0</v>
      </c>
    </row>
    <row r="10" spans="1:18" x14ac:dyDescent="0.25">
      <c r="A10" s="71">
        <f t="shared" si="2"/>
        <v>6</v>
      </c>
      <c r="B10" s="59" t="s">
        <v>1720</v>
      </c>
      <c r="C10" s="70" t="s">
        <v>1707</v>
      </c>
      <c r="D10" s="70" t="s">
        <v>1721</v>
      </c>
      <c r="E10" s="70" t="s">
        <v>1722</v>
      </c>
      <c r="F10" s="70" t="s">
        <v>1710</v>
      </c>
      <c r="G10" s="67">
        <v>42948</v>
      </c>
      <c r="H10" s="277">
        <f t="shared" si="0"/>
        <v>74270.5435</v>
      </c>
      <c r="I10" s="277">
        <v>87377.11</v>
      </c>
      <c r="J10" s="277">
        <f t="shared" si="1"/>
        <v>87377.11</v>
      </c>
      <c r="K10" s="81" t="s">
        <v>557</v>
      </c>
      <c r="L10" s="81">
        <v>0</v>
      </c>
      <c r="M10" s="81" t="s">
        <v>557</v>
      </c>
      <c r="N10" s="81">
        <v>85</v>
      </c>
      <c r="O10" s="81" t="s">
        <v>557</v>
      </c>
      <c r="P10" s="81">
        <v>0</v>
      </c>
      <c r="Q10" s="81" t="s">
        <v>557</v>
      </c>
      <c r="R10" s="82">
        <v>85</v>
      </c>
    </row>
    <row r="11" spans="1:18" x14ac:dyDescent="0.25">
      <c r="A11" s="71">
        <f t="shared" si="2"/>
        <v>7</v>
      </c>
      <c r="B11" s="59" t="s">
        <v>1782</v>
      </c>
      <c r="C11" s="70" t="s">
        <v>1707</v>
      </c>
      <c r="D11" s="70" t="s">
        <v>1783</v>
      </c>
      <c r="E11" s="71" t="s">
        <v>1784</v>
      </c>
      <c r="F11" s="71" t="s">
        <v>1710</v>
      </c>
      <c r="G11" s="62">
        <v>42948</v>
      </c>
      <c r="H11" s="277">
        <f t="shared" si="0"/>
        <v>146734.29299999998</v>
      </c>
      <c r="I11" s="281">
        <v>172628.58</v>
      </c>
      <c r="J11" s="277">
        <f t="shared" si="1"/>
        <v>172628.58</v>
      </c>
      <c r="K11" s="83" t="s">
        <v>557</v>
      </c>
      <c r="L11" s="83">
        <v>0</v>
      </c>
      <c r="M11" s="83" t="s">
        <v>557</v>
      </c>
      <c r="N11" s="85">
        <v>90</v>
      </c>
      <c r="O11" s="83" t="s">
        <v>557</v>
      </c>
      <c r="P11" s="83">
        <v>0</v>
      </c>
      <c r="Q11" s="83" t="s">
        <v>557</v>
      </c>
      <c r="R11" s="83">
        <v>100</v>
      </c>
    </row>
    <row r="12" spans="1:18" x14ac:dyDescent="0.25">
      <c r="A12" s="71">
        <f t="shared" si="2"/>
        <v>8</v>
      </c>
      <c r="B12" s="59" t="s">
        <v>1773</v>
      </c>
      <c r="C12" s="70" t="s">
        <v>1707</v>
      </c>
      <c r="D12" s="70" t="s">
        <v>2028</v>
      </c>
      <c r="E12" s="70" t="s">
        <v>1774</v>
      </c>
      <c r="F12" s="70" t="s">
        <v>1710</v>
      </c>
      <c r="G12" s="62">
        <v>42948</v>
      </c>
      <c r="H12" s="277">
        <f t="shared" si="0"/>
        <v>159067.51249999998</v>
      </c>
      <c r="I12" s="281">
        <v>187138.25</v>
      </c>
      <c r="J12" s="277">
        <f t="shared" si="1"/>
        <v>187138.25</v>
      </c>
      <c r="K12" s="83" t="s">
        <v>557</v>
      </c>
      <c r="L12" s="83">
        <v>0</v>
      </c>
      <c r="M12" s="83" t="s">
        <v>557</v>
      </c>
      <c r="N12" s="83">
        <v>64</v>
      </c>
      <c r="O12" s="83" t="s">
        <v>557</v>
      </c>
      <c r="P12" s="83">
        <v>0</v>
      </c>
      <c r="Q12" s="83" t="s">
        <v>557</v>
      </c>
      <c r="R12" s="83">
        <v>64</v>
      </c>
    </row>
    <row r="13" spans="1:18" x14ac:dyDescent="0.25">
      <c r="A13" s="71">
        <f t="shared" si="2"/>
        <v>9</v>
      </c>
      <c r="B13" s="59" t="s">
        <v>1711</v>
      </c>
      <c r="C13" s="70" t="s">
        <v>1707</v>
      </c>
      <c r="D13" s="70" t="s">
        <v>1712</v>
      </c>
      <c r="E13" s="70" t="s">
        <v>1713</v>
      </c>
      <c r="F13" s="70" t="s">
        <v>1710</v>
      </c>
      <c r="G13" s="67">
        <v>42979</v>
      </c>
      <c r="H13" s="277">
        <f t="shared" si="0"/>
        <v>130280.2735</v>
      </c>
      <c r="I13" s="277">
        <v>153270.91</v>
      </c>
      <c r="J13" s="277">
        <f t="shared" si="1"/>
        <v>153270.91</v>
      </c>
      <c r="K13" s="81" t="s">
        <v>557</v>
      </c>
      <c r="L13" s="81">
        <v>0</v>
      </c>
      <c r="M13" s="81" t="s">
        <v>557</v>
      </c>
      <c r="N13" s="81">
        <v>100</v>
      </c>
      <c r="O13" s="81" t="s">
        <v>557</v>
      </c>
      <c r="P13" s="81">
        <v>0</v>
      </c>
      <c r="Q13" s="81" t="s">
        <v>557</v>
      </c>
      <c r="R13" s="82">
        <v>100</v>
      </c>
    </row>
    <row r="14" spans="1:18" x14ac:dyDescent="0.25">
      <c r="A14" s="71">
        <f t="shared" si="2"/>
        <v>10</v>
      </c>
      <c r="B14" s="59" t="s">
        <v>1714</v>
      </c>
      <c r="C14" s="70" t="s">
        <v>1707</v>
      </c>
      <c r="D14" s="70" t="s">
        <v>1715</v>
      </c>
      <c r="E14" s="70" t="s">
        <v>1716</v>
      </c>
      <c r="F14" s="70" t="s">
        <v>1710</v>
      </c>
      <c r="G14" s="67">
        <v>42979</v>
      </c>
      <c r="H14" s="277">
        <f t="shared" si="0"/>
        <v>76290.160499999998</v>
      </c>
      <c r="I14" s="277">
        <v>89753.13</v>
      </c>
      <c r="J14" s="277">
        <f t="shared" si="1"/>
        <v>89753.13</v>
      </c>
      <c r="K14" s="81" t="s">
        <v>557</v>
      </c>
      <c r="L14" s="81">
        <v>0</v>
      </c>
      <c r="M14" s="81" t="s">
        <v>557</v>
      </c>
      <c r="N14" s="81">
        <v>30</v>
      </c>
      <c r="O14" s="81" t="s">
        <v>557</v>
      </c>
      <c r="P14" s="81">
        <v>0</v>
      </c>
      <c r="Q14" s="81" t="s">
        <v>557</v>
      </c>
      <c r="R14" s="81">
        <v>30</v>
      </c>
    </row>
    <row r="15" spans="1:18" x14ac:dyDescent="0.25">
      <c r="A15" s="71">
        <f t="shared" si="2"/>
        <v>11</v>
      </c>
      <c r="B15" s="59" t="s">
        <v>1717</v>
      </c>
      <c r="C15" s="70" t="s">
        <v>1707</v>
      </c>
      <c r="D15" s="70" t="s">
        <v>1718</v>
      </c>
      <c r="E15" s="70" t="s">
        <v>1719</v>
      </c>
      <c r="F15" s="70" t="s">
        <v>1710</v>
      </c>
      <c r="G15" s="67">
        <v>42979</v>
      </c>
      <c r="H15" s="277">
        <f t="shared" si="0"/>
        <v>158822.4405</v>
      </c>
      <c r="I15" s="277">
        <v>186849.93</v>
      </c>
      <c r="J15" s="277">
        <f t="shared" si="1"/>
        <v>186849.93</v>
      </c>
      <c r="K15" s="81" t="s">
        <v>557</v>
      </c>
      <c r="L15" s="81">
        <v>0</v>
      </c>
      <c r="M15" s="81" t="s">
        <v>557</v>
      </c>
      <c r="N15" s="81">
        <v>25</v>
      </c>
      <c r="O15" s="81" t="s">
        <v>557</v>
      </c>
      <c r="P15" s="81">
        <v>0</v>
      </c>
      <c r="Q15" s="81" t="s">
        <v>557</v>
      </c>
      <c r="R15" s="82">
        <v>25</v>
      </c>
    </row>
    <row r="16" spans="1:18" x14ac:dyDescent="0.25">
      <c r="A16" s="71">
        <f t="shared" si="2"/>
        <v>12</v>
      </c>
      <c r="B16" s="59" t="s">
        <v>1732</v>
      </c>
      <c r="C16" s="70" t="s">
        <v>1707</v>
      </c>
      <c r="D16" s="70" t="s">
        <v>1447</v>
      </c>
      <c r="E16" s="70" t="s">
        <v>1733</v>
      </c>
      <c r="F16" s="70" t="s">
        <v>1710</v>
      </c>
      <c r="G16" s="67">
        <v>43009</v>
      </c>
      <c r="H16" s="277">
        <f t="shared" si="0"/>
        <v>344151.23849999998</v>
      </c>
      <c r="I16" s="277">
        <v>404883.81</v>
      </c>
      <c r="J16" s="277">
        <f t="shared" si="1"/>
        <v>404883.81</v>
      </c>
      <c r="K16" s="83" t="s">
        <v>557</v>
      </c>
      <c r="L16" s="81">
        <v>0</v>
      </c>
      <c r="M16" s="83" t="s">
        <v>557</v>
      </c>
      <c r="N16" s="81">
        <v>100</v>
      </c>
      <c r="O16" s="83" t="s">
        <v>557</v>
      </c>
      <c r="P16" s="81">
        <v>0</v>
      </c>
      <c r="Q16" s="83" t="s">
        <v>557</v>
      </c>
      <c r="R16" s="81">
        <v>100</v>
      </c>
    </row>
    <row r="17" spans="1:18" x14ac:dyDescent="0.25">
      <c r="A17" s="71">
        <f t="shared" si="2"/>
        <v>13</v>
      </c>
      <c r="B17" s="59" t="s">
        <v>1749</v>
      </c>
      <c r="C17" s="70" t="s">
        <v>1707</v>
      </c>
      <c r="D17" s="70" t="s">
        <v>1750</v>
      </c>
      <c r="E17" s="70" t="s">
        <v>1751</v>
      </c>
      <c r="F17" s="70" t="s">
        <v>1710</v>
      </c>
      <c r="G17" s="67">
        <v>43009</v>
      </c>
      <c r="H17" s="277">
        <f t="shared" si="0"/>
        <v>1321257.8585000001</v>
      </c>
      <c r="I17" s="277">
        <v>1554421.01</v>
      </c>
      <c r="J17" s="277">
        <f t="shared" si="1"/>
        <v>1554421.01</v>
      </c>
      <c r="K17" s="83" t="s">
        <v>557</v>
      </c>
      <c r="L17" s="81">
        <v>568.69000000000005</v>
      </c>
      <c r="M17" s="83" t="s">
        <v>557</v>
      </c>
      <c r="N17" s="81">
        <v>0</v>
      </c>
      <c r="O17" s="83" t="s">
        <v>557</v>
      </c>
      <c r="P17" s="81">
        <v>568.69000000000005</v>
      </c>
      <c r="Q17" s="83" t="s">
        <v>557</v>
      </c>
      <c r="R17" s="81">
        <v>0</v>
      </c>
    </row>
    <row r="18" spans="1:18" x14ac:dyDescent="0.25">
      <c r="A18" s="71">
        <f t="shared" si="2"/>
        <v>14</v>
      </c>
      <c r="B18" s="59" t="s">
        <v>1770</v>
      </c>
      <c r="C18" s="70" t="s">
        <v>1707</v>
      </c>
      <c r="D18" s="70" t="s">
        <v>1771</v>
      </c>
      <c r="E18" s="70" t="s">
        <v>1772</v>
      </c>
      <c r="F18" s="70" t="s">
        <v>1710</v>
      </c>
      <c r="G18" s="67">
        <v>43009</v>
      </c>
      <c r="H18" s="277">
        <f t="shared" si="0"/>
        <v>227069</v>
      </c>
      <c r="I18" s="277">
        <v>267140</v>
      </c>
      <c r="J18" s="277">
        <f t="shared" si="1"/>
        <v>267140</v>
      </c>
      <c r="K18" s="83" t="s">
        <v>557</v>
      </c>
      <c r="L18" s="83">
        <v>450</v>
      </c>
      <c r="M18" s="83" t="s">
        <v>557</v>
      </c>
      <c r="N18" s="83">
        <v>0</v>
      </c>
      <c r="O18" s="83" t="s">
        <v>557</v>
      </c>
      <c r="P18" s="83">
        <v>450</v>
      </c>
      <c r="Q18" s="83" t="s">
        <v>557</v>
      </c>
      <c r="R18" s="83">
        <v>0</v>
      </c>
    </row>
    <row r="19" spans="1:18" x14ac:dyDescent="0.25">
      <c r="A19" s="71">
        <f t="shared" si="2"/>
        <v>15</v>
      </c>
      <c r="B19" s="59" t="s">
        <v>1785</v>
      </c>
      <c r="C19" s="70" t="s">
        <v>1707</v>
      </c>
      <c r="D19" s="70" t="s">
        <v>1786</v>
      </c>
      <c r="E19" s="70" t="s">
        <v>1787</v>
      </c>
      <c r="F19" s="70" t="s">
        <v>1710</v>
      </c>
      <c r="G19" s="67">
        <v>43009</v>
      </c>
      <c r="H19" s="277">
        <f t="shared" si="0"/>
        <v>293116.924</v>
      </c>
      <c r="I19" s="277">
        <v>344843.44</v>
      </c>
      <c r="J19" s="277">
        <f t="shared" si="1"/>
        <v>344843.44</v>
      </c>
      <c r="K19" s="83" t="s">
        <v>557</v>
      </c>
      <c r="L19" s="83">
        <v>0</v>
      </c>
      <c r="M19" s="83" t="s">
        <v>557</v>
      </c>
      <c r="N19" s="83">
        <v>380</v>
      </c>
      <c r="O19" s="83" t="s">
        <v>557</v>
      </c>
      <c r="P19" s="83">
        <v>0</v>
      </c>
      <c r="Q19" s="83" t="s">
        <v>557</v>
      </c>
      <c r="R19" s="83">
        <v>380</v>
      </c>
    </row>
    <row r="20" spans="1:18" x14ac:dyDescent="0.25">
      <c r="A20" s="71">
        <f t="shared" si="2"/>
        <v>16</v>
      </c>
      <c r="B20" s="59" t="s">
        <v>1729</v>
      </c>
      <c r="C20" s="70" t="s">
        <v>1707</v>
      </c>
      <c r="D20" s="70" t="s">
        <v>1730</v>
      </c>
      <c r="E20" s="70" t="s">
        <v>1731</v>
      </c>
      <c r="F20" s="70" t="s">
        <v>1710</v>
      </c>
      <c r="G20" s="67">
        <v>43070</v>
      </c>
      <c r="H20" s="277">
        <f t="shared" si="0"/>
        <v>324089.0625</v>
      </c>
      <c r="I20" s="277">
        <v>381281.25</v>
      </c>
      <c r="J20" s="277">
        <f t="shared" si="1"/>
        <v>381281.25</v>
      </c>
      <c r="K20" s="83" t="s">
        <v>557</v>
      </c>
      <c r="L20" s="81">
        <v>824</v>
      </c>
      <c r="M20" s="83" t="s">
        <v>557</v>
      </c>
      <c r="N20" s="81">
        <v>0</v>
      </c>
      <c r="O20" s="83" t="s">
        <v>557</v>
      </c>
      <c r="P20" s="81">
        <v>824</v>
      </c>
      <c r="Q20" s="83" t="s">
        <v>557</v>
      </c>
      <c r="R20" s="81">
        <v>0</v>
      </c>
    </row>
    <row r="21" spans="1:18" x14ac:dyDescent="0.25">
      <c r="A21" s="71">
        <f t="shared" si="2"/>
        <v>17</v>
      </c>
      <c r="B21" s="59" t="s">
        <v>1734</v>
      </c>
      <c r="C21" s="70" t="s">
        <v>1707</v>
      </c>
      <c r="D21" s="70" t="s">
        <v>1735</v>
      </c>
      <c r="E21" s="70" t="s">
        <v>1736</v>
      </c>
      <c r="F21" s="70" t="s">
        <v>1710</v>
      </c>
      <c r="G21" s="67">
        <v>43070</v>
      </c>
      <c r="H21" s="277">
        <f t="shared" si="0"/>
        <v>502818.48600000003</v>
      </c>
      <c r="I21" s="277">
        <v>591551.16</v>
      </c>
      <c r="J21" s="277">
        <f t="shared" si="1"/>
        <v>591551.16</v>
      </c>
      <c r="K21" s="83" t="s">
        <v>557</v>
      </c>
      <c r="L21" s="81">
        <v>0</v>
      </c>
      <c r="M21" s="83" t="s">
        <v>557</v>
      </c>
      <c r="N21" s="81">
        <v>500</v>
      </c>
      <c r="O21" s="83" t="s">
        <v>557</v>
      </c>
      <c r="P21" s="81">
        <v>0</v>
      </c>
      <c r="Q21" s="83" t="s">
        <v>557</v>
      </c>
      <c r="R21" s="81">
        <v>500</v>
      </c>
    </row>
    <row r="22" spans="1:18" x14ac:dyDescent="0.25">
      <c r="A22" s="71">
        <f t="shared" si="2"/>
        <v>18</v>
      </c>
      <c r="B22" s="59" t="s">
        <v>1743</v>
      </c>
      <c r="C22" s="70" t="s">
        <v>1707</v>
      </c>
      <c r="D22" s="70" t="s">
        <v>1744</v>
      </c>
      <c r="E22" s="70" t="s">
        <v>1745</v>
      </c>
      <c r="F22" s="70" t="s">
        <v>1710</v>
      </c>
      <c r="G22" s="67">
        <v>43070</v>
      </c>
      <c r="H22" s="277">
        <f t="shared" si="0"/>
        <v>401164.70799999998</v>
      </c>
      <c r="I22" s="277">
        <v>471958.48</v>
      </c>
      <c r="J22" s="277">
        <f t="shared" si="1"/>
        <v>471958.48</v>
      </c>
      <c r="K22" s="83" t="s">
        <v>557</v>
      </c>
      <c r="L22" s="81">
        <v>145</v>
      </c>
      <c r="M22" s="83" t="s">
        <v>557</v>
      </c>
      <c r="N22" s="81">
        <v>0</v>
      </c>
      <c r="O22" s="83" t="s">
        <v>557</v>
      </c>
      <c r="P22" s="81">
        <v>145</v>
      </c>
      <c r="Q22" s="83" t="s">
        <v>557</v>
      </c>
      <c r="R22" s="81">
        <v>0</v>
      </c>
    </row>
    <row r="23" spans="1:18" x14ac:dyDescent="0.25">
      <c r="A23" s="71">
        <f t="shared" si="2"/>
        <v>19</v>
      </c>
      <c r="B23" s="59" t="s">
        <v>1755</v>
      </c>
      <c r="C23" s="70" t="s">
        <v>1707</v>
      </c>
      <c r="D23" s="70" t="s">
        <v>1756</v>
      </c>
      <c r="E23" s="70" t="s">
        <v>1757</v>
      </c>
      <c r="F23" s="70" t="s">
        <v>1710</v>
      </c>
      <c r="G23" s="67">
        <v>43070</v>
      </c>
      <c r="H23" s="277">
        <f t="shared" si="0"/>
        <v>181189.4</v>
      </c>
      <c r="I23" s="277">
        <v>213164</v>
      </c>
      <c r="J23" s="277">
        <f t="shared" si="1"/>
        <v>213164</v>
      </c>
      <c r="K23" s="83" t="s">
        <v>557</v>
      </c>
      <c r="L23" s="81">
        <v>180</v>
      </c>
      <c r="M23" s="83" t="s">
        <v>557</v>
      </c>
      <c r="N23" s="81">
        <v>0</v>
      </c>
      <c r="O23" s="83" t="s">
        <v>557</v>
      </c>
      <c r="P23" s="81">
        <v>180</v>
      </c>
      <c r="Q23" s="83" t="s">
        <v>557</v>
      </c>
      <c r="R23" s="81">
        <v>0</v>
      </c>
    </row>
    <row r="24" spans="1:18" x14ac:dyDescent="0.25">
      <c r="A24" s="71">
        <f t="shared" si="2"/>
        <v>20</v>
      </c>
      <c r="B24" s="59" t="s">
        <v>1758</v>
      </c>
      <c r="C24" s="70" t="s">
        <v>1707</v>
      </c>
      <c r="D24" s="70" t="s">
        <v>1759</v>
      </c>
      <c r="E24" s="70" t="s">
        <v>1760</v>
      </c>
      <c r="F24" s="70" t="s">
        <v>1710</v>
      </c>
      <c r="G24" s="67">
        <v>43070</v>
      </c>
      <c r="H24" s="277">
        <f t="shared" si="0"/>
        <v>94127.716499999995</v>
      </c>
      <c r="I24" s="277">
        <v>110738.49</v>
      </c>
      <c r="J24" s="277">
        <f t="shared" si="1"/>
        <v>110738.49</v>
      </c>
      <c r="K24" s="83" t="s">
        <v>557</v>
      </c>
      <c r="L24" s="83">
        <v>0</v>
      </c>
      <c r="M24" s="83" t="s">
        <v>557</v>
      </c>
      <c r="N24" s="81">
        <v>99</v>
      </c>
      <c r="O24" s="83" t="s">
        <v>557</v>
      </c>
      <c r="P24" s="83">
        <v>0</v>
      </c>
      <c r="Q24" s="83" t="s">
        <v>557</v>
      </c>
      <c r="R24" s="83">
        <v>99</v>
      </c>
    </row>
    <row r="25" spans="1:18" x14ac:dyDescent="0.25">
      <c r="A25" s="71">
        <f t="shared" si="2"/>
        <v>21</v>
      </c>
      <c r="B25" s="59" t="s">
        <v>1779</v>
      </c>
      <c r="C25" s="70" t="s">
        <v>1707</v>
      </c>
      <c r="D25" s="70" t="s">
        <v>1780</v>
      </c>
      <c r="E25" s="70" t="s">
        <v>1781</v>
      </c>
      <c r="F25" s="70" t="s">
        <v>1710</v>
      </c>
      <c r="G25" s="67">
        <v>43070</v>
      </c>
      <c r="H25" s="277">
        <f t="shared" si="0"/>
        <v>1100690.1174999999</v>
      </c>
      <c r="I25" s="277">
        <v>1294929.55</v>
      </c>
      <c r="J25" s="277">
        <f t="shared" si="1"/>
        <v>1294929.55</v>
      </c>
      <c r="K25" s="83" t="s">
        <v>557</v>
      </c>
      <c r="L25" s="83">
        <v>0</v>
      </c>
      <c r="M25" s="83" t="s">
        <v>557</v>
      </c>
      <c r="N25" s="84">
        <v>2000</v>
      </c>
      <c r="O25" s="83" t="s">
        <v>557</v>
      </c>
      <c r="P25" s="83">
        <v>0</v>
      </c>
      <c r="Q25" s="83" t="s">
        <v>557</v>
      </c>
      <c r="R25" s="83">
        <v>2500</v>
      </c>
    </row>
    <row r="26" spans="1:18" x14ac:dyDescent="0.25">
      <c r="A26" s="71">
        <f t="shared" si="2"/>
        <v>22</v>
      </c>
      <c r="B26" s="59" t="s">
        <v>1726</v>
      </c>
      <c r="C26" s="70" t="s">
        <v>1707</v>
      </c>
      <c r="D26" s="70" t="s">
        <v>1727</v>
      </c>
      <c r="E26" s="70" t="s">
        <v>1728</v>
      </c>
      <c r="F26" s="70" t="s">
        <v>1710</v>
      </c>
      <c r="G26" s="67">
        <v>43132</v>
      </c>
      <c r="H26" s="277">
        <f t="shared" si="0"/>
        <v>298125.77</v>
      </c>
      <c r="I26" s="277">
        <v>350736.2</v>
      </c>
      <c r="J26" s="277">
        <f t="shared" si="1"/>
        <v>350736.2</v>
      </c>
      <c r="K26" s="81" t="s">
        <v>557</v>
      </c>
      <c r="L26" s="81">
        <v>0</v>
      </c>
      <c r="M26" s="81" t="s">
        <v>557</v>
      </c>
      <c r="N26" s="81">
        <v>99.5</v>
      </c>
      <c r="O26" s="81" t="s">
        <v>557</v>
      </c>
      <c r="P26" s="81">
        <v>0</v>
      </c>
      <c r="Q26" s="81" t="s">
        <v>557</v>
      </c>
      <c r="R26" s="82">
        <v>99.5</v>
      </c>
    </row>
    <row r="27" spans="1:18" x14ac:dyDescent="0.25">
      <c r="A27" s="71">
        <f t="shared" si="2"/>
        <v>23</v>
      </c>
      <c r="B27" s="59" t="s">
        <v>1788</v>
      </c>
      <c r="C27" s="70" t="s">
        <v>1707</v>
      </c>
      <c r="D27" s="70" t="s">
        <v>1789</v>
      </c>
      <c r="E27" s="70" t="s">
        <v>1790</v>
      </c>
      <c r="F27" s="70" t="s">
        <v>1710</v>
      </c>
      <c r="G27" s="67">
        <v>43132</v>
      </c>
      <c r="H27" s="277">
        <f t="shared" si="0"/>
        <v>1342073.517</v>
      </c>
      <c r="I27" s="277">
        <v>1578910.02</v>
      </c>
      <c r="J27" s="277">
        <f t="shared" si="1"/>
        <v>1578910.02</v>
      </c>
      <c r="K27" s="83" t="s">
        <v>557</v>
      </c>
      <c r="L27" s="84">
        <v>3500</v>
      </c>
      <c r="M27" s="83" t="s">
        <v>557</v>
      </c>
      <c r="N27" s="83">
        <v>0</v>
      </c>
      <c r="O27" s="83" t="s">
        <v>557</v>
      </c>
      <c r="P27" s="84">
        <v>3500</v>
      </c>
      <c r="Q27" s="83" t="s">
        <v>557</v>
      </c>
      <c r="R27" s="83">
        <v>0</v>
      </c>
    </row>
    <row r="28" spans="1:18" x14ac:dyDescent="0.25">
      <c r="A28" s="71">
        <f t="shared" si="2"/>
        <v>24</v>
      </c>
      <c r="B28" s="59" t="s">
        <v>1706</v>
      </c>
      <c r="C28" s="70" t="s">
        <v>1707</v>
      </c>
      <c r="D28" s="70" t="s">
        <v>1708</v>
      </c>
      <c r="E28" s="70" t="s">
        <v>1709</v>
      </c>
      <c r="F28" s="70" t="s">
        <v>1710</v>
      </c>
      <c r="G28" s="67">
        <v>43160</v>
      </c>
      <c r="H28" s="277">
        <f t="shared" si="0"/>
        <v>1649403.1465</v>
      </c>
      <c r="I28" s="277">
        <v>1940474.29</v>
      </c>
      <c r="J28" s="277">
        <f t="shared" si="1"/>
        <v>1940474.29</v>
      </c>
      <c r="K28" s="81" t="s">
        <v>557</v>
      </c>
      <c r="L28" s="81">
        <v>1865</v>
      </c>
      <c r="M28" s="81" t="s">
        <v>557</v>
      </c>
      <c r="N28" s="81">
        <v>1600</v>
      </c>
      <c r="O28" s="81" t="s">
        <v>557</v>
      </c>
      <c r="P28" s="81">
        <v>1865</v>
      </c>
      <c r="Q28" s="81" t="s">
        <v>557</v>
      </c>
      <c r="R28" s="81">
        <v>1600</v>
      </c>
    </row>
    <row r="29" spans="1:18" x14ac:dyDescent="0.25">
      <c r="A29" s="71">
        <f t="shared" si="2"/>
        <v>25</v>
      </c>
      <c r="B29" s="59" t="s">
        <v>1764</v>
      </c>
      <c r="C29" s="70" t="s">
        <v>1707</v>
      </c>
      <c r="D29" s="70" t="s">
        <v>1765</v>
      </c>
      <c r="E29" s="70" t="s">
        <v>1766</v>
      </c>
      <c r="F29" s="70" t="s">
        <v>1710</v>
      </c>
      <c r="G29" s="67">
        <v>43191</v>
      </c>
      <c r="H29" s="277">
        <f t="shared" si="0"/>
        <v>1451678.2034999998</v>
      </c>
      <c r="I29" s="277">
        <v>1707856.71</v>
      </c>
      <c r="J29" s="277">
        <f t="shared" si="1"/>
        <v>1707856.71</v>
      </c>
      <c r="K29" s="83" t="s">
        <v>557</v>
      </c>
      <c r="L29" s="83">
        <v>0</v>
      </c>
      <c r="M29" s="83" t="s">
        <v>557</v>
      </c>
      <c r="N29" s="84">
        <v>4800</v>
      </c>
      <c r="O29" s="83" t="s">
        <v>557</v>
      </c>
      <c r="P29" s="83">
        <v>0</v>
      </c>
      <c r="Q29" s="83" t="s">
        <v>557</v>
      </c>
      <c r="R29" s="84">
        <v>4800</v>
      </c>
    </row>
    <row r="30" spans="1:18" x14ac:dyDescent="0.25">
      <c r="A30" s="71">
        <f t="shared" si="2"/>
        <v>26</v>
      </c>
      <c r="B30" s="59" t="s">
        <v>1737</v>
      </c>
      <c r="C30" s="70" t="s">
        <v>1707</v>
      </c>
      <c r="D30" s="70" t="s">
        <v>1738</v>
      </c>
      <c r="E30" s="70" t="s">
        <v>1739</v>
      </c>
      <c r="F30" s="70" t="s">
        <v>1710</v>
      </c>
      <c r="G30" s="67">
        <v>43252</v>
      </c>
      <c r="H30" s="277">
        <f t="shared" si="0"/>
        <v>94805.906000000003</v>
      </c>
      <c r="I30" s="277">
        <v>111536.36</v>
      </c>
      <c r="J30" s="277">
        <f t="shared" si="1"/>
        <v>111536.36</v>
      </c>
      <c r="K30" s="83" t="s">
        <v>557</v>
      </c>
      <c r="L30" s="81">
        <v>0</v>
      </c>
      <c r="M30" s="83" t="s">
        <v>557</v>
      </c>
      <c r="N30" s="81">
        <v>100</v>
      </c>
      <c r="O30" s="83" t="s">
        <v>557</v>
      </c>
      <c r="P30" s="81">
        <v>0</v>
      </c>
      <c r="Q30" s="83" t="s">
        <v>557</v>
      </c>
      <c r="R30" s="81">
        <v>100</v>
      </c>
    </row>
    <row r="31" spans="1:18" x14ac:dyDescent="0.25">
      <c r="A31" s="71">
        <f t="shared" si="2"/>
        <v>27</v>
      </c>
      <c r="B31" s="59" t="s">
        <v>1761</v>
      </c>
      <c r="C31" s="70" t="s">
        <v>1707</v>
      </c>
      <c r="D31" s="70" t="s">
        <v>1762</v>
      </c>
      <c r="E31" s="70" t="s">
        <v>1763</v>
      </c>
      <c r="F31" s="70" t="s">
        <v>1710</v>
      </c>
      <c r="G31" s="67">
        <v>43252</v>
      </c>
      <c r="H31" s="277">
        <f t="shared" si="0"/>
        <v>2084882.0399999998</v>
      </c>
      <c r="I31" s="277">
        <v>2452802.4</v>
      </c>
      <c r="J31" s="277">
        <f t="shared" si="1"/>
        <v>2452802.4</v>
      </c>
      <c r="K31" s="83" t="s">
        <v>557</v>
      </c>
      <c r="L31" s="83">
        <v>0</v>
      </c>
      <c r="M31" s="83" t="s">
        <v>557</v>
      </c>
      <c r="N31" s="84">
        <v>4500</v>
      </c>
      <c r="O31" s="83" t="s">
        <v>557</v>
      </c>
      <c r="P31" s="83">
        <v>0</v>
      </c>
      <c r="Q31" s="83"/>
      <c r="R31" s="84">
        <v>4500</v>
      </c>
    </row>
    <row r="32" spans="1:18" x14ac:dyDescent="0.25">
      <c r="A32" s="71">
        <f t="shared" si="2"/>
        <v>28</v>
      </c>
      <c r="B32" s="59" t="s">
        <v>1776</v>
      </c>
      <c r="C32" s="70" t="s">
        <v>1707</v>
      </c>
      <c r="D32" s="70" t="s">
        <v>1777</v>
      </c>
      <c r="E32" s="70" t="s">
        <v>1778</v>
      </c>
      <c r="F32" s="70" t="s">
        <v>1710</v>
      </c>
      <c r="G32" s="67">
        <v>43282</v>
      </c>
      <c r="H32" s="277">
        <f t="shared" si="0"/>
        <v>475460.64949999994</v>
      </c>
      <c r="I32" s="277">
        <v>559365.47</v>
      </c>
      <c r="J32" s="277">
        <f t="shared" si="1"/>
        <v>559365.47</v>
      </c>
      <c r="K32" s="83" t="s">
        <v>557</v>
      </c>
      <c r="L32" s="83">
        <v>668</v>
      </c>
      <c r="M32" s="83" t="s">
        <v>557</v>
      </c>
      <c r="N32" s="83">
        <v>0</v>
      </c>
      <c r="O32" s="83" t="s">
        <v>557</v>
      </c>
      <c r="P32" s="83">
        <v>668</v>
      </c>
      <c r="Q32" s="83" t="s">
        <v>557</v>
      </c>
      <c r="R32" s="83">
        <v>0</v>
      </c>
    </row>
    <row r="33" spans="8:18" x14ac:dyDescent="0.25">
      <c r="H33" s="280">
        <f t="shared" ref="H33:R33" si="3">SUM(H5:H32)</f>
        <v>15021437.8555</v>
      </c>
      <c r="I33" s="280">
        <f t="shared" si="3"/>
        <v>17672279.829999998</v>
      </c>
      <c r="J33" s="280">
        <f t="shared" si="3"/>
        <v>17672279.829999998</v>
      </c>
      <c r="K33" s="93">
        <f t="shared" si="3"/>
        <v>0</v>
      </c>
      <c r="L33" s="93">
        <f t="shared" si="3"/>
        <v>9425.69</v>
      </c>
      <c r="M33" s="93">
        <f t="shared" si="3"/>
        <v>0</v>
      </c>
      <c r="N33" s="93">
        <f t="shared" si="3"/>
        <v>15600.5</v>
      </c>
      <c r="O33" s="93">
        <f t="shared" si="3"/>
        <v>0</v>
      </c>
      <c r="P33" s="93">
        <f t="shared" si="3"/>
        <v>9425.69</v>
      </c>
      <c r="Q33" s="93">
        <f t="shared" si="3"/>
        <v>0</v>
      </c>
      <c r="R33" s="93">
        <f t="shared" si="3"/>
        <v>16110.5</v>
      </c>
    </row>
  </sheetData>
  <sheetProtection algorithmName="SHA-512" hashValue="0FuMCP00XT1ZM/U3I+tK4ObVRZ5B+tt7ttczpoRhT3E9ZBRsXvmnco10RloaY7T0yHHAcil81I+jtSfC6WYPcQ==" saltValue="tJPzletbLXoycrUBOIeelg==" spinCount="100000" sheet="1" objects="1" scenarios="1" autoFilter="0"/>
  <autoFilter ref="B1:R33">
    <filterColumn colId="9" showButton="0"/>
    <filterColumn colId="11" showButton="0"/>
    <filterColumn colId="13" showButton="0"/>
    <filterColumn colId="15" showButton="0"/>
    <sortState ref="B8:R33">
      <sortCondition ref="G1:G33"/>
    </sortState>
  </autoFilter>
  <sortState ref="B5:R33">
    <sortCondition ref="R33"/>
  </sortState>
  <mergeCells count="21">
    <mergeCell ref="H1:H3"/>
    <mergeCell ref="I1:I3"/>
    <mergeCell ref="J1:J3"/>
    <mergeCell ref="G1:G4"/>
    <mergeCell ref="B1:B4"/>
    <mergeCell ref="C1:C4"/>
    <mergeCell ref="D1:D4"/>
    <mergeCell ref="E1:E4"/>
    <mergeCell ref="F1:F4"/>
    <mergeCell ref="K3:L3"/>
    <mergeCell ref="M3:N3"/>
    <mergeCell ref="O3:P3"/>
    <mergeCell ref="Q3:R3"/>
    <mergeCell ref="K1:L1"/>
    <mergeCell ref="M1:N1"/>
    <mergeCell ref="O1:P1"/>
    <mergeCell ref="Q1:R1"/>
    <mergeCell ref="K2:L2"/>
    <mergeCell ref="M2:N2"/>
    <mergeCell ref="O2:P2"/>
    <mergeCell ref="Q2:R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7"/>
  <sheetViews>
    <sheetView workbookViewId="0">
      <selection activeCell="B5" sqref="B5"/>
    </sheetView>
  </sheetViews>
  <sheetFormatPr defaultRowHeight="15" x14ac:dyDescent="0.25"/>
  <cols>
    <col min="1" max="1" width="16.7109375" customWidth="1"/>
    <col min="2" max="2" width="22.5703125" customWidth="1"/>
    <col min="3" max="3" width="17.42578125" customWidth="1"/>
    <col min="4" max="4" width="29" customWidth="1"/>
    <col min="5" max="5" width="14.42578125" customWidth="1"/>
    <col min="7" max="7" width="15.85546875" customWidth="1"/>
    <col min="8" max="8" width="13.140625" customWidth="1"/>
    <col min="9" max="9" width="17" customWidth="1"/>
  </cols>
  <sheetData>
    <row r="1" spans="1:11" ht="61.5" customHeight="1" x14ac:dyDescent="0.25">
      <c r="A1" s="1548" t="s">
        <v>709</v>
      </c>
      <c r="B1" s="1548" t="s">
        <v>477</v>
      </c>
      <c r="C1" s="1548" t="s">
        <v>710</v>
      </c>
      <c r="D1" s="1548" t="s">
        <v>711</v>
      </c>
      <c r="E1" s="1548" t="s">
        <v>712</v>
      </c>
      <c r="F1" s="1550" t="s">
        <v>684</v>
      </c>
      <c r="G1" s="1550" t="s">
        <v>2020</v>
      </c>
      <c r="H1" s="1550" t="s">
        <v>2021</v>
      </c>
      <c r="I1" s="1550" t="s">
        <v>2022</v>
      </c>
      <c r="J1" s="1559" t="s">
        <v>31</v>
      </c>
      <c r="K1" s="1559"/>
    </row>
    <row r="2" spans="1:11" x14ac:dyDescent="0.25">
      <c r="A2" s="1549"/>
      <c r="B2" s="1549"/>
      <c r="C2" s="1549"/>
      <c r="D2" s="1549"/>
      <c r="E2" s="1549"/>
      <c r="F2" s="1550"/>
      <c r="G2" s="1550"/>
      <c r="H2" s="1550"/>
      <c r="I2" s="1550"/>
      <c r="J2" s="1558" t="s">
        <v>153</v>
      </c>
      <c r="K2" s="1558"/>
    </row>
    <row r="3" spans="1:11" x14ac:dyDescent="0.25">
      <c r="A3" s="1549"/>
      <c r="B3" s="1549"/>
      <c r="C3" s="1549"/>
      <c r="D3" s="1549"/>
      <c r="E3" s="1549"/>
      <c r="F3" s="1550"/>
      <c r="G3" s="1550"/>
      <c r="H3" s="1550"/>
      <c r="I3" s="1550"/>
      <c r="J3" s="1558" t="s">
        <v>439</v>
      </c>
      <c r="K3" s="1558"/>
    </row>
    <row r="4" spans="1:11" ht="25.5" x14ac:dyDescent="0.25">
      <c r="A4" s="1554"/>
      <c r="B4" s="1554"/>
      <c r="C4" s="1554"/>
      <c r="D4" s="1554"/>
      <c r="E4" s="1554"/>
      <c r="F4" s="1550"/>
      <c r="G4" s="229" t="s">
        <v>410</v>
      </c>
      <c r="H4" s="229" t="s">
        <v>410</v>
      </c>
      <c r="I4" s="229" t="s">
        <v>410</v>
      </c>
      <c r="J4" s="91" t="s">
        <v>1605</v>
      </c>
      <c r="K4" s="91" t="s">
        <v>713</v>
      </c>
    </row>
    <row r="5" spans="1:11" s="66" customFormat="1" x14ac:dyDescent="0.25">
      <c r="A5" s="65" t="s">
        <v>1703</v>
      </c>
      <c r="B5" s="72" t="s">
        <v>1704</v>
      </c>
      <c r="C5" s="64" t="s">
        <v>564</v>
      </c>
      <c r="D5" s="64" t="s">
        <v>1705</v>
      </c>
      <c r="E5" s="60" t="s">
        <v>1610</v>
      </c>
      <c r="F5" s="282">
        <v>44044</v>
      </c>
      <c r="G5" s="284"/>
      <c r="H5" s="284">
        <v>18807963.93</v>
      </c>
      <c r="I5" s="284"/>
      <c r="J5" s="79">
        <v>1</v>
      </c>
      <c r="K5" s="79" t="s">
        <v>557</v>
      </c>
    </row>
    <row r="6" spans="1:11" s="66" customFormat="1" x14ac:dyDescent="0.25">
      <c r="A6" s="72"/>
      <c r="B6" s="72"/>
      <c r="C6" s="72"/>
      <c r="D6" s="72"/>
      <c r="E6" s="72"/>
      <c r="F6" s="283"/>
      <c r="G6" s="284"/>
      <c r="H6" s="284"/>
      <c r="I6" s="284"/>
      <c r="J6" s="80"/>
      <c r="K6" s="79"/>
    </row>
    <row r="7" spans="1:11" x14ac:dyDescent="0.25">
      <c r="G7" s="280">
        <f>SUM(G5:G6)</f>
        <v>0</v>
      </c>
      <c r="H7" s="280">
        <f t="shared" ref="H7:I7" si="0">SUM(H5:H6)</f>
        <v>18807963.93</v>
      </c>
      <c r="I7" s="280">
        <f t="shared" si="0"/>
        <v>0</v>
      </c>
      <c r="J7" s="93">
        <f>SUM(J5:J6)</f>
        <v>1</v>
      </c>
      <c r="K7" s="93">
        <f>SUM(K5:K6)</f>
        <v>0</v>
      </c>
    </row>
  </sheetData>
  <sheetProtection algorithmName="SHA-512" hashValue="jP+4NLFbL9i5sWUn2DqYkPVZJU53kN9pGviz4d0/UurAeVp+ffudkIw9lKJNjxfqYk0A29e8i1MNSm7ijYvnvA==" saltValue="E9wAXDsIEZ4a2gVgiLTo/A==" spinCount="100000" sheet="1" objects="1" scenarios="1" autoFilter="0"/>
  <mergeCells count="12">
    <mergeCell ref="J1:K1"/>
    <mergeCell ref="J2:K2"/>
    <mergeCell ref="J3:K3"/>
    <mergeCell ref="A1:A4"/>
    <mergeCell ref="B1:B4"/>
    <mergeCell ref="C1:C4"/>
    <mergeCell ref="D1:D4"/>
    <mergeCell ref="E1:E4"/>
    <mergeCell ref="F1:F4"/>
    <mergeCell ref="G1:G3"/>
    <mergeCell ref="H1:H3"/>
    <mergeCell ref="I1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8"/>
  <sheetViews>
    <sheetView workbookViewId="0">
      <selection activeCell="B5" sqref="B5"/>
    </sheetView>
  </sheetViews>
  <sheetFormatPr defaultRowHeight="15" x14ac:dyDescent="0.25"/>
  <cols>
    <col min="1" max="1" width="14.5703125" customWidth="1"/>
    <col min="2" max="2" width="22.140625" bestFit="1" customWidth="1"/>
    <col min="3" max="3" width="22" bestFit="1" customWidth="1"/>
    <col min="4" max="4" width="36.42578125" bestFit="1" customWidth="1"/>
    <col min="5" max="10" width="16.42578125" customWidth="1"/>
    <col min="11" max="18" width="11.42578125" customWidth="1"/>
  </cols>
  <sheetData>
    <row r="1" spans="1:18" ht="45.75" customHeight="1" x14ac:dyDescent="0.25">
      <c r="A1" s="1548" t="s">
        <v>709</v>
      </c>
      <c r="B1" s="1548" t="s">
        <v>477</v>
      </c>
      <c r="C1" s="1548" t="s">
        <v>710</v>
      </c>
      <c r="D1" s="1548" t="s">
        <v>711</v>
      </c>
      <c r="E1" s="1548" t="s">
        <v>712</v>
      </c>
      <c r="F1" s="1550" t="s">
        <v>684</v>
      </c>
      <c r="G1" s="1550" t="s">
        <v>2020</v>
      </c>
      <c r="H1" s="1550" t="s">
        <v>2023</v>
      </c>
      <c r="I1" s="1550" t="s">
        <v>2021</v>
      </c>
      <c r="J1" s="1550" t="s">
        <v>2022</v>
      </c>
      <c r="K1" s="1559" t="s">
        <v>136</v>
      </c>
      <c r="L1" s="1559"/>
      <c r="M1" s="1559" t="s">
        <v>138</v>
      </c>
      <c r="N1" s="1559"/>
      <c r="O1" s="1559" t="s">
        <v>29</v>
      </c>
      <c r="P1" s="1559"/>
      <c r="Q1" s="1559" t="s">
        <v>25</v>
      </c>
      <c r="R1" s="1559"/>
    </row>
    <row r="2" spans="1:18" x14ac:dyDescent="0.25">
      <c r="A2" s="1549"/>
      <c r="B2" s="1549"/>
      <c r="C2" s="1549"/>
      <c r="D2" s="1549"/>
      <c r="E2" s="1549"/>
      <c r="F2" s="1550"/>
      <c r="G2" s="1550"/>
      <c r="H2" s="1550"/>
      <c r="I2" s="1550"/>
      <c r="J2" s="1550"/>
      <c r="K2" s="1558" t="s">
        <v>135</v>
      </c>
      <c r="L2" s="1558"/>
      <c r="M2" s="1558" t="s">
        <v>137</v>
      </c>
      <c r="N2" s="1558"/>
      <c r="O2" s="1558" t="s">
        <v>155</v>
      </c>
      <c r="P2" s="1558"/>
      <c r="Q2" s="1558" t="s">
        <v>156</v>
      </c>
      <c r="R2" s="1558"/>
    </row>
    <row r="3" spans="1:18" x14ac:dyDescent="0.25">
      <c r="A3" s="1549"/>
      <c r="B3" s="1549"/>
      <c r="C3" s="1549"/>
      <c r="D3" s="1549"/>
      <c r="E3" s="1549"/>
      <c r="F3" s="1550"/>
      <c r="G3" s="1550"/>
      <c r="H3" s="1550"/>
      <c r="I3" s="1550"/>
      <c r="J3" s="1550"/>
      <c r="K3" s="1558" t="s">
        <v>420</v>
      </c>
      <c r="L3" s="1558"/>
      <c r="M3" s="1558" t="s">
        <v>420</v>
      </c>
      <c r="N3" s="1558"/>
      <c r="O3" s="1558" t="s">
        <v>420</v>
      </c>
      <c r="P3" s="1558"/>
      <c r="Q3" s="1558" t="s">
        <v>420</v>
      </c>
      <c r="R3" s="1558"/>
    </row>
    <row r="4" spans="1:18" ht="25.5" x14ac:dyDescent="0.25">
      <c r="A4" s="1554"/>
      <c r="B4" s="1554"/>
      <c r="C4" s="1554"/>
      <c r="D4" s="1554"/>
      <c r="E4" s="1554"/>
      <c r="F4" s="1550"/>
      <c r="G4" s="229" t="s">
        <v>410</v>
      </c>
      <c r="H4" s="229" t="s">
        <v>410</v>
      </c>
      <c r="I4" s="229" t="s">
        <v>410</v>
      </c>
      <c r="J4" s="229" t="s">
        <v>410</v>
      </c>
      <c r="K4" s="91" t="s">
        <v>1605</v>
      </c>
      <c r="L4" s="91" t="s">
        <v>713</v>
      </c>
      <c r="M4" s="91" t="s">
        <v>1605</v>
      </c>
      <c r="N4" s="91" t="s">
        <v>713</v>
      </c>
      <c r="O4" s="91" t="s">
        <v>1605</v>
      </c>
      <c r="P4" s="91" t="s">
        <v>713</v>
      </c>
      <c r="Q4" s="91" t="s">
        <v>1605</v>
      </c>
      <c r="R4" s="91" t="s">
        <v>713</v>
      </c>
    </row>
    <row r="5" spans="1:18" s="66" customFormat="1" x14ac:dyDescent="0.25">
      <c r="A5" s="65" t="s">
        <v>1606</v>
      </c>
      <c r="B5" s="23" t="s">
        <v>1607</v>
      </c>
      <c r="C5" s="23" t="s">
        <v>1608</v>
      </c>
      <c r="D5" s="18" t="s">
        <v>1609</v>
      </c>
      <c r="E5" s="23" t="s">
        <v>1610</v>
      </c>
      <c r="F5" s="62" t="s">
        <v>1611</v>
      </c>
      <c r="G5" s="272"/>
      <c r="H5" s="272" t="s">
        <v>2024</v>
      </c>
      <c r="I5" s="272">
        <v>1326258</v>
      </c>
      <c r="J5" s="272">
        <f>I5</f>
        <v>1326258</v>
      </c>
      <c r="K5" s="63">
        <v>2700</v>
      </c>
      <c r="L5" s="63" t="s">
        <v>557</v>
      </c>
      <c r="M5" s="63">
        <v>0</v>
      </c>
      <c r="N5" s="63" t="s">
        <v>557</v>
      </c>
      <c r="O5" s="63">
        <v>2700</v>
      </c>
      <c r="P5" s="63" t="s">
        <v>557</v>
      </c>
      <c r="Q5" s="63">
        <v>0</v>
      </c>
      <c r="R5" s="63" t="s">
        <v>557</v>
      </c>
    </row>
    <row r="6" spans="1:18" s="66" customFormat="1" x14ac:dyDescent="0.25">
      <c r="A6" s="65" t="s">
        <v>1612</v>
      </c>
      <c r="B6" s="23" t="s">
        <v>1607</v>
      </c>
      <c r="C6" s="23" t="s">
        <v>1613</v>
      </c>
      <c r="D6" s="23" t="s">
        <v>1614</v>
      </c>
      <c r="E6" s="23" t="s">
        <v>1610</v>
      </c>
      <c r="F6" s="67">
        <v>43313</v>
      </c>
      <c r="G6" s="286"/>
      <c r="H6" s="272" t="s">
        <v>2024</v>
      </c>
      <c r="I6" s="286">
        <v>2288900.67</v>
      </c>
      <c r="J6" s="272">
        <f t="shared" ref="J6:J7" si="0">I6</f>
        <v>2288900.67</v>
      </c>
      <c r="K6" s="63">
        <v>0</v>
      </c>
      <c r="L6" s="63" t="s">
        <v>557</v>
      </c>
      <c r="M6" s="63">
        <v>2300</v>
      </c>
      <c r="N6" s="63" t="s">
        <v>557</v>
      </c>
      <c r="O6" s="63">
        <v>2300</v>
      </c>
      <c r="P6" s="63" t="s">
        <v>557</v>
      </c>
      <c r="Q6" s="63">
        <v>2300</v>
      </c>
      <c r="R6" s="63" t="s">
        <v>557</v>
      </c>
    </row>
    <row r="7" spans="1:18" s="66" customFormat="1" x14ac:dyDescent="0.25">
      <c r="A7" s="65" t="s">
        <v>1615</v>
      </c>
      <c r="B7" s="23" t="s">
        <v>1607</v>
      </c>
      <c r="C7" s="68" t="s">
        <v>1616</v>
      </c>
      <c r="D7" s="69" t="s">
        <v>1617</v>
      </c>
      <c r="E7" s="23" t="s">
        <v>1610</v>
      </c>
      <c r="F7" s="62" t="s">
        <v>1618</v>
      </c>
      <c r="G7" s="272"/>
      <c r="H7" s="272" t="s">
        <v>2025</v>
      </c>
      <c r="I7" s="272">
        <v>984907</v>
      </c>
      <c r="J7" s="272">
        <f t="shared" si="0"/>
        <v>984907</v>
      </c>
      <c r="K7" s="63">
        <v>2000</v>
      </c>
      <c r="L7" s="63" t="s">
        <v>557</v>
      </c>
      <c r="M7" s="63">
        <v>0</v>
      </c>
      <c r="N7" s="63" t="s">
        <v>557</v>
      </c>
      <c r="O7" s="63">
        <v>2000</v>
      </c>
      <c r="P7" s="63" t="s">
        <v>557</v>
      </c>
      <c r="Q7" s="63">
        <v>0</v>
      </c>
      <c r="R7" s="63" t="s">
        <v>557</v>
      </c>
    </row>
    <row r="8" spans="1:18" x14ac:dyDescent="0.25">
      <c r="G8" s="287">
        <f>SUM(G5:G7)</f>
        <v>0</v>
      </c>
      <c r="H8" s="287">
        <f t="shared" ref="H8:J8" si="1">SUM(H5:H7)</f>
        <v>0</v>
      </c>
      <c r="I8" s="287">
        <f t="shared" si="1"/>
        <v>4600065.67</v>
      </c>
      <c r="J8" s="287">
        <f t="shared" si="1"/>
        <v>4600065.67</v>
      </c>
      <c r="K8" s="95">
        <f>SUM(K5:K7)</f>
        <v>4700</v>
      </c>
      <c r="L8" s="95">
        <f t="shared" ref="L8:R8" si="2">SUM(L5:L7)</f>
        <v>0</v>
      </c>
      <c r="M8" s="95">
        <f t="shared" si="2"/>
        <v>2300</v>
      </c>
      <c r="N8" s="95">
        <f t="shared" si="2"/>
        <v>0</v>
      </c>
      <c r="O8" s="95">
        <f t="shared" si="2"/>
        <v>7000</v>
      </c>
      <c r="P8" s="95">
        <f t="shared" si="2"/>
        <v>0</v>
      </c>
      <c r="Q8" s="95">
        <f t="shared" si="2"/>
        <v>2300</v>
      </c>
      <c r="R8" s="95">
        <f t="shared" si="2"/>
        <v>0</v>
      </c>
    </row>
  </sheetData>
  <sheetProtection algorithmName="SHA-512" hashValue="kWjsurZZWEPDH/JI6cXT+Tjvqnba70XOn3G58WijNEcF4bi4wbCjDGyi9UwrIzZuG0/Efp8Sl9sDICvRy2VpmQ==" saltValue="kvORdj+imBTcnuvZ2A3jIw==" spinCount="100000" sheet="1" objects="1" scenarios="1" autoFilter="0"/>
  <mergeCells count="22">
    <mergeCell ref="G1:G3"/>
    <mergeCell ref="I1:I3"/>
    <mergeCell ref="J1:J3"/>
    <mergeCell ref="H1:H3"/>
    <mergeCell ref="F1:F4"/>
    <mergeCell ref="A1:A4"/>
    <mergeCell ref="B1:B4"/>
    <mergeCell ref="C1:C4"/>
    <mergeCell ref="D1:D4"/>
    <mergeCell ref="E1:E4"/>
    <mergeCell ref="K3:L3"/>
    <mergeCell ref="M3:N3"/>
    <mergeCell ref="O3:P3"/>
    <mergeCell ref="Q3:R3"/>
    <mergeCell ref="K1:L1"/>
    <mergeCell ref="M1:N1"/>
    <mergeCell ref="O1:P1"/>
    <mergeCell ref="Q1:R1"/>
    <mergeCell ref="K2:L2"/>
    <mergeCell ref="M2:N2"/>
    <mergeCell ref="O2:P2"/>
    <mergeCell ref="Q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24</vt:i4>
      </vt:variant>
    </vt:vector>
  </HeadingPairs>
  <TitlesOfParts>
    <vt:vector size="24" baseType="lpstr">
      <vt:lpstr>VYSVETLIVKY</vt:lpstr>
      <vt:lpstr>Vykon.ramec</vt:lpstr>
      <vt:lpstr>Vystup. ukazovatele programu</vt:lpstr>
      <vt:lpstr>Vystup. ukazovatele projektov</vt:lpstr>
      <vt:lpstr>1.1.1 Proj.real.</vt:lpstr>
      <vt:lpstr>1.1.1 (10.V) Schv.ZoNFP</vt:lpstr>
      <vt:lpstr>1.1.1 (11.V) Schv.ZoNFP</vt:lpstr>
      <vt:lpstr>1.1.1 (12.V) Dor.ZoNFP</vt:lpstr>
      <vt:lpstr>1.1.1 (15.V) Dor.ZoNFP</vt:lpstr>
      <vt:lpstr>1.1.1 (16.V) Dor.ZoNFP</vt:lpstr>
      <vt:lpstr>1.2.1+1.2.2 Proj.real.</vt:lpstr>
      <vt:lpstr>1.2.1+1.2.2 (1.V) Zasob</vt:lpstr>
      <vt:lpstr>1.2.3 Proj.real</vt:lpstr>
      <vt:lpstr>1.4.1 Proj.real</vt:lpstr>
      <vt:lpstr>1.4.2 Proj.real</vt:lpstr>
      <vt:lpstr>3.1.3 Proj.real</vt:lpstr>
      <vt:lpstr>4.1.1 Projekty (FN)</vt:lpstr>
      <vt:lpstr>4.1.1-4.1.2 Projekty (ZelDom)</vt:lpstr>
      <vt:lpstr>4.2.1 Projekty (FN)</vt:lpstr>
      <vt:lpstr>4.3.1 Projekty (FN)</vt:lpstr>
      <vt:lpstr>4.3.1 (6.V) Projekty</vt:lpstr>
      <vt:lpstr>4.3.1 (6.V) Schv. ZoNFP</vt:lpstr>
      <vt:lpstr>5.1.1 TP Proj.real.</vt:lpstr>
      <vt:lpstr>5.1.1 TP ZoNFP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2018-06-01T13:20:53Z</dcterms:modified>
</cp:coreProperties>
</file>